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omments11.xml" ContentType="application/vnd.openxmlformats-officedocument.spreadsheetml.comment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omments14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Aeronautics Systems" sheetId="3"/>
    <sheet r:id="rId4" name="Segment - Defense Systems" sheetId="4"/>
    <sheet r:id="rId5" name="Segment - Mission Systems" sheetId="5"/>
    <sheet r:id="rId6" name="Segment - Space Systems" sheetId="6"/>
    <sheet r:id="rId7" name="Income Statement" sheetId="7"/>
    <sheet r:id="rId8" name="Balance Sheet" sheetId="8"/>
    <sheet r:id="rId9" name="Cash Flow Statement" sheetId="9"/>
    <sheet r:id="rId10" name="Geo" sheetId="10"/>
    <sheet r:id="rId11" name="Share Count" sheetId="11"/>
    <sheet r:id="rId12" name="Guidance" sheetId="12"/>
    <sheet r:id="rId13" name="Sources" sheetId="13"/>
    <sheet r:id="rId14" name="Inputs" sheetId="14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6" authorId="0">
      <text>
        <r>
          <rPr>
            <sz val="9"/>
            <color rgb="FF000000"/>
            <rFont val="Arial"/>
            <family val="2"/>
          </rPr>
          <t>noc-09302025xearningsrelea.htm | 3Q25 Reported total sales (issuer) | 10,423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noc-12312025xearningsrelea.htm | 4Q25 Reported total sales (issuer) | 11,712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noc-12312025xearningsrelea.htm | FY25 Reported total sales (issuer) | 41,954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noc-03312026xearningsrelea.htm | 1Q26 Reported total sales (issuer) | 9,881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noc-06302026xearningsrelea.htm | 2Q26 Reported total sales (issuer) | 10,876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1" authorId="0">
      <text>
        <r>
          <rPr>
            <sz val="9"/>
            <color rgb="FF000000"/>
            <rFont val="Arial"/>
            <family val="2"/>
          </rPr>
          <t>noc-09302025xearningsrelea.htm | 3Q25 Closing total backlog | 22,450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noc-09302025xearningsrelea.htm | 3Q25 Funded backlog (closing) | 10,912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noc-12312025xearningsrelea.htm | 4Q25 Closing total backlog | 23,052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noc-12312025xearningsrelea.htm | 4Q25 Funded backlog (closing) | 12,585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noc-03312026xearningsrelea.htm | 1Q26 Closing total backlog | 24,271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noc-03312026xearningsrelea.htm | 1Q26 Funded backlog (closing) | 12,996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noc-06302026xearningsrelea.htm | 2Q26 Closing total backlog | 24,568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noc-06302026xearningsrelea.htm | 2Q26 Funded backlog (closing) | 13,394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noc-09302025xearningsrelea.htm | 3Q25 Aeronautics Systems sales | 3,142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noc-12312025xearningsrelea.htm | 4Q25 Aeronautics Systems sales | 3,922</t>
        </r>
      </text>
    </comment>
    <comment ref="E49" authorId="0">
      <text>
        <r>
          <rPr>
            <sz val="9"/>
            <color rgb="FF000000"/>
            <rFont val="Arial"/>
            <family val="2"/>
          </rPr>
          <t>noc-12312025xearningsrelea.htm | FY25 Aeronautics Systems sales | 12,992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noc-03312026xearningsrelea.htm | 1Q26 Aeronautics Systems sales | 3,283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noc-06302026xearningsrelea.htm | 2Q26 Aeronautics Systems sales | 3,519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noc-20250930.htm | 3Q25 Intersegment sales | 42</t>
        </r>
      </text>
    </comment>
    <comment ref="E59" authorId="0">
      <text>
        <r>
          <rPr>
            <sz val="9"/>
            <color rgb="FF000000"/>
            <rFont val="Arial"/>
            <family val="2"/>
          </rPr>
          <t>R39.htm (FY2025 10-K) | FY25 Intersegment sales | 167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noc-20260331.htm | 1Q26 Intersegment sales | 34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noc-20260630.htm | 2Q26 Intersegment sales | 41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noc-20250930.htm | 3Q25 U.S. government | 2,530</t>
        </r>
      </text>
    </comment>
    <comment ref="E73" authorId="0">
      <text>
        <r>
          <rPr>
            <sz val="9"/>
            <color rgb="FF000000"/>
            <rFont val="Arial"/>
            <family val="2"/>
          </rPr>
          <t>R39.htm (FY2025 10-K) | FY25 U.S. government | 10,469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noc-20260331.htm | 1Q26 U.S. government | 2,694</t>
        </r>
      </text>
    </comment>
    <comment ref="G73" authorId="0">
      <text>
        <r>
          <rPr>
            <sz val="9"/>
            <color rgb="FF000000"/>
            <rFont val="Arial"/>
            <family val="2"/>
          </rPr>
          <t>noc-20260630.htm | 2Q26 U.S. government | 2,809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noc-20250930.htm | 3Q25 International | 564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R39.htm (FY2025 10-K) | FY25 International | 2,325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noc-20260331.htm | 1Q26 International | 540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noc-20260630.htm | 2Q26 International | 652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noc-20250930.htm | 3Q25 Other customers | 6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R39.htm (FY2025 10-K) | FY25 Other customers | 31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noc-20260331.htm | 1Q26 Other customers | 15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noc-20260630.htm | 2Q26 Other customers | 17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noc-20250930.htm | 3Q25 Cost-type | 1,454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R39.htm (FY2025 10-K) | FY25 Cost-type | 5,843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noc-20260331.htm | 1Q26 Cost-type | 1,359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noc-20260630.htm | 2Q26 Cost-type | 1,607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noc-20250930.htm | 3Q25 Fixed-price | 1,646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R39.htm (FY2025 10-K) | FY25 Fixed-price | 6,982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noc-20260331.htm | 1Q26 Fixed-price | 1,890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noc-20260630.htm | 2Q26 Fixed-price | 1,871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noc-20250930.htm | 3Q25 United States | 2,536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R39.htm (FY2025 10-K) | FY25 United States | 10,500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noc-20260331.htm | 1Q26 United States | 2,709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noc-20260630.htm | 2Q26 United States | 2,826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noc-20250930.htm | 3Q25 Asia/Pacific | 221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R39.htm (FY2025 10-K) | FY25 Asia/Pacific | 920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noc-20260331.htm | 1Q26 Asia/Pacific | 229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noc-20260630.htm | 2Q26 Asia/Pacific | 263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noc-20250930.htm | 3Q25 Europe | 321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R39.htm (FY2025 10-K) | FY25 Europe | 1,320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noc-20260331.htm | 1Q26 Europe | 289</t>
        </r>
      </text>
    </comment>
    <comment ref="G138" authorId="0">
      <text>
        <r>
          <rPr>
            <sz val="9"/>
            <color rgb="FF000000"/>
            <rFont val="Arial"/>
            <family val="2"/>
          </rPr>
          <t>noc-20260630.htm | 2Q26 Europe | 369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noc-20250930.htm | 3Q25 Other regions (principally Middle East) | 22</t>
        </r>
      </text>
    </comment>
    <comment ref="E144" authorId="0">
      <text>
        <r>
          <rPr>
            <sz val="9"/>
            <color rgb="FF000000"/>
            <rFont val="Arial"/>
            <family val="2"/>
          </rPr>
          <t>R39.htm (FY2025 10-K) | FY25 Other regions (principally Middle East) | 85</t>
        </r>
      </text>
    </comment>
    <comment ref="F144" authorId="0">
      <text>
        <r>
          <rPr>
            <sz val="9"/>
            <color rgb="FF000000"/>
            <rFont val="Arial"/>
            <family val="2"/>
          </rPr>
          <t>noc-20260331.htm | 1Q26 Other regions (principally Middle East) | 22</t>
        </r>
      </text>
    </comment>
    <comment ref="G144" authorId="0">
      <text>
        <r>
          <rPr>
            <sz val="9"/>
            <color rgb="FF000000"/>
            <rFont val="Arial"/>
            <family val="2"/>
          </rPr>
          <t>noc-20260630.htm | 2Q26 Other regions (principally Middle East) | 20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noc-09302025xearningsrelea.htm | 3Q25 Aeronautics Systems operating income | 305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noc-12312025xearningsrelea.htm | 4Q25 Aeronautics Systems operating income | 370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noc-12312025xearningsrelea.htm | FY25 Aeronautics Systems operating income | 813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noc-03312026xearningsrelea.htm | 1Q26 Aeronautics Systems operating income | 305</t>
        </r>
      </text>
    </comment>
    <comment ref="G169" authorId="0">
      <text>
        <r>
          <rPr>
            <sz val="9"/>
            <color rgb="FF000000"/>
            <rFont val="Arial"/>
            <family val="2"/>
          </rPr>
          <t>noc-06302026xearningsrelea.htm | 2Q26 Aeronautics Systems operating income | 362</t>
        </r>
      </text>
    </comment>
    <comment ref="C172" authorId="0">
      <text>
        <r>
          <rPr>
            <sz val="9"/>
            <color rgb="FF000000"/>
            <rFont val="Arial"/>
            <family val="2"/>
          </rPr>
          <t>noc-20250930.htm | 3Q25 Net EAC adjustments (in operating income) | (66)</t>
        </r>
      </text>
    </comment>
    <comment ref="E172" authorId="0">
      <text>
        <r>
          <rPr>
            <sz val="9"/>
            <color rgb="FF000000"/>
            <rFont val="Arial"/>
            <family val="2"/>
          </rPr>
          <t>R39.htm (FY2025 10-K) | FY25 Net EAC adjustments (in operating income) | (186)</t>
        </r>
      </text>
    </comment>
    <comment ref="F172" authorId="0">
      <text>
        <r>
          <rPr>
            <sz val="9"/>
            <color rgb="FF000000"/>
            <rFont val="Arial"/>
            <family val="2"/>
          </rPr>
          <t>noc-20260331.htm | 1Q26 Net EAC adjustments (in operating income) | (107)</t>
        </r>
      </text>
    </comment>
    <comment ref="G172" authorId="0">
      <text>
        <r>
          <rPr>
            <sz val="9"/>
            <color rgb="FF000000"/>
            <rFont val="Arial"/>
            <family val="2"/>
          </rPr>
          <t>noc-20260630.htm | 2Q26 Net EAC adjustments (in operating income) | 157</t>
        </r>
      </text>
    </comment>
    <comment ref="C186" authorId="0">
      <text>
        <r>
          <rPr>
            <sz val="9"/>
            <color rgb="FF000000"/>
            <rFont val="Arial"/>
            <family val="2"/>
          </rPr>
          <t>noc-20250930.htm | 3Q25 Depreciation and amortisation | 92</t>
        </r>
      </text>
    </comment>
    <comment ref="E186" authorId="0">
      <text>
        <r>
          <rPr>
            <sz val="9"/>
            <color rgb="FF000000"/>
            <rFont val="Arial"/>
            <family val="2"/>
          </rPr>
          <t>R39.htm (FY2025 10-K) | FY25 Depreciation and amortisation | 383</t>
        </r>
      </text>
    </comment>
    <comment ref="F186" authorId="0">
      <text>
        <r>
          <rPr>
            <sz val="9"/>
            <color rgb="FF000000"/>
            <rFont val="Arial"/>
            <family val="2"/>
          </rPr>
          <t>noc-20260331.htm | 1Q26 Depreciation and amortisation | 91</t>
        </r>
      </text>
    </comment>
    <comment ref="G186" authorId="0">
      <text>
        <r>
          <rPr>
            <sz val="9"/>
            <color rgb="FF000000"/>
            <rFont val="Arial"/>
            <family val="2"/>
          </rPr>
          <t>noc-20260630.htm | 2Q26 Depreciation and amortisation | 86</t>
        </r>
      </text>
    </comment>
    <comment ref="C189" authorId="0">
      <text>
        <r>
          <rPr>
            <sz val="9"/>
            <color rgb="FF000000"/>
            <rFont val="Arial"/>
            <family val="2"/>
          </rPr>
          <t>noc-20250930.htm | 3Q25 Capital expenditures | 102</t>
        </r>
      </text>
    </comment>
    <comment ref="E189" authorId="0">
      <text>
        <r>
          <rPr>
            <sz val="9"/>
            <color rgb="FF000000"/>
            <rFont val="Arial"/>
            <family val="2"/>
          </rPr>
          <t>R39.htm (FY2025 10-K) | FY25 Capital expenditures | 477</t>
        </r>
      </text>
    </comment>
    <comment ref="F189" authorId="0">
      <text>
        <r>
          <rPr>
            <sz val="9"/>
            <color rgb="FF000000"/>
            <rFont val="Arial"/>
            <family val="2"/>
          </rPr>
          <t>noc-20260331.htm | 1Q26 Capital expenditures | 34</t>
        </r>
      </text>
    </comment>
    <comment ref="G189" authorId="0">
      <text>
        <r>
          <rPr>
            <sz val="9"/>
            <color rgb="FF000000"/>
            <rFont val="Arial"/>
            <family val="2"/>
          </rPr>
          <t>noc-20260630.htm | 2Q26 Capital expenditures | 35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1" authorId="0">
      <text>
        <r>
          <rPr>
            <sz val="9"/>
            <color rgb="FF000000"/>
            <rFont val="Arial"/>
            <family val="2"/>
          </rPr>
          <t>noc-09302025xearningsrelea.htm | 3Q25 Closing total backlog | 27,098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noc-09302025xearningsrelea.htm | 3Q25 Funded backlog (closing) | 8,643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noc-12312025xearningsrelea.htm | 4Q25 Closing total backlog | 27,796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noc-12312025xearningsrelea.htm | 4Q25 Funded backlog (closing) | 8,610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noc-03312026xearningsrelea.htm | 1Q26 Closing total backlog | 27,729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noc-03312026xearningsrelea.htm | 1Q26 Funded backlog (closing) | 7,759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noc-06302026xearningsrelea.htm | 2Q26 Closing total backlog | 34,678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noc-06302026xearningsrelea.htm | 2Q26 Funded backlog (closing) | 9,392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noc-09302025xearningsrelea.htm | 3Q25 Defense Systems sales | 2,059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noc-12312025xearningsrelea.htm | 4Q25 Defense Systems sales | 2,147</t>
        </r>
      </text>
    </comment>
    <comment ref="E49" authorId="0">
      <text>
        <r>
          <rPr>
            <sz val="9"/>
            <color rgb="FF000000"/>
            <rFont val="Arial"/>
            <family val="2"/>
          </rPr>
          <t>noc-12312025xearningsrelea.htm | FY25 Defense Systems sales | 8,002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noc-03312026xearningsrelea.htm | 1Q26 Defense Systems sales | 1,899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noc-06302026xearningsrelea.htm | 2Q26 Defense Systems sales | 2,093</t>
        </r>
      </text>
    </comment>
    <comment ref="E52" authorId="0">
      <text>
        <r>
          <rPr>
            <sz val="9"/>
            <color rgb="FF000000"/>
            <rFont val="Arial"/>
            <family val="2"/>
          </rPr>
          <t>noc-12312025xearningsrelea.htm | FY25 Divested training services sales in segment | 112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noc-20250930.htm | 3Q25 Intersegment sales | 51</t>
        </r>
      </text>
    </comment>
    <comment ref="E59" authorId="0">
      <text>
        <r>
          <rPr>
            <sz val="9"/>
            <color rgb="FF000000"/>
            <rFont val="Arial"/>
            <family val="2"/>
          </rPr>
          <t>R39.htm (FY2025 10-K) | FY25 Intersegment sales | 210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noc-20260331.htm | 1Q26 Intersegment sales | 52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noc-20260630.htm | 2Q26 Intersegment sales | 55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noc-20250930.htm | 3Q25 U.S. government | 1,570</t>
        </r>
      </text>
    </comment>
    <comment ref="E73" authorId="0">
      <text>
        <r>
          <rPr>
            <sz val="9"/>
            <color rgb="FF000000"/>
            <rFont val="Arial"/>
            <family val="2"/>
          </rPr>
          <t>R39.htm (FY2025 10-K) | FY25 U.S. government | 6,377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noc-20260331.htm | 1Q26 U.S. government | 1,591</t>
        </r>
      </text>
    </comment>
    <comment ref="G73" authorId="0">
      <text>
        <r>
          <rPr>
            <sz val="9"/>
            <color rgb="FF000000"/>
            <rFont val="Arial"/>
            <family val="2"/>
          </rPr>
          <t>noc-20260630.htm | 2Q26 U.S. government | 1,738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noc-20250930.htm | 3Q25 International | 419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R39.htm (FY2025 10-K) | FY25 International | 1,337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noc-20260331.htm | 1Q26 International | 235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noc-20260630.htm | 2Q26 International | 279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noc-20250930.htm | 3Q25 Other customers | 19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R39.htm (FY2025 10-K) | FY25 Other customers | 78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noc-20260331.htm | 1Q26 Other customers | 21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noc-20260630.htm | 2Q26 Other customers | 21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noc-20250930.htm | 3Q25 Cost-type | 1,028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R39.htm (FY2025 10-K) | FY25 Cost-type | 4,117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noc-20260331.htm | 1Q26 Cost-type | 1,066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noc-20260630.htm | 2Q26 Cost-type | 1,161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noc-20250930.htm | 3Q25 Fixed-price | 980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R39.htm (FY2025 10-K) | FY25 Fixed-price | 3,675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noc-20260331.htm | 1Q26 Fixed-price | 781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noc-20260630.htm | 2Q26 Fixed-price | 877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noc-20250930.htm | 3Q25 United States | 1,589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R39.htm (FY2025 10-K) | FY25 United States | 6,455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noc-20260331.htm | 1Q26 United States | 1,612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noc-20260630.htm | 2Q26 United States | 1,759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noc-20250930.htm | 3Q25 Asia/Pacific | 111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R39.htm (FY2025 10-K) | FY25 Asia/Pacific | 374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noc-20260331.htm | 1Q26 Asia/Pacific | 81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noc-20260630.htm | 2Q26 Asia/Pacific | 110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noc-20250930.htm | 3Q25 Europe | 251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R39.htm (FY2025 10-K) | FY25 Europe | 756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noc-20260331.htm | 1Q26 Europe | 125</t>
        </r>
      </text>
    </comment>
    <comment ref="G138" authorId="0">
      <text>
        <r>
          <rPr>
            <sz val="9"/>
            <color rgb="FF000000"/>
            <rFont val="Arial"/>
            <family val="2"/>
          </rPr>
          <t>noc-20260630.htm | 2Q26 Europe | 129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noc-20250930.htm | 3Q25 Other regions (principally Middle East) | 57</t>
        </r>
      </text>
    </comment>
    <comment ref="E144" authorId="0">
      <text>
        <r>
          <rPr>
            <sz val="9"/>
            <color rgb="FF000000"/>
            <rFont val="Arial"/>
            <family val="2"/>
          </rPr>
          <t>R39.htm (FY2025 10-K) | FY25 Other regions (principally Middle East) | 207</t>
        </r>
      </text>
    </comment>
    <comment ref="F144" authorId="0">
      <text>
        <r>
          <rPr>
            <sz val="9"/>
            <color rgb="FF000000"/>
            <rFont val="Arial"/>
            <family val="2"/>
          </rPr>
          <t>noc-20260331.htm | 1Q26 Other regions (principally Middle East) | 29</t>
        </r>
      </text>
    </comment>
    <comment ref="G144" authorId="0">
      <text>
        <r>
          <rPr>
            <sz val="9"/>
            <color rgb="FF000000"/>
            <rFont val="Arial"/>
            <family val="2"/>
          </rPr>
          <t>noc-20260630.htm | 2Q26 Other regions (principally Middle East) | 40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noc-09302025xearningsrelea.htm | 3Q25 Defense Systems operating income | 234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noc-12312025xearningsrelea.htm | 4Q25 Defense Systems operating income | 205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noc-12312025xearningsrelea.htm | FY25 Defense Systems operating income | 871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noc-03312026xearningsrelea.htm | 1Q26 Defense Systems operating income | 184</t>
        </r>
      </text>
    </comment>
    <comment ref="G169" authorId="0">
      <text>
        <r>
          <rPr>
            <sz val="9"/>
            <color rgb="FF000000"/>
            <rFont val="Arial"/>
            <family val="2"/>
          </rPr>
          <t>noc-06302026xearningsrelea.htm | 2Q26 Defense Systems operating income | 156</t>
        </r>
      </text>
    </comment>
    <comment ref="C172" authorId="0">
      <text>
        <r>
          <rPr>
            <sz val="9"/>
            <color rgb="FF000000"/>
            <rFont val="Arial"/>
            <family val="2"/>
          </rPr>
          <t>noc-20250930.htm | 3Q25 Net EAC adjustments (in operating income) | 35</t>
        </r>
      </text>
    </comment>
    <comment ref="E172" authorId="0">
      <text>
        <r>
          <rPr>
            <sz val="9"/>
            <color rgb="FF000000"/>
            <rFont val="Arial"/>
            <family val="2"/>
          </rPr>
          <t>R39.htm (FY2025 10-K) | FY25 Net EAC adjustments (in operating income) | 168</t>
        </r>
      </text>
    </comment>
    <comment ref="F172" authorId="0">
      <text>
        <r>
          <rPr>
            <sz val="9"/>
            <color rgb="FF000000"/>
            <rFont val="Arial"/>
            <family val="2"/>
          </rPr>
          <t>noc-20260331.htm | 1Q26 Net EAC adjustments (in operating income) | 15</t>
        </r>
      </text>
    </comment>
    <comment ref="G172" authorId="0">
      <text>
        <r>
          <rPr>
            <sz val="9"/>
            <color rgb="FF000000"/>
            <rFont val="Arial"/>
            <family val="2"/>
          </rPr>
          <t>noc-20260630.htm | 2Q26 Net EAC adjustments (in operating income) | (40)</t>
        </r>
      </text>
    </comment>
    <comment ref="C186" authorId="0">
      <text>
        <r>
          <rPr>
            <sz val="9"/>
            <color rgb="FF000000"/>
            <rFont val="Arial"/>
            <family val="2"/>
          </rPr>
          <t>noc-20250930.htm | 3Q25 Depreciation and amortisation | 47</t>
        </r>
      </text>
    </comment>
    <comment ref="E186" authorId="0">
      <text>
        <r>
          <rPr>
            <sz val="9"/>
            <color rgb="FF000000"/>
            <rFont val="Arial"/>
            <family val="2"/>
          </rPr>
          <t>R39.htm (FY2025 10-K) | FY25 Depreciation and amortisation | 176</t>
        </r>
      </text>
    </comment>
    <comment ref="F186" authorId="0">
      <text>
        <r>
          <rPr>
            <sz val="9"/>
            <color rgb="FF000000"/>
            <rFont val="Arial"/>
            <family val="2"/>
          </rPr>
          <t>noc-20260331.htm | 1Q26 Depreciation and amortisation | 44</t>
        </r>
      </text>
    </comment>
    <comment ref="G186" authorId="0">
      <text>
        <r>
          <rPr>
            <sz val="9"/>
            <color rgb="FF000000"/>
            <rFont val="Arial"/>
            <family val="2"/>
          </rPr>
          <t>noc-20260630.htm | 2Q26 Depreciation and amortisation | 44</t>
        </r>
      </text>
    </comment>
    <comment ref="C189" authorId="0">
      <text>
        <r>
          <rPr>
            <sz val="9"/>
            <color rgb="FF000000"/>
            <rFont val="Arial"/>
            <family val="2"/>
          </rPr>
          <t>noc-20250930.htm | 3Q25 Capital expenditures | 21</t>
        </r>
      </text>
    </comment>
    <comment ref="E189" authorId="0">
      <text>
        <r>
          <rPr>
            <sz val="9"/>
            <color rgb="FF000000"/>
            <rFont val="Arial"/>
            <family val="2"/>
          </rPr>
          <t>R39.htm (FY2025 10-K) | FY25 Capital expenditures | 110</t>
        </r>
      </text>
    </comment>
    <comment ref="F189" authorId="0">
      <text>
        <r>
          <rPr>
            <sz val="9"/>
            <color rgb="FF000000"/>
            <rFont val="Arial"/>
            <family val="2"/>
          </rPr>
          <t>noc-20260331.htm | 1Q26 Capital expenditures | 16</t>
        </r>
      </text>
    </comment>
    <comment ref="G189" authorId="0">
      <text>
        <r>
          <rPr>
            <sz val="9"/>
            <color rgb="FF000000"/>
            <rFont val="Arial"/>
            <family val="2"/>
          </rPr>
          <t>noc-20260630.htm | 2Q26 Capital expenditures | 28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1" authorId="0">
      <text>
        <r>
          <rPr>
            <sz val="9"/>
            <color rgb="FF000000"/>
            <rFont val="Arial"/>
            <family val="2"/>
          </rPr>
          <t>noc-09302025xearningsrelea.htm | 3Q25 Closing total backlog | 18,197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noc-09302025xearningsrelea.htm | 3Q25 Funded backlog (closing) | 12,311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noc-12312025xearningsrelea.htm | 4Q25 Closing total backlog | 18,632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noc-12312025xearningsrelea.htm | 4Q25 Funded backlog (closing) | 13,251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noc-03312026xearningsrelea.htm | 1Q26 Closing total backlog | 17,803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noc-03312026xearningsrelea.htm | 1Q26 Funded backlog (closing) | 12,887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noc-06302026xearningsrelea.htm | 2Q26 Closing total backlog | 18,465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noc-06302026xearningsrelea.htm | 2Q26 Funded backlog (closing) | 12,878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noc-09302025xearningsrelea.htm | 3Q25 Mission Systems sales | 3,093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noc-12312025xearningsrelea.htm | 4Q25 Mission Systems sales | 3,449</t>
        </r>
      </text>
    </comment>
    <comment ref="E49" authorId="0">
      <text>
        <r>
          <rPr>
            <sz val="9"/>
            <color rgb="FF000000"/>
            <rFont val="Arial"/>
            <family val="2"/>
          </rPr>
          <t>noc-12312025xearningsrelea.htm | FY25 Mission Systems sales | 12,506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noc-03312026xearningsrelea.htm | 1Q26 Mission Systems sales | 2,861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noc-06302026xearningsrelea.htm | 2Q26 Mission Systems sales | 3,250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noc-20250930.htm | 3Q25 Intersegment sales | 339</t>
        </r>
      </text>
    </comment>
    <comment ref="E59" authorId="0">
      <text>
        <r>
          <rPr>
            <sz val="9"/>
            <color rgb="FF000000"/>
            <rFont val="Arial"/>
            <family val="2"/>
          </rPr>
          <t>R39.htm (FY2025 10-K) | FY25 Intersegment sales | 1,434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noc-20260331.htm | 1Q26 Intersegment sales | 385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noc-20260630.htm | 2Q26 Intersegment sales | 464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noc-20250930.htm | 3Q25 U.S. government | 2,166</t>
        </r>
      </text>
    </comment>
    <comment ref="E73" authorId="0">
      <text>
        <r>
          <rPr>
            <sz val="9"/>
            <color rgb="FF000000"/>
            <rFont val="Arial"/>
            <family val="2"/>
          </rPr>
          <t>R39.htm (FY2025 10-K) | FY25 U.S. government | 8,827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noc-20260331.htm | 1Q26 U.S. government | 1,979</t>
        </r>
      </text>
    </comment>
    <comment ref="G73" authorId="0">
      <text>
        <r>
          <rPr>
            <sz val="9"/>
            <color rgb="FF000000"/>
            <rFont val="Arial"/>
            <family val="2"/>
          </rPr>
          <t>noc-20260630.htm | 2Q26 U.S. government | 2,180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noc-20250930.htm | 3Q25 International | 557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R39.htm (FY2025 10-K) | FY25 International | 2,125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noc-20260331.htm | 1Q26 International | 464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noc-20260630.htm | 2Q26 International | 563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noc-20250930.htm | 3Q25 Other customers | 31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R39.htm (FY2025 10-K) | FY25 Other customers | 120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noc-20260331.htm | 1Q26 Other customers | 33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noc-20260630.htm | 2Q26 Other customers | 43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noc-20250930.htm | 3Q25 Cost-type | 1,219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R39.htm (FY2025 10-K) | FY25 Cost-type | 5,012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noc-20260331.htm | 1Q26 Cost-type | 1,181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noc-20260630.htm | 2Q26 Cost-type | 1,075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noc-20250930.htm | 3Q25 Fixed-price | 1,535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R39.htm (FY2025 10-K) | FY25 Fixed-price | 6,060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noc-20260331.htm | 1Q26 Fixed-price | 1,295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noc-20260630.htm | 2Q26 Fixed-price | 1,711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noc-20250930.htm | 3Q25 United States | 2,197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R39.htm (FY2025 10-K) | FY25 United States | 8,947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noc-20260331.htm | 1Q26 United States | 2,012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noc-20260630.htm | 2Q26 United States | 2,223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noc-20250930.htm | 3Q25 Asia/Pacific | 147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R39.htm (FY2025 10-K) | FY25 Asia/Pacific | 550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noc-20260331.htm | 1Q26 Asia/Pacific | 114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noc-20260630.htm | 2Q26 Asia/Pacific | 148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noc-20250930.htm | 3Q25 Europe | 318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R39.htm (FY2025 10-K) | FY25 Europe | 1,121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noc-20260331.htm | 1Q26 Europe | 252</t>
        </r>
      </text>
    </comment>
    <comment ref="G138" authorId="0">
      <text>
        <r>
          <rPr>
            <sz val="9"/>
            <color rgb="FF000000"/>
            <rFont val="Arial"/>
            <family val="2"/>
          </rPr>
          <t>noc-20260630.htm | 2Q26 Europe | 302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noc-20250930.htm | 3Q25 Other regions (principally Middle East) | 92</t>
        </r>
      </text>
    </comment>
    <comment ref="E144" authorId="0">
      <text>
        <r>
          <rPr>
            <sz val="9"/>
            <color rgb="FF000000"/>
            <rFont val="Arial"/>
            <family val="2"/>
          </rPr>
          <t>R39.htm (FY2025 10-K) | FY25 Other regions (principally Middle East) | 454</t>
        </r>
      </text>
    </comment>
    <comment ref="F144" authorId="0">
      <text>
        <r>
          <rPr>
            <sz val="9"/>
            <color rgb="FF000000"/>
            <rFont val="Arial"/>
            <family val="2"/>
          </rPr>
          <t>noc-20260331.htm | 1Q26 Other regions (principally Middle East) | 98</t>
        </r>
      </text>
    </comment>
    <comment ref="G144" authorId="0">
      <text>
        <r>
          <rPr>
            <sz val="9"/>
            <color rgb="FF000000"/>
            <rFont val="Arial"/>
            <family val="2"/>
          </rPr>
          <t>noc-20260630.htm | 2Q26 Other regions (principally Middle East) | 113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noc-09302025xearningsrelea.htm | 3Q25 Mission Systems operating income | 515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noc-12312025xearningsrelea.htm | 4Q25 Mission Systems operating income | 510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noc-12312025xearningsrelea.htm | FY25 Mission Systems operating income | 1,827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noc-03312026xearningsrelea.htm | 1Q26 Mission Systems operating income | 433</t>
        </r>
      </text>
    </comment>
    <comment ref="G169" authorId="0">
      <text>
        <r>
          <rPr>
            <sz val="9"/>
            <color rgb="FF000000"/>
            <rFont val="Arial"/>
            <family val="2"/>
          </rPr>
          <t>noc-06302026xearningsrelea.htm | 2Q26 Mission Systems operating income | 501</t>
        </r>
      </text>
    </comment>
    <comment ref="C172" authorId="0">
      <text>
        <r>
          <rPr>
            <sz val="9"/>
            <color rgb="FF000000"/>
            <rFont val="Arial"/>
            <family val="2"/>
          </rPr>
          <t>noc-20250930.htm | 3Q25 Net EAC adjustments (in operating income) | 121</t>
        </r>
      </text>
    </comment>
    <comment ref="E172" authorId="0">
      <text>
        <r>
          <rPr>
            <sz val="9"/>
            <color rgb="FF000000"/>
            <rFont val="Arial"/>
            <family val="2"/>
          </rPr>
          <t>R39.htm (FY2025 10-K) | FY25 Net EAC adjustments (in operating income) | 192</t>
        </r>
      </text>
    </comment>
    <comment ref="F172" authorId="0">
      <text>
        <r>
          <rPr>
            <sz val="9"/>
            <color rgb="FF000000"/>
            <rFont val="Arial"/>
            <family val="2"/>
          </rPr>
          <t>noc-20260331.htm | 1Q26 Net EAC adjustments (in operating income) | 51</t>
        </r>
      </text>
    </comment>
    <comment ref="G172" authorId="0">
      <text>
        <r>
          <rPr>
            <sz val="9"/>
            <color rgb="FF000000"/>
            <rFont val="Arial"/>
            <family val="2"/>
          </rPr>
          <t>noc-20260630.htm | 2Q26 Net EAC adjustments (in operating income) | 69</t>
        </r>
      </text>
    </comment>
    <comment ref="C186" authorId="0">
      <text>
        <r>
          <rPr>
            <sz val="9"/>
            <color rgb="FF000000"/>
            <rFont val="Arial"/>
            <family val="2"/>
          </rPr>
          <t>noc-20250930.htm | 3Q25 Depreciation and amortisation | 71</t>
        </r>
      </text>
    </comment>
    <comment ref="E186" authorId="0">
      <text>
        <r>
          <rPr>
            <sz val="9"/>
            <color rgb="FF000000"/>
            <rFont val="Arial"/>
            <family val="2"/>
          </rPr>
          <t>R39.htm (FY2025 10-K) | FY25 Depreciation and amortisation | 278</t>
        </r>
      </text>
    </comment>
    <comment ref="F186" authorId="0">
      <text>
        <r>
          <rPr>
            <sz val="9"/>
            <color rgb="FF000000"/>
            <rFont val="Arial"/>
            <family val="2"/>
          </rPr>
          <t>noc-20260331.htm | 1Q26 Depreciation and amortisation | 69</t>
        </r>
      </text>
    </comment>
    <comment ref="G186" authorId="0">
      <text>
        <r>
          <rPr>
            <sz val="9"/>
            <color rgb="FF000000"/>
            <rFont val="Arial"/>
            <family val="2"/>
          </rPr>
          <t>noc-20260630.htm | 2Q26 Depreciation and amortisation | 70</t>
        </r>
      </text>
    </comment>
    <comment ref="C189" authorId="0">
      <text>
        <r>
          <rPr>
            <sz val="9"/>
            <color rgb="FF000000"/>
            <rFont val="Arial"/>
            <family val="2"/>
          </rPr>
          <t>noc-20250930.htm | 3Q25 Capital expenditures | 66</t>
        </r>
      </text>
    </comment>
    <comment ref="E189" authorId="0">
      <text>
        <r>
          <rPr>
            <sz val="9"/>
            <color rgb="FF000000"/>
            <rFont val="Arial"/>
            <family val="2"/>
          </rPr>
          <t>R39.htm (FY2025 10-K) | FY25 Capital expenditures | 312</t>
        </r>
      </text>
    </comment>
    <comment ref="F189" authorId="0">
      <text>
        <r>
          <rPr>
            <sz val="9"/>
            <color rgb="FF000000"/>
            <rFont val="Arial"/>
            <family val="2"/>
          </rPr>
          <t>noc-20260331.htm | 1Q26 Capital expenditures | 45</t>
        </r>
      </text>
    </comment>
    <comment ref="G189" authorId="0">
      <text>
        <r>
          <rPr>
            <sz val="9"/>
            <color rgb="FF000000"/>
            <rFont val="Arial"/>
            <family val="2"/>
          </rPr>
          <t>noc-20260630.htm | 2Q26 Capital expenditures | 42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1" authorId="0">
      <text>
        <r>
          <rPr>
            <sz val="9"/>
            <color rgb="FF000000"/>
            <rFont val="Arial"/>
            <family val="2"/>
          </rPr>
          <t>noc-09302025xearningsrelea.htm | 3Q25 Closing total backlog | 23,703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noc-09302025xearningsrelea.htm | 3Q25 Funded backlog (closing) | 7,100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noc-12312025xearningsrelea.htm | 4Q25 Closing total backlog | 26,201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noc-12312025xearningsrelea.htm | 4Q25 Funded backlog (closing) | 9,083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noc-03312026xearningsrelea.htm | 1Q26 Closing total backlog | 25,805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noc-03312026xearningsrelea.htm | 1Q26 Funded backlog (closing) | 10,426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noc-06302026xearningsrelea.htm | 2Q26 Closing total backlog | 26,981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noc-06302026xearningsrelea.htm | 2Q26 Funded backlog (closing) | 10,281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noc-09302025xearningsrelea.htm | 3Q25 Space Systems sales | 2,698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noc-12312025xearningsrelea.htm | 4Q25 Space Systems sales | 2,859</t>
        </r>
      </text>
    </comment>
    <comment ref="E49" authorId="0">
      <text>
        <r>
          <rPr>
            <sz val="9"/>
            <color rgb="FF000000"/>
            <rFont val="Arial"/>
            <family val="2"/>
          </rPr>
          <t>noc-12312025xearningsrelea.htm | FY25 Space Systems sales | 10,771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noc-03312026xearningsrelea.htm | 1Q26 Space Systems sales | 2,480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noc-06302026xearningsrelea.htm | 2Q26 Space Systems sales | 2,753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noc-20250930.htm | 3Q25 Intersegment sales | 137</t>
        </r>
      </text>
    </comment>
    <comment ref="E59" authorId="0">
      <text>
        <r>
          <rPr>
            <sz val="9"/>
            <color rgb="FF000000"/>
            <rFont val="Arial"/>
            <family val="2"/>
          </rPr>
          <t>R39.htm (FY2025 10-K) | FY25 Intersegment sales | 506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noc-20260331.htm | 1Q26 Intersegment sales | 171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noc-20260630.htm | 2Q26 Intersegment sales | 179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noc-20250930.htm | 3Q25 U.S. government | 2,366</t>
        </r>
      </text>
    </comment>
    <comment ref="E73" authorId="0">
      <text>
        <r>
          <rPr>
            <sz val="9"/>
            <color rgb="FF000000"/>
            <rFont val="Arial"/>
            <family val="2"/>
          </rPr>
          <t>R39.htm (FY2025 10-K) | FY25 U.S. government | 9,510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noc-20260331.htm | 1Q26 U.S. government | 2,200</t>
        </r>
      </text>
    </comment>
    <comment ref="G73" authorId="0">
      <text>
        <r>
          <rPr>
            <sz val="9"/>
            <color rgb="FF000000"/>
            <rFont val="Arial"/>
            <family val="2"/>
          </rPr>
          <t>noc-20260630.htm | 2Q26 U.S. government | 2,500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noc-20250930.htm | 3Q25 International | 63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R39.htm (FY2025 10-K) | FY25 International | 203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noc-20260331.htm | 1Q26 International | 42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noc-20260630.htm | 2Q26 International | 49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noc-20250930.htm | 3Q25 Other customers | 132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R39.htm (FY2025 10-K) | FY25 Other customers | 552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noc-20260331.htm | 1Q26 Other customers | 67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noc-20260630.htm | 2Q26 Other customers | 25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noc-20250930.htm | 3Q25 Cost-type | 1,351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R39.htm (FY2025 10-K) | FY25 Cost-type | 5,972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noc-20260331.htm | 1Q26 Cost-type | 1,330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noc-20260630.htm | 2Q26 Cost-type | 1,394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noc-20250930.htm | 3Q25 Fixed-price | 1,210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R39.htm (FY2025 10-K) | FY25 Fixed-price | 4,293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noc-20260331.htm | 1Q26 Fixed-price | 979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noc-20260630.htm | 2Q26 Fixed-price | 1,180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noc-20250930.htm | 3Q25 United States | 2,498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R39.htm (FY2025 10-K) | FY25 United States | 10,062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noc-20260331.htm | 1Q26 United States | 2,267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noc-20260630.htm | 2Q26 United States | 2,525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noc-20250930.htm | 3Q25 Asia/Pacific | 25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R39.htm (FY2025 10-K) | FY25 Asia/Pacific | 75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noc-20260331.htm | 1Q26 Asia/Pacific | 18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noc-20260630.htm | 2Q26 Asia/Pacific | 15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noc-20250930.htm | 3Q25 Europe | 28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R39.htm (FY2025 10-K) | FY25 Europe | 89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noc-20260331.htm | 1Q26 Europe | 20</t>
        </r>
      </text>
    </comment>
    <comment ref="G138" authorId="0">
      <text>
        <r>
          <rPr>
            <sz val="9"/>
            <color rgb="FF000000"/>
            <rFont val="Arial"/>
            <family val="2"/>
          </rPr>
          <t>noc-20260630.htm | 2Q26 Europe | 28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noc-20250930.htm | 3Q25 Other regions (principally Middle East) | 10</t>
        </r>
      </text>
    </comment>
    <comment ref="E144" authorId="0">
      <text>
        <r>
          <rPr>
            <sz val="9"/>
            <color rgb="FF000000"/>
            <rFont val="Arial"/>
            <family val="2"/>
          </rPr>
          <t>R39.htm (FY2025 10-K) | FY25 Other regions (principally Middle East) | 39</t>
        </r>
      </text>
    </comment>
    <comment ref="F144" authorId="0">
      <text>
        <r>
          <rPr>
            <sz val="9"/>
            <color rgb="FF000000"/>
            <rFont val="Arial"/>
            <family val="2"/>
          </rPr>
          <t>noc-20260331.htm | 1Q26 Other regions (principally Middle East) | 4</t>
        </r>
      </text>
    </comment>
    <comment ref="G144" authorId="0">
      <text>
        <r>
          <rPr>
            <sz val="9"/>
            <color rgb="FF000000"/>
            <rFont val="Arial"/>
            <family val="2"/>
          </rPr>
          <t>noc-20260630.htm | 2Q26 Other regions (principally Middle East) | 6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noc-09302025xearningsrelea.htm | 3Q25 Space Systems operating income | 298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noc-12312025xearningsrelea.htm | 4Q25 Space Systems operating income | 322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noc-12312025xearningsrelea.htm | FY25 Space Systems operating income | 1,183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noc-03312026xearningsrelea.htm | 1Q26 Space Systems operating income | 235</t>
        </r>
      </text>
    </comment>
    <comment ref="G169" authorId="0">
      <text>
        <r>
          <rPr>
            <sz val="9"/>
            <color rgb="FF000000"/>
            <rFont val="Arial"/>
            <family val="2"/>
          </rPr>
          <t>noc-06302026xearningsrelea.htm | 2Q26 Space Systems operating income | 236</t>
        </r>
      </text>
    </comment>
    <comment ref="C172" authorId="0">
      <text>
        <r>
          <rPr>
            <sz val="9"/>
            <color rgb="FF000000"/>
            <rFont val="Arial"/>
            <family val="2"/>
          </rPr>
          <t>noc-20250930.htm | 3Q25 Net EAC adjustments (in operating income) | (5)</t>
        </r>
      </text>
    </comment>
    <comment ref="E172" authorId="0">
      <text>
        <r>
          <rPr>
            <sz val="9"/>
            <color rgb="FF000000"/>
            <rFont val="Arial"/>
            <family val="2"/>
          </rPr>
          <t>R39.htm (FY2025 10-K) | FY25 Net EAC adjustments (in operating income) | 47</t>
        </r>
      </text>
    </comment>
    <comment ref="F172" authorId="0">
      <text>
        <r>
          <rPr>
            <sz val="9"/>
            <color rgb="FF000000"/>
            <rFont val="Arial"/>
            <family val="2"/>
          </rPr>
          <t>noc-20260331.htm | 1Q26 Net EAC adjustments (in operating income) | (38)</t>
        </r>
      </text>
    </comment>
    <comment ref="G172" authorId="0">
      <text>
        <r>
          <rPr>
            <sz val="9"/>
            <color rgb="FF000000"/>
            <rFont val="Arial"/>
            <family val="2"/>
          </rPr>
          <t>noc-20260630.htm | 2Q26 Net EAC adjustments (in operating income) | (91)</t>
        </r>
      </text>
    </comment>
    <comment ref="C186" authorId="0">
      <text>
        <r>
          <rPr>
            <sz val="9"/>
            <color rgb="FF000000"/>
            <rFont val="Arial"/>
            <family val="2"/>
          </rPr>
          <t>noc-20250930.htm | 3Q25 Depreciation and amortisation | 98</t>
        </r>
      </text>
    </comment>
    <comment ref="E186" authorId="0">
      <text>
        <r>
          <rPr>
            <sz val="9"/>
            <color rgb="FF000000"/>
            <rFont val="Arial"/>
            <family val="2"/>
          </rPr>
          <t>R39.htm (FY2025 10-K) | FY25 Depreciation and amortisation | 367</t>
        </r>
      </text>
    </comment>
    <comment ref="F186" authorId="0">
      <text>
        <r>
          <rPr>
            <sz val="9"/>
            <color rgb="FF000000"/>
            <rFont val="Arial"/>
            <family val="2"/>
          </rPr>
          <t>noc-20260331.htm | 1Q26 Depreciation and amortisation | 96</t>
        </r>
      </text>
    </comment>
    <comment ref="G186" authorId="0">
      <text>
        <r>
          <rPr>
            <sz val="9"/>
            <color rgb="FF000000"/>
            <rFont val="Arial"/>
            <family val="2"/>
          </rPr>
          <t>noc-20260630.htm | 2Q26 Depreciation and amortisation | 99</t>
        </r>
      </text>
    </comment>
    <comment ref="C189" authorId="0">
      <text>
        <r>
          <rPr>
            <sz val="9"/>
            <color rgb="FF000000"/>
            <rFont val="Arial"/>
            <family val="2"/>
          </rPr>
          <t>noc-20250930.htm | 3Q25 Capital expenditures | 70</t>
        </r>
      </text>
    </comment>
    <comment ref="E189" authorId="0">
      <text>
        <r>
          <rPr>
            <sz val="9"/>
            <color rgb="FF000000"/>
            <rFont val="Arial"/>
            <family val="2"/>
          </rPr>
          <t>R39.htm (FY2025 10-K) | FY25 Capital expenditures | 403</t>
        </r>
      </text>
    </comment>
    <comment ref="F189" authorId="0">
      <text>
        <r>
          <rPr>
            <sz val="9"/>
            <color rgb="FF000000"/>
            <rFont val="Arial"/>
            <family val="2"/>
          </rPr>
          <t>noc-20260331.htm | 1Q26 Capital expenditures | 43</t>
        </r>
      </text>
    </comment>
    <comment ref="G189" authorId="0">
      <text>
        <r>
          <rPr>
            <sz val="9"/>
            <color rgb="FF000000"/>
            <rFont val="Arial"/>
            <family val="2"/>
          </rPr>
          <t>noc-20260630.htm | 2Q26 Capital expenditures | 84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noc-09302025xearningsrelea.htm | 3Q25 Product sales | 8,369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noc-12312025xearningsrelea.htm | FY25 Product sales | 33,741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noc-03312026xearningsrelea.htm | 1Q26 Product sales | 7,958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noc-06302026xearningsrelea.htm | 2Q26 Product sales | 8,808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noc-09302025xearningsrelea.htm | 3Q25 Service sales | 2,054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noc-12312025xearningsrelea.htm | FY25 Service sales | 8,213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noc-03312026xearningsrelea.htm | 1Q26 Service sales | 1,923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noc-06302026xearningsrelea.htm | 2Q26 Service sales | 2,068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noc-09302025xearningsrelea.htm | 3Q25 Product costs | 6,631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noc-12312025xearningsrelea.htm | FY25 Product costs | 27,280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noc-03312026xearningsrelea.htm | 1Q26 Product costs | 6,433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noc-06302026xearningsrelea.htm | 2Q26 Product costs | 7,155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noc-09302025xearningsrelea.htm | 3Q25 Service costs | 1,565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noc-12312025xearningsrelea.htm | FY25 Service costs | 6,361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noc-03312026xearningsrelea.htm | 1Q26 Service costs | 1,488</t>
        </r>
      </text>
    </comment>
    <comment ref="G40" authorId="0">
      <text>
        <r>
          <rPr>
            <sz val="9"/>
            <color rgb="FF000000"/>
            <rFont val="Arial"/>
            <family val="2"/>
          </rPr>
          <t>noc-06302026xearningsrelea.htm | 2Q26 Service costs | 1,600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noc-09302025xearningsrelea.htm | 3Q25 General and administrative expenses | 985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noc-12312025xearningsrelea.htm | FY25 General and administrative expenses | 4,033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noc-03312026xearningsrelea.htm | 1Q26 General and administrative expenses | 971</t>
        </r>
      </text>
    </comment>
    <comment ref="G46" authorId="0">
      <text>
        <r>
          <rPr>
            <sz val="9"/>
            <color rgb="FF000000"/>
            <rFont val="Arial"/>
            <family val="2"/>
          </rPr>
          <t>noc-06302026xearningsrelea.htm | 2Q26 General and administrative expenses | 1,025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noc-09302025xearningsrelea.htm | 3Q25 Gain on sale of business | 0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noc-12312025xearningsrelea.htm | 4Q25 Gain on sale of business | 0</t>
        </r>
      </text>
    </comment>
    <comment ref="E53" authorId="0">
      <text>
        <r>
          <rPr>
            <sz val="9"/>
            <color rgb="FF000000"/>
            <rFont val="Arial"/>
            <family val="2"/>
          </rPr>
          <t>noc-12312025xearningsrelea.htm | FY25 Gain on sale of business | 231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noc-03312026xearningsrelea.htm | 1Q26 Gain on sale of business | 0</t>
        </r>
      </text>
    </comment>
    <comment ref="G53" authorId="0">
      <text>
        <r>
          <rPr>
            <sz val="9"/>
            <color rgb="FF000000"/>
            <rFont val="Arial"/>
            <family val="2"/>
          </rPr>
          <t>noc-06302026xearningsrelea.htm | 2Q26 Gain on sale of business | 0</t>
        </r>
      </text>
    </comment>
    <comment ref="C71" authorId="0">
      <text>
        <r>
          <rPr>
            <sz val="9"/>
            <color rgb="FF000000"/>
            <rFont val="Arial"/>
            <family val="2"/>
          </rPr>
          <t>noc-20250930.htm | 3Q25 Intersegment eliminations | (75)</t>
        </r>
      </text>
    </comment>
    <comment ref="D71" authorId="0">
      <text>
        <r>
          <rPr>
            <sz val="9"/>
            <color rgb="FF000000"/>
            <rFont val="Arial"/>
            <family val="2"/>
          </rPr>
          <t>noc-12312025xearningsrelea.htm | 4Q25 Intersegment eliminations | (94)</t>
        </r>
      </text>
    </comment>
    <comment ref="E71" authorId="0">
      <text>
        <r>
          <rPr>
            <sz val="9"/>
            <color rgb="FF000000"/>
            <rFont val="Arial"/>
            <family val="2"/>
          </rPr>
          <t>R39.htm (FY2025 10-K) | FY25 Intersegment eliminations | (317)</t>
        </r>
      </text>
    </comment>
    <comment ref="F71" authorId="0">
      <text>
        <r>
          <rPr>
            <sz val="9"/>
            <color rgb="FF000000"/>
            <rFont val="Arial"/>
            <family val="2"/>
          </rPr>
          <t>noc-20260331.htm | 1Q26 Intersegment eliminations | (85)</t>
        </r>
      </text>
    </comment>
    <comment ref="G71" authorId="0">
      <text>
        <r>
          <rPr>
            <sz val="9"/>
            <color rgb="FF000000"/>
            <rFont val="Arial"/>
            <family val="2"/>
          </rPr>
          <t>noc-20260630.htm | 2Q26 Intersegment eliminations | (97)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noc-09302025xearningsrelea.htm | 3Q25 FAS/CAS operating adjustment | 67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noc-12312025xearningsrelea.htm | 4Q25 FAS/CAS operating adjustment | 65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noc-12312025xearningsrelea.htm | FY25 FAS/CAS operating adjustment | 258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noc-03312026xearningsrelea.htm | 1Q26 FAS/CAS operating adjustment | 7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noc-06302026xearningsrelea.htm | 2Q26 FAS/CAS operating adjustment | 7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noc-09302025xearningsrelea.htm | 3Q25 Gain on sale of business | 0</t>
        </r>
      </text>
    </comment>
    <comment ref="D87" authorId="0">
      <text>
        <r>
          <rPr>
            <sz val="9"/>
            <color rgb="FF000000"/>
            <rFont val="Arial"/>
            <family val="2"/>
          </rPr>
          <t>noc-12312025xearningsrelea.htm | 4Q25 Gain on sale of business | 0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noc-12312025xearningsrelea.htm | FY25 Gain on sale of business | 231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noc-03312026xearningsrelea.htm | 1Q26 Gain on sale of business | 0</t>
        </r>
      </text>
    </comment>
    <comment ref="G87" authorId="0">
      <text>
        <r>
          <rPr>
            <sz val="9"/>
            <color rgb="FF000000"/>
            <rFont val="Arial"/>
            <family val="2"/>
          </rPr>
          <t>noc-06302026xearningsrelea.htm | 2Q26 Gain on sale of business | 0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noc-09302025xearningsrelea.htm | 3Q25 Training services divestiture - unallowable state taxes and costs | 0</t>
        </r>
      </text>
    </comment>
    <comment ref="D90" authorId="0">
      <text>
        <r>
          <rPr>
            <sz val="9"/>
            <color rgb="FF000000"/>
            <rFont val="Arial"/>
            <family val="2"/>
          </rPr>
          <t>noc-12312025xearningsrelea.htm | 4Q25 Training services divestiture - unallowable state taxes and costs | 0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noc-12312025xearningsrelea.htm | FY25 Training services divestiture - unallowable state taxes and costs | (20)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noc-03312026xearningsrelea.htm | 1Q26 Training services divestiture - unallowable state taxes and costs | 0</t>
        </r>
      </text>
    </comment>
    <comment ref="G90" authorId="0">
      <text>
        <r>
          <rPr>
            <sz val="9"/>
            <color rgb="FF000000"/>
            <rFont val="Arial"/>
            <family val="2"/>
          </rPr>
          <t>noc-06302026xearningsrelea.htm | 2Q26 Training services divestiture - unallowable state taxes and costs | 0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noc-09302025xearningsrelea.htm | 3Q25 Intangible asset amortisation and PP&amp;E step-up depreciation | (21)</t>
        </r>
      </text>
    </comment>
    <comment ref="D93" authorId="0">
      <text>
        <r>
          <rPr>
            <sz val="9"/>
            <color rgb="FF000000"/>
            <rFont val="Arial"/>
            <family val="2"/>
          </rPr>
          <t>noc-12312025xearningsrelea.htm | 4Q25 Intangible asset amortisation and PP&amp;E step-up depreciation | (21)</t>
        </r>
      </text>
    </comment>
    <comment ref="E93" authorId="0">
      <text>
        <r>
          <rPr>
            <sz val="9"/>
            <color rgb="FF000000"/>
            <rFont val="Arial"/>
            <family val="2"/>
          </rPr>
          <t>noc-12312025xearningsrelea.htm | FY25 Intangible asset amortisation and PP&amp;E step-up depreciation | (84)</t>
        </r>
      </text>
    </comment>
    <comment ref="F93" authorId="0">
      <text>
        <r>
          <rPr>
            <sz val="9"/>
            <color rgb="FF000000"/>
            <rFont val="Arial"/>
            <family val="2"/>
          </rPr>
          <t>noc-03312026xearningsrelea.htm | 1Q26 Intangible asset amortisation and PP&amp;E step-up depreciation | (21)</t>
        </r>
      </text>
    </comment>
    <comment ref="G93" authorId="0">
      <text>
        <r>
          <rPr>
            <sz val="9"/>
            <color rgb="FF000000"/>
            <rFont val="Arial"/>
            <family val="2"/>
          </rPr>
          <t>noc-06302026xearningsrelea.htm | 2Q26 Intangible asset amortisation and PP&amp;E step-up depreciation | (17)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noc-09302025xearningsrelea.htm | 3Q25 MTM-related deferred state tax expense | 0</t>
        </r>
      </text>
    </comment>
    <comment ref="D96" authorId="0">
      <text>
        <r>
          <rPr>
            <sz val="9"/>
            <color rgb="FF000000"/>
            <rFont val="Arial"/>
            <family val="2"/>
          </rPr>
          <t>noc-12312025xearningsrelea.htm | 4Q25 MTM-related deferred state tax expense | (28)</t>
        </r>
      </text>
    </comment>
    <comment ref="E96" authorId="0">
      <text>
        <r>
          <rPr>
            <sz val="9"/>
            <color rgb="FF000000"/>
            <rFont val="Arial"/>
            <family val="2"/>
          </rPr>
          <t>noc-12312025xearningsrelea.htm | FY25 MTM-related deferred state tax expense | (28)</t>
        </r>
      </text>
    </comment>
    <comment ref="F96" authorId="0">
      <text>
        <r>
          <rPr>
            <sz val="9"/>
            <color rgb="FF000000"/>
            <rFont val="Arial"/>
            <family val="2"/>
          </rPr>
          <t>noc-03312026xearningsrelea.htm | 1Q26 MTM-related deferred state tax expense | 0</t>
        </r>
      </text>
    </comment>
    <comment ref="G96" authorId="0">
      <text>
        <r>
          <rPr>
            <sz val="9"/>
            <color rgb="FF000000"/>
            <rFont val="Arial"/>
            <family val="2"/>
          </rPr>
          <t>noc-06302026xearningsrelea.htm | 2Q26 MTM-related deferred state tax expense | 0</t>
        </r>
      </text>
    </comment>
    <comment ref="C99" authorId="0">
      <text>
        <r>
          <rPr>
            <sz val="9"/>
            <color rgb="FF000000"/>
            <rFont val="Arial"/>
            <family val="2"/>
          </rPr>
          <t>noc-09302025xearningsrelea.htm | 3Q25 Other unallocated corporate expense | (81)</t>
        </r>
      </text>
    </comment>
    <comment ref="D99" authorId="0">
      <text>
        <r>
          <rPr>
            <sz val="9"/>
            <color rgb="FF000000"/>
            <rFont val="Arial"/>
            <family val="2"/>
          </rPr>
          <t>noc-12312025xearningsrelea.htm | 4Q25 Other unallocated corporate expense | (58)</t>
        </r>
      </text>
    </comment>
    <comment ref="E99" authorId="0">
      <text>
        <r>
          <rPr>
            <sz val="9"/>
            <color rgb="FF000000"/>
            <rFont val="Arial"/>
            <family val="2"/>
          </rPr>
          <t>noc-12312025xearningsrelea.htm | FY25 Other unallocated corporate expense | (223)</t>
        </r>
      </text>
    </comment>
    <comment ref="F99" authorId="0">
      <text>
        <r>
          <rPr>
            <sz val="9"/>
            <color rgb="FF000000"/>
            <rFont val="Arial"/>
            <family val="2"/>
          </rPr>
          <t>noc-03312026xearningsrelea.htm | 1Q26 Other unallocated corporate expense | (69)</t>
        </r>
      </text>
    </comment>
    <comment ref="G99" authorId="0">
      <text>
        <r>
          <rPr>
            <sz val="9"/>
            <color rgb="FF000000"/>
            <rFont val="Arial"/>
            <family val="2"/>
          </rPr>
          <t>noc-06302026xearningsrelea.htm | 2Q26 Other unallocated corporate expense | (52)</t>
        </r>
      </text>
    </comment>
    <comment ref="C112" authorId="0">
      <text>
        <r>
          <rPr>
            <sz val="9"/>
            <color rgb="FF000000"/>
            <rFont val="Arial"/>
            <family val="2"/>
          </rPr>
          <t>noc-09302025xearningsrelea.htm | 3Q25 Interest expense | (161)</t>
        </r>
      </text>
    </comment>
    <comment ref="D112" authorId="0">
      <text>
        <r>
          <rPr>
            <sz val="9"/>
            <color rgb="FF000000"/>
            <rFont val="Arial"/>
            <family val="2"/>
          </rPr>
          <t>noc-12312025xearningsrelea.htm | 4Q25 Interest expense | (175)</t>
        </r>
      </text>
    </comment>
    <comment ref="E112" authorId="0">
      <text>
        <r>
          <rPr>
            <sz val="9"/>
            <color rgb="FF000000"/>
            <rFont val="Arial"/>
            <family val="2"/>
          </rPr>
          <t>noc-12312025xearningsrelea.htm | FY25 Interest expense | (665)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noc-03312026xearningsrelea.htm | 1Q26 Interest expense | (162)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noc-06302026xearningsrelea.htm | 2Q26 Interest expense | (161)</t>
        </r>
      </text>
    </comment>
    <comment ref="C115" authorId="0">
      <text>
        <r>
          <rPr>
            <sz val="9"/>
            <color rgb="FF000000"/>
            <rFont val="Arial"/>
            <family val="2"/>
          </rPr>
          <t>noc-09302025xearningsrelea.htm | 3Q25 Non-operating FAS pension benefit | 136</t>
        </r>
      </text>
    </comment>
    <comment ref="D115" authorId="0">
      <text>
        <r>
          <rPr>
            <sz val="9"/>
            <color rgb="FF000000"/>
            <rFont val="Arial"/>
            <family val="2"/>
          </rPr>
          <t>noc-12312025xearningsrelea.htm | 4Q25 Non-operating FAS pension benefit | 138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noc-12312025xearningsrelea.htm | FY25 Non-operating FAS pension benefit | 541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noc-03312026xearningsrelea.htm | 1Q26 Non-operating FAS pension benefit | 166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noc-06302026xearningsrelea.htm | 2Q26 Non-operating FAS pension benefit | 166</t>
        </r>
      </text>
    </comment>
    <comment ref="C118" authorId="0">
      <text>
        <r>
          <rPr>
            <sz val="9"/>
            <color rgb="FF000000"/>
            <rFont val="Arial"/>
            <family val="2"/>
          </rPr>
          <t>noc-09302025xearningsrelea.htm | 3Q25 Mark-to-market pension and OPB benefit | 0</t>
        </r>
      </text>
    </comment>
    <comment ref="D118" authorId="0">
      <text>
        <r>
          <rPr>
            <sz val="9"/>
            <color rgb="FF000000"/>
            <rFont val="Arial"/>
            <family val="2"/>
          </rPr>
          <t>noc-12312025xearningsrelea.htm | 4Q25 Mark-to-market pension and OPB benefit | 527</t>
        </r>
      </text>
    </comment>
    <comment ref="E118" authorId="0">
      <text>
        <r>
          <rPr>
            <sz val="9"/>
            <color rgb="FF000000"/>
            <rFont val="Arial"/>
            <family val="2"/>
          </rPr>
          <t>noc-12312025xearningsrelea.htm | FY25 Mark-to-market pension and OPB benefit | 527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noc-03312026xearningsrelea.htm | 1Q26 Mark-to-market pension and OPB benefit | 0</t>
        </r>
      </text>
    </comment>
    <comment ref="G118" authorId="0">
      <text>
        <r>
          <rPr>
            <sz val="9"/>
            <color rgb="FF000000"/>
            <rFont val="Arial"/>
            <family val="2"/>
          </rPr>
          <t>noc-06302026xearningsrelea.htm | 2Q26 Mark-to-market pension and OPB benefit | 0</t>
        </r>
      </text>
    </comment>
    <comment ref="C121" authorId="0">
      <text>
        <r>
          <rPr>
            <sz val="9"/>
            <color rgb="FF000000"/>
            <rFont val="Arial"/>
            <family val="2"/>
          </rPr>
          <t>noc-09302025xearningsrelea.htm | 3Q25 Other, net | 106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noc-12312025xearningsrelea.htm | 4Q25 Other, net | (21)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noc-12312025xearningsrelea.htm | FY25 Other, net | 154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noc-03312026xearningsrelea.htm | 1Q26 Other, net | 37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noc-06302026xearningsrelea.htm | 2Q26 Other, net | 67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noc-09302025xearningsrelea.htm | 3Q25 Federal and foreign income tax expense | 223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noc-12312025xearningsrelea.htm | 4Q25 Federal and foreign income tax expense | 313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noc-12312025xearningsrelea.htm | FY25 Federal and foreign income tax expense | 886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noc-03312026xearningsrelea.htm | 1Q26 Federal and foreign income tax expense | 155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noc-06302026xearningsrelea.htm | 2Q26 Federal and foreign income tax expense | 74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noc-09302025xearningsrelea.htm | 3Q25 Reported diluted EPS (issuer) | 7.67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noc-12312025xearningsrelea.htm | 4Q25 Reported diluted EPS (issuer) | 9.99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noc-12312025xearningsrelea.htm | FY25 Reported diluted EPS (issuer) | 29.08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noc-03312026xearningsrelea.htm | 1Q26 Reported diluted EPS (issuer) | 6.14</t>
        </r>
      </text>
    </comment>
    <comment ref="G149" authorId="0">
      <text>
        <r>
          <rPr>
            <sz val="9"/>
            <color rgb="FF000000"/>
            <rFont val="Arial"/>
            <family val="2"/>
          </rPr>
          <t>noc-06302026xearningsrelea.htm | 2Q26 Reported diluted EPS (issuer) | 7.68</t>
        </r>
      </text>
    </comment>
    <comment ref="C156" authorId="0">
      <text>
        <r>
          <rPr>
            <sz val="9"/>
            <color rgb="FF000000"/>
            <rFont val="Arial"/>
            <family val="2"/>
          </rPr>
          <t>noc-09302025xearningsrelea.htm | 3Q25 Add: federal tax expense of items above | 0</t>
        </r>
      </text>
    </comment>
    <comment ref="D156" authorId="0">
      <text>
        <r>
          <rPr>
            <sz val="9"/>
            <color rgb="FF000000"/>
            <rFont val="Arial"/>
            <family val="2"/>
          </rPr>
          <t>noc-12312025xearningsrelea.htm | 4Q25 Add: federal tax expense of items above | 105</t>
        </r>
      </text>
    </comment>
    <comment ref="E156" authorId="0">
      <text>
        <r>
          <rPr>
            <sz val="9"/>
            <color rgb="FF000000"/>
            <rFont val="Arial"/>
            <family val="2"/>
          </rPr>
          <t>noc-12312025xearningsrelea.htm | FY25 Add: federal tax expense of items above | 105</t>
        </r>
      </text>
    </comment>
    <comment ref="F156" authorId="0">
      <text>
        <r>
          <rPr>
            <sz val="9"/>
            <color rgb="FF000000"/>
            <rFont val="Arial"/>
            <family val="2"/>
          </rPr>
          <t>noc-03312026xearningsrelea.htm | 1Q26 Add: federal tax expense of items above | 0</t>
        </r>
      </text>
    </comment>
    <comment ref="G156" authorId="0">
      <text>
        <r>
          <rPr>
            <sz val="9"/>
            <color rgb="FF000000"/>
            <rFont val="Arial"/>
            <family val="2"/>
          </rPr>
          <t>noc-06302026xearningsrelea.htm | 2Q26 Add: federal tax expense of items above | 0</t>
        </r>
      </text>
    </comment>
    <comment ref="C168" authorId="0">
      <text>
        <r>
          <rPr>
            <sz val="9"/>
            <color rgb="FF000000"/>
            <rFont val="Arial"/>
            <family val="2"/>
          </rPr>
          <t>noc-09302025xearningsrelea.htm | 3Q25 Reported MTM-adjusted diluted EPS (issuer) | 7.67</t>
        </r>
      </text>
    </comment>
    <comment ref="D168" authorId="0">
      <text>
        <r>
          <rPr>
            <sz val="9"/>
            <color rgb="FF000000"/>
            <rFont val="Arial"/>
            <family val="2"/>
          </rPr>
          <t>noc-12312025xearningsrelea.htm | 4Q25 Reported MTM-adjusted diluted EPS (issuer) | 7.23</t>
        </r>
      </text>
    </comment>
    <comment ref="E168" authorId="0">
      <text>
        <r>
          <rPr>
            <sz val="9"/>
            <color rgb="FF000000"/>
            <rFont val="Arial"/>
            <family val="2"/>
          </rPr>
          <t>noc-12312025xearningsrelea.htm | FY25 Reported MTM-adjusted diluted EPS (issuer) | 26.34</t>
        </r>
      </text>
    </comment>
    <comment ref="F168" authorId="0">
      <text>
        <r>
          <rPr>
            <sz val="9"/>
            <color rgb="FF000000"/>
            <rFont val="Arial"/>
            <family val="2"/>
          </rPr>
          <t>noc-03312026xearningsrelea.htm | 1Q26 Reported MTM-adjusted diluted EPS (issuer) | 6.14</t>
        </r>
      </text>
    </comment>
    <comment ref="G168" authorId="0">
      <text>
        <r>
          <rPr>
            <sz val="9"/>
            <color rgb="FF000000"/>
            <rFont val="Arial"/>
            <family val="2"/>
          </rPr>
          <t>noc-06302026xearningsrelea.htm | 2Q26 Reported MTM-adjusted diluted EPS (issuer) | 7.68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noc-09302025xearningsrelea.htm | 3Q25 Cash and cash equivalents | 1,957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noc-12312025xearningsrelea.htm | 4Q25 Cash and cash equivalents | 4,403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noc-03312026xearningsrelea.htm | 1Q26 Cash and cash equivalents | 2,090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noc-06302026xearningsrelea.htm | 2Q26 Cash and cash equivalents | 2,307</t>
        </r>
      </text>
    </comment>
    <comment ref="C11" authorId="0">
      <text>
        <r>
          <rPr>
            <sz val="9"/>
            <color rgb="FF000000"/>
            <rFont val="Arial"/>
            <family val="2"/>
          </rPr>
          <t>noc-09302025xearningsrelea.htm | 3Q25 Accounts receivable, net | 1,983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noc-12312025xearningsrelea.htm | 4Q25 Accounts receivable, net | 1,375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noc-03312026xearningsrelea.htm | 1Q26 Accounts receivable, net | 1,806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noc-06302026xearningsrelea.htm | 2Q26 Accounts receivable, net | 2,311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noc-09302025xearningsrelea.htm | 3Q25 Unbilled receivables, net | 7,030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noc-12312025xearningsrelea.htm | 4Q25 Unbilled receivables, net | 6,544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noc-03312026xearningsrelea.htm | 1Q26 Unbilled receivables, net | 7,556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noc-06302026xearningsrelea.htm | 2Q26 Unbilled receivables, net | 7,953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noc-09302025xearningsrelea.htm | 3Q25 Inventoried costs, net | 1,615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noc-12312025xearningsrelea.htm | 4Q25 Inventoried costs, net | 1,309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noc-03312026xearningsrelea.htm | 1Q26 Inventoried costs, net | 1,450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noc-06302026xearningsrelea.htm | 2Q26 Inventoried costs, net | 1,415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noc-09302025xearningsrelea.htm | 3Q25 Prepaid expenses and other current assets | 1,520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noc-12312025xearningsrelea.htm | 4Q25 Prepaid expenses and other current assets | 1,656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noc-03312026xearningsrelea.htm | 1Q26 Prepaid expenses and other current assets | 1,868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noc-06302026xearningsrelea.htm | 2Q26 Prepaid expenses and other current assets | 1,604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noc-09302025xearningsrelea.htm | 3Q25 Property, plant and equipment, net | 10,542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noc-12312025xearningsrelea.htm | 4Q25 Property, plant and equipment, net | 10,972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noc-03312026xearningsrelea.htm | 1Q26 Property, plant and equipment, net | 10,243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noc-06302026xearningsrelea.htm | 2Q26 Property, plant and equipment, net | 10,297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noc-09302025xearningsrelea.htm | 3Q25 Operating lease right-of-use assets | 1,783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noc-12312025xearningsrelea.htm | 4Q25 Operating lease right-of-use assets | 1,859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noc-03312026xearningsrelea.htm | 1Q26 Operating lease right-of-use assets | 1,925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noc-06302026xearningsrelea.htm | 2Q26 Operating lease right-of-use assets | 1,901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noc-09302025xearningsrelea.htm | 3Q25 Goodwill | 17,436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noc-12312025xearningsrelea.htm | 4Q25 Goodwill | 17,437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noc-03312026xearningsrelea.htm | 1Q26 Goodwill | 17,439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noc-06302026xearningsrelea.htm | 2Q26 Goodwill | 17,439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noc-09302025xearningsrelea.htm | 3Q25 Intangible assets, net | 220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noc-09302025xearningsrelea.htm | 3Q25 Deferred tax assets | 1,255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noc-12312025xearningsrelea.htm | 4Q25 Deferred tax assets | 1,051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noc-03312026xearningsrelea.htm | 1Q26 Deferred tax assets | 743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noc-06302026xearningsrelea.htm | 2Q26 Deferred tax assets | 598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noc-09302025xearningsrelea.htm | 3Q25 Pension and other postretirement benefit plan assets | 2,501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noc-12312025xearningsrelea.htm | 4Q25 Pension and other postretirement benefit plan assets | 3,167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noc-03312026xearningsrelea.htm | 1Q26 Pension and other postretirement benefit plan assets | 3,307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noc-06302026xearningsrelea.htm | 2Q26 Pension and other postretirement benefit plan assets | 3,447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noc-09302025xearningsrelea.htm | 3Q25 Other non-current assets | 1,458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noc-12312025xearningsrelea.htm | 4Q25 Other non-current assets | 1,604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noc-03312026xearningsrelea.htm | 1Q26 Other non-current assets | 1,580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noc-06302026xearningsrelea.htm | 2Q26 Other non-current assets | 1,491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noc-09302025xearningsrelea.htm | 3Q25 Trade accounts payable | 2,797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noc-12312025xearningsrelea.htm | 4Q25 Trade accounts payable | 3,240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noc-03312026xearningsrelea.htm | 1Q26 Trade accounts payable | 2,681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noc-06302026xearningsrelea.htm | 2Q26 Trade accounts payable | 2,895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noc-09302025xearningsrelea.htm | 3Q25 Accrued employee compensation | 1,946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noc-12312025xearningsrelea.htm | 4Q25 Accrued employee compensation | 2,309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noc-03312026xearningsrelea.htm | 1Q26 Accrued employee compensation | 1,732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noc-06302026xearningsrelea.htm | 2Q26 Accrued employee compensation | 1,991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noc-09302025xearningsrelea.htm | 3Q25 Advance payments and billings in excess of costs incurred | 3,562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noc-12312025xearningsrelea.htm | 4Q25 Advance payments and billings in excess of costs incurred | 4,086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noc-03312026xearningsrelea.htm | 1Q26 Advance payments and billings in excess of costs incurred | 3,697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noc-06302026xearningsrelea.htm | 2Q26 Advance payments and billings in excess of costs incurred | 3,823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noc-09302025xearningsrelea.htm | 3Q25 Other current liabilities | 4,413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noc-12312025xearningsrelea.htm | 4Q25 Other current liabilities | 4,247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noc-03312026xearningsrelea.htm | 1Q26 Other current liabilities | 4,711</t>
        </r>
      </text>
    </comment>
    <comment ref="G29" authorId="0">
      <text>
        <r>
          <rPr>
            <sz val="9"/>
            <color rgb="FF000000"/>
            <rFont val="Arial"/>
            <family val="2"/>
          </rPr>
          <t>noc-06302026xearningsrelea.htm | 2Q26 Other current liabilities | 4,636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noc-09302025xearningsrelea.htm | 3Q25 Long-term debt, net of current portion | 15,162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noc-12312025xearningsrelea.htm | 4Q25 Long-term debt, net of current portion | 15,162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noc-03312026xearningsrelea.htm | 1Q26 Long-term debt, net of current portion | 14,411</t>
        </r>
      </text>
    </comment>
    <comment ref="G31" authorId="0">
      <text>
        <r>
          <rPr>
            <sz val="9"/>
            <color rgb="FF000000"/>
            <rFont val="Arial"/>
            <family val="2"/>
          </rPr>
          <t>noc-06302026xearningsrelea.htm | 2Q26 Long-term debt, net of current portion | 14,428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noc-09302025xearningsrelea.htm | 3Q25 Pension and other postretirement benefit plan liabilities | 1,100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noc-12312025xearningsrelea.htm | 4Q25 Pension and other postretirement benefit plan liabilities | 1,110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noc-03312026xearningsrelea.htm | 1Q26 Pension and other postretirement benefit plan liabilities | 1,095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noc-06302026xearningsrelea.htm | 2Q26 Pension and other postretirement benefit plan liabilities | 1,086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noc-09302025xearningsrelea.htm | 3Q25 Operating lease liabilities | 1,796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noc-12312025xearningsrelea.htm | 4Q25 Operating lease liabilities | 1,857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noc-03312026xearningsrelea.htm | 1Q26 Operating lease liabilities | 1,905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noc-06302026xearningsrelea.htm | 2Q26 Operating lease liabilities | 1,861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noc-09302025xearningsrelea.htm | 3Q25 Other non-current liabilities | 2,536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noc-12312025xearningsrelea.htm | 4Q25 Other non-current liabilities | 2,692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noc-03312026xearningsrelea.htm | 1Q26 Other non-current liabilities | 2,660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noc-06302026xearningsrelea.htm | 2Q26 Other non-current liabilities | 2,159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noc-09302025xearningsrelea.htm | 3Q25 Common stock | 143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noc-12312025xearningsrelea.htm | 4Q25 Common stock | 142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noc-03312026xearningsrelea.htm | 1Q26 Common stock | 142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noc-06302026xearningsrelea.htm | 2Q26 Common stock | 142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noc-09302025xearningsrelea.htm | 3Q25 Paid-in capital | 0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noc-12312025xearningsrelea.htm | 4Q25 Paid-in capital | 0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noc-03312026xearningsrelea.htm | 1Q26 Paid-in capital | 8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noc-06302026xearningsrelea.htm | 2Q26 Paid-in capital | 37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noc-09302025xearningsrelea.htm | 3Q25 Retained earnings | 15,968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noc-12312025xearningsrelea.htm | 4Q25 Retained earnings | 16,658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noc-03312026xearningsrelea.htm | 1Q26 Retained earnings | 17,096</t>
        </r>
      </text>
    </comment>
    <comment ref="G40" authorId="0">
      <text>
        <r>
          <rPr>
            <sz val="9"/>
            <color rgb="FF000000"/>
            <rFont val="Arial"/>
            <family val="2"/>
          </rPr>
          <t>noc-06302026xearningsrelea.htm | 2Q26 Retained earnings | 17,839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noc-09302025xearningsrelea.htm | 3Q25 Accumulated other comprehensive loss | (123)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noc-12312025xearningsrelea.htm | 4Q25 Accumulated other comprehensive loss | (126)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noc-03312026xearningsrelea.htm | 1Q26 Accumulated other comprehensive loss | (131)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noc-06302026xearningsrelea.htm | 2Q26 Accumulated other comprehensive loss | (134)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noc-09302025xearningsrelea.htm | 3Q25 Current portion of long-term debt (in other current liabilities) | 533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noc-12312025xearningsrelea.htm | 4Q25 Current portion of long-term debt (in other current liabilities) | 534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noc-03312026xearningsrelea.htm | 1Q26 Current portion of long-term debt (in other current liabilities) | 758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noc-06302026xearningsrelea.htm | 2Q26 Current portion of long-term debt (in other current liabilities) | 763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32" authorId="0">
      <text>
        <r>
          <rPr>
            <sz val="9"/>
            <color rgb="FF000000"/>
            <rFont val="Arial"/>
            <family val="2"/>
          </rPr>
          <t>noc-09302025xearningsrelea.htm | 3Q25 Add: proceeds from sale of equipment to a customer | 0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noc-12312025xearningsrelea.htm | 4Q25 Add: proceeds from sale of equipment to a customer | 0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noc-12312025xearningsrelea.htm | FY25 Add: proceeds from sale of equipment to a customer | 0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noc-03312026xearningsrelea.htm | 1Q26 Add: proceeds from sale of equipment to a customer | 0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noc-06302026xearningsrelea.htm | 2Q26 Add: proceeds from sale of equipment to a customer | 0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noc-09302025xearningsrelea.htm | 3Q25 Add: after-tax discretionary pension contributions | 0</t>
        </r>
      </text>
    </comment>
    <comment ref="D133" authorId="0">
      <text>
        <r>
          <rPr>
            <sz val="9"/>
            <color rgb="FF000000"/>
            <rFont val="Arial"/>
            <family val="2"/>
          </rPr>
          <t>noc-12312025xearningsrelea.htm | 4Q25 Add: after-tax discretionary pension contributions | 0</t>
        </r>
      </text>
    </comment>
    <comment ref="E133" authorId="0">
      <text>
        <r>
          <rPr>
            <sz val="9"/>
            <color rgb="FF000000"/>
            <rFont val="Arial"/>
            <family val="2"/>
          </rPr>
          <t>noc-12312025xearningsrelea.htm | FY25 Add: after-tax discretionary pension contributions | 0</t>
        </r>
      </text>
    </comment>
    <comment ref="F133" authorId="0">
      <text>
        <r>
          <rPr>
            <sz val="9"/>
            <color rgb="FF000000"/>
            <rFont val="Arial"/>
            <family val="2"/>
          </rPr>
          <t>noc-03312026xearningsrelea.htm | 1Q26 Add: after-tax discretionary pension contributions | 0</t>
        </r>
      </text>
    </comment>
    <comment ref="G133" authorId="0">
      <text>
        <r>
          <rPr>
            <sz val="9"/>
            <color rgb="FF000000"/>
            <rFont val="Arial"/>
            <family val="2"/>
          </rPr>
          <t>noc-06302026xearningsrelea.htm | 2Q26 Add: after-tax discretionary pension contributions | 0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noc-20250930.htm | 3Q25 Corporate D&amp;A (incl. intangible amortisation, PP&amp;E step-up) | 71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R39.htm (FY2025 10-K) | FY25 Corporate D&amp;A (incl. intangible amortisation, PP&amp;E step-up) | 268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noc-20260331.htm | 1Q26 Corporate D&amp;A (incl. intangible amortisation, PP&amp;E step-up) | 72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noc-20260630.htm | 2Q26 Corporate D&amp;A (incl. intangible amortisation, PP&amp;E step-up) | 68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noc-20250930.htm | 3Q25 Corporate capital expenditures | 42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R39.htm (FY2025 10-K) | FY25 Corporate capital expenditures | 148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noc-20260331.htm | 1Q26 Corporate capital expenditures | 29</t>
        </r>
      </text>
    </comment>
    <comment ref="G149" authorId="0">
      <text>
        <r>
          <rPr>
            <sz val="9"/>
            <color rgb="FF000000"/>
            <rFont val="Arial"/>
            <family val="2"/>
          </rPr>
          <t>noc-20260630.htm | 2Q26 Corporate capital expenditures | 113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noc-09302025xearningsrelea.htm | 3Q25 Weighted-average basic shares | 143.1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noc-12312025xearningsrelea.htm | FY25 Weighted-average basic shares | 143.5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noc-03312026xearningsrelea.htm | 1Q26 Weighted-average basic shares | 142.1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noc-06302026xearningsrelea.htm | 2Q26 Weighted-average basic shares | 142.1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noc-09302025xearningsrelea.htm | 3Q25 Weighted-average diluted shares | 143.5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noc-12312025xearningsrelea.htm | 4Q25 Weighted-average diluted shares | 142.9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noc-12312025xearningsrelea.htm | FY25 Weighted-average diluted shares | 143.8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noc-03312026xearningsrelea.htm | 1Q26 Weighted-average diluted shares | 142.5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noc-06302026xearningsrelea.htm | 2Q26 Weighted-average diluted shares | 142.4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noc-09302025xearningsrelea.htm | 3Q25 Common shares outstanding, period end (m) | 142.790278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noc-12312025xearningsrelea.htm | 4Q25 Common shares outstanding, period end (m) | 141.997194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noc-03312026xearningsrelea.htm | 1Q26 Common shares outstanding, period end (m) | 142.033476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noc-06302026xearningsrelea.htm | 2Q26 Common shares outstanding, period end (m) | 142.06268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1" authorId="0">
      <text>
        <r>
          <rPr>
            <sz val="9"/>
            <color rgb="FF000000"/>
            <rFont val="Arial"/>
            <family val="2"/>
          </rPr>
          <t>noc-12312025xearningsrelea.htm | 4Q24 Closing total backlog | 25,202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noc-03312025xearningsrelea.htm | 1Q25 Closing total backlog | 25,454</t>
        </r>
      </text>
    </comment>
    <comment ref="H11" authorId="0">
      <text>
        <r>
          <rPr>
            <sz val="9"/>
            <color rgb="FF000000"/>
            <rFont val="Arial"/>
            <family val="2"/>
          </rPr>
          <t>noc-06302025xearningsrelea.htm | 2Q25 Closing total backlog | 23,544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noc-03312025xearningsrelea.htm | 1Q25 Funded backlog (closing) | 11,718</t>
        </r>
      </text>
    </comment>
    <comment ref="H12" authorId="0">
      <text>
        <r>
          <rPr>
            <sz val="9"/>
            <color rgb="FF000000"/>
            <rFont val="Arial"/>
            <family val="2"/>
          </rPr>
          <t>noc-06302025xearningsrelea.htm | 2Q25 Funded backlog (closing) | 10,556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noc-09302025xearningsrelea.htm | 3Q24 Aeronautics Systems sales | 2,961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noc-09302025xearningsrelea.htm | 9M24 Aeronautics Systems sales | 9,065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noc-12312025xearningsrelea.htm | 4Q24 Aeronautics Systems sales | 3,331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noc-12312025xearningsrelea.htm | FY24 Aeronautics Systems sales | 12,396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noc-03312026xearningsrelea.htm | 1Q25 Aeronautics Systems sales | 2,814</t>
        </r>
      </text>
    </comment>
    <comment ref="H13" authorId="0">
      <text>
        <r>
          <rPr>
            <sz val="9"/>
            <color rgb="FF000000"/>
            <rFont val="Arial"/>
            <family val="2"/>
          </rPr>
          <t>noc-06302026xearningsrelea.htm | 2Q25 Aeronautics Systems sales | 3,114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noc-20250930.htm | 3Q24 Intersegment sales | 33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noc-20250930.htm | 9M24 Intersegment sales | 99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R39.htm (FY2025 10-K) | FY24 Intersegment sales | 132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noc-20260331.htm | 1Q25 Intersegment sales | 41</t>
        </r>
      </text>
    </comment>
    <comment ref="H15" authorId="0">
      <text>
        <r>
          <rPr>
            <sz val="9"/>
            <color rgb="FF000000"/>
            <rFont val="Arial"/>
            <family val="2"/>
          </rPr>
          <t>noc-20260630.htm | 2Q25 Intersegment sales | 38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noc-09302025xearningsrelea.htm | 3Q24 Aeronautics Systems operating income | 309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noc-09302025xearningsrelea.htm | 9M24 Aeronautics Systems operating income | 927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noc-12312025xearningsrelea.htm | 4Q24 Aeronautics Systems operating income | 309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noc-12312025xearningsrelea.htm | FY24 Aeronautics Systems operating income | 1,236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noc-03312026xearningsrelea.htm | 1Q25 Aeronautics Systems operating income | (183)</t>
        </r>
      </text>
    </comment>
    <comment ref="H16" authorId="0">
      <text>
        <r>
          <rPr>
            <sz val="9"/>
            <color rgb="FF000000"/>
            <rFont val="Arial"/>
            <family val="2"/>
          </rPr>
          <t>noc-06302026xearningsrelea.htm | 2Q25 Aeronautics Systems operating income | 321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noc-20250930.htm | 3Q24 U.S. government | 2,451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noc-20250930.htm | 9M24 U.S. government | 7,641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R39.htm (FY2025 10-K) | FY24 U.S. government | 10,364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noc-20260331.htm | 1Q25 U.S. government | 2,290</t>
        </r>
      </text>
    </comment>
    <comment ref="H17" authorId="0">
      <text>
        <r>
          <rPr>
            <sz val="9"/>
            <color rgb="FF000000"/>
            <rFont val="Arial"/>
            <family val="2"/>
          </rPr>
          <t>noc-20260630.htm | 2Q25 U.S. government | 2,526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noc-20250930.htm | 3Q24 International | 470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noc-20250930.htm | 9M24 International | 1,309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R39.htm (FY2025 10-K) | FY24 International | 1,878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noc-20260331.htm | 1Q25 International | 478</t>
        </r>
      </text>
    </comment>
    <comment ref="H18" authorId="0">
      <text>
        <r>
          <rPr>
            <sz val="9"/>
            <color rgb="FF000000"/>
            <rFont val="Arial"/>
            <family val="2"/>
          </rPr>
          <t>noc-20260630.htm | 2Q25 International | 544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noc-20250930.htm | 3Q24 Other customers | 7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noc-20250930.htm | 9M24 Other customers | 16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R39.htm (FY2025 10-K) | FY24 Other customers | 22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noc-20260331.htm | 1Q25 Other customers | 5</t>
        </r>
      </text>
    </comment>
    <comment ref="H19" authorId="0">
      <text>
        <r>
          <rPr>
            <sz val="9"/>
            <color rgb="FF000000"/>
            <rFont val="Arial"/>
            <family val="2"/>
          </rPr>
          <t>noc-20260630.htm | 2Q25 Other customers | 6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noc-20250930.htm | 3Q24 Cost-type | 1,321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noc-20250930.htm | 9M24 Cost-type | 4,080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R39.htm (FY2025 10-K) | FY24 Cost-type | 5,500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noc-20260331.htm | 1Q25 Cost-type | 1,339</t>
        </r>
      </text>
    </comment>
    <comment ref="H20" authorId="0">
      <text>
        <r>
          <rPr>
            <sz val="9"/>
            <color rgb="FF000000"/>
            <rFont val="Arial"/>
            <family val="2"/>
          </rPr>
          <t>noc-20260630.htm | 2Q25 Cost-type | 1,461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noc-20250930.htm | 3Q24 Fixed-price | 1,607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noc-20250930.htm | 9M24 Fixed-price | 4,886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R39.htm (FY2025 10-K) | FY24 Fixed-price | 6,764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noc-20260331.htm | 1Q25 Fixed-price | 1,434</t>
        </r>
      </text>
    </comment>
    <comment ref="H21" authorId="0">
      <text>
        <r>
          <rPr>
            <sz val="9"/>
            <color rgb="FF000000"/>
            <rFont val="Arial"/>
            <family val="2"/>
          </rPr>
          <t>noc-20260630.htm | 2Q25 Fixed-price | 1,615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noc-20250930.htm | 3Q24 United States | 2,458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noc-20250930.htm | 9M24 United States | 7,657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R39.htm (FY2025 10-K) | FY24 United States | 10,386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noc-20260331.htm | 1Q25 United States | 2,295</t>
        </r>
      </text>
    </comment>
    <comment ref="H22" authorId="0">
      <text>
        <r>
          <rPr>
            <sz val="9"/>
            <color rgb="FF000000"/>
            <rFont val="Arial"/>
            <family val="2"/>
          </rPr>
          <t>noc-20260630.htm | 2Q25 United States | 2,532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noc-20250930.htm | 3Q24 Asia/Pacific | 200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noc-20250930.htm | 9M24 Asia/Pacific | 534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R39.htm (FY2025 10-K) | FY24 Asia/Pacific | 744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noc-20260331.htm | 1Q25 Asia/Pacific | 200</t>
        </r>
      </text>
    </comment>
    <comment ref="H23" authorId="0">
      <text>
        <r>
          <rPr>
            <sz val="9"/>
            <color rgb="FF000000"/>
            <rFont val="Arial"/>
            <family val="2"/>
          </rPr>
          <t>noc-20260630.htm | 2Q25 Asia/Pacific | 226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noc-20250930.htm | 3Q24 Europe | 259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noc-20250930.htm | 9M24 Europe | 749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R39.htm (FY2025 10-K) | FY24 Europe | 1,097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noc-20260331.htm | 1Q25 Europe | 269</t>
        </r>
      </text>
    </comment>
    <comment ref="H24" authorId="0">
      <text>
        <r>
          <rPr>
            <sz val="9"/>
            <color rgb="FF000000"/>
            <rFont val="Arial"/>
            <family val="2"/>
          </rPr>
          <t>noc-20260630.htm | 2Q25 Europe | 301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noc-20250930.htm | 3Q24 Other regions (principally Middle East) | 11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noc-20250930.htm | 9M24 Other regions (principally Middle East) | 26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R39.htm (FY2025 10-K) | FY24 Other regions (principally Middle East) | 37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noc-20260331.htm | 1Q25 Other regions (principally Middle East) | 9</t>
        </r>
      </text>
    </comment>
    <comment ref="H25" authorId="0">
      <text>
        <r>
          <rPr>
            <sz val="9"/>
            <color rgb="FF000000"/>
            <rFont val="Arial"/>
            <family val="2"/>
          </rPr>
          <t>noc-20260630.htm | 2Q25 Other regions (principally Middle East) | 17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noc-20250930.htm | 3Q24 Net EAC adjustments (in operating income) | 48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noc-20250930.htm | 9M24 Net EAC adjustments (in operating income) | 165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R39.htm (FY2025 10-K) | FY24 Net EAC adjustments (in operating income) | 157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noc-20260331.htm | 1Q25 Net EAC adjustments (in operating income) | (189)</t>
        </r>
      </text>
    </comment>
    <comment ref="H26" authorId="0">
      <text>
        <r>
          <rPr>
            <sz val="9"/>
            <color rgb="FF000000"/>
            <rFont val="Arial"/>
            <family val="2"/>
          </rPr>
          <t>noc-20260630.htm | 2Q25 Net EAC adjustments (in operating income) | 30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noc-20250930.htm | 3Q24 Depreciation and amortisation | 92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noc-20250930.htm | 9M24 Depreciation and amortisation | 266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R39.htm (FY2025 10-K) | FY24 Depreciation and amortisation | 385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noc-20260331.htm | 1Q25 Depreciation and amortisation | 89</t>
        </r>
      </text>
    </comment>
    <comment ref="H27" authorId="0">
      <text>
        <r>
          <rPr>
            <sz val="9"/>
            <color rgb="FF000000"/>
            <rFont val="Arial"/>
            <family val="2"/>
          </rPr>
          <t>noc-20260630.htm | 2Q25 Depreciation and amortisation | 92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noc-20250930.htm | 3Q24 Capital expenditures | 139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noc-20250930.htm | 9M24 Capital expenditures | 339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R39.htm (FY2025 10-K) | FY24 Capital expenditures | 600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noc-20260331.htm | 1Q25 Capital expenditures | 79</t>
        </r>
      </text>
    </comment>
    <comment ref="H28" authorId="0">
      <text>
        <r>
          <rPr>
            <sz val="9"/>
            <color rgb="FF000000"/>
            <rFont val="Arial"/>
            <family val="2"/>
          </rPr>
          <t>noc-20260630.htm | 2Q25 Capital expenditures | 69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noc-12312025xearningsrelea.htm | 4Q24 Closing total backlog | 26,614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noc-03312025xearningsrelea.htm | 1Q25 Closing total backlog | 26,546</t>
        </r>
      </text>
    </comment>
    <comment ref="H30" authorId="0">
      <text>
        <r>
          <rPr>
            <sz val="9"/>
            <color rgb="FF000000"/>
            <rFont val="Arial"/>
            <family val="2"/>
          </rPr>
          <t>noc-06302025xearningsrelea.htm | 2Q25 Closing total backlog | 27,029</t>
        </r>
      </text>
    </comment>
    <comment ref="G31" authorId="0">
      <text>
        <r>
          <rPr>
            <sz val="9"/>
            <color rgb="FF000000"/>
            <rFont val="Arial"/>
            <family val="2"/>
          </rPr>
          <t>noc-03312025xearningsrelea.htm | 1Q25 Funded backlog (closing) | 8,851</t>
        </r>
      </text>
    </comment>
    <comment ref="H31" authorId="0">
      <text>
        <r>
          <rPr>
            <sz val="9"/>
            <color rgb="FF000000"/>
            <rFont val="Arial"/>
            <family val="2"/>
          </rPr>
          <t>noc-06302025xearningsrelea.htm | 2Q25 Funded backlog (closing) | 8,205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noc-09302025xearningsrelea.htm | 3Q24 Defense Systems sales | 1,800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noc-09302025xearningsrelea.htm | 9M24 Defense Systems sales | 5,396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noc-12312025xearningsrelea.htm | 4Q24 Defense Systems sales | 2,003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noc-12312025xearningsrelea.htm | FY24 Defense Systems sales | 7,399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noc-03312026xearningsrelea.htm | 1Q25 Defense Systems sales | 1,805</t>
        </r>
      </text>
    </comment>
    <comment ref="H32" authorId="0">
      <text>
        <r>
          <rPr>
            <sz val="9"/>
            <color rgb="FF000000"/>
            <rFont val="Arial"/>
            <family val="2"/>
          </rPr>
          <t>noc-06302026xearningsrelea.htm | 2Q25 Defense Systems sales | 1,991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noc-09302025xearningsrelea.htm | 3Q24 Divested training services sales in segment | 70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noc-09302025xearningsrelea.htm | 9M24 Divested training services sales in segment | 226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noc-12312025xearningsrelea.htm | 4Q24 Divested training services sales in segment | 78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noc-12312025xearningsrelea.htm | FY24 Divested training services sales in segment | 304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noc-03312026xearningsrelea.htm | 1Q25 Divested training services sales in segment | 72</t>
        </r>
      </text>
    </comment>
    <comment ref="H33" authorId="0">
      <text>
        <r>
          <rPr>
            <sz val="9"/>
            <color rgb="FF000000"/>
            <rFont val="Arial"/>
            <family val="2"/>
          </rPr>
          <t>noc-06302026xearningsrelea.htm | 2Q25 Divested training services sales in segment | 40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noc-20250930.htm | 3Q24 Intersegment sales | 43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noc-20250930.htm | 9M24 Intersegment sales | 130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R39.htm (FY2025 10-K) | FY24 Intersegment sales | 171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noc-20260331.htm | 1Q25 Intersegment sales | 45</t>
        </r>
      </text>
    </comment>
    <comment ref="H34" authorId="0">
      <text>
        <r>
          <rPr>
            <sz val="9"/>
            <color rgb="FF000000"/>
            <rFont val="Arial"/>
            <family val="2"/>
          </rPr>
          <t>noc-20260630.htm | 2Q25 Intersegment sales | 53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noc-09302025xearningsrelea.htm | 3Q24 Defense Systems operating income | 160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noc-09302025xearningsrelea.htm | 9M24 Defense Systems operating income | 507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noc-12312025xearningsrelea.htm | 4Q24 Defense Systems operating income | 209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noc-12312025xearningsrelea.htm | FY24 Defense Systems operating income | 716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noc-03312026xearningsrelea.htm | 1Q25 Defense Systems operating income | 179</t>
        </r>
      </text>
    </comment>
    <comment ref="H35" authorId="0">
      <text>
        <r>
          <rPr>
            <sz val="9"/>
            <color rgb="FF000000"/>
            <rFont val="Arial"/>
            <family val="2"/>
          </rPr>
          <t>noc-06302026xearningsrelea.htm | 2Q25 Defense Systems operating income | 253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noc-20250930.htm | 3Q24 U.S. government | 1,472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noc-20250930.htm | 9M24 U.S. government | 4,435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R39.htm (FY2025 10-K) | FY24 U.S. government | 6,056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noc-20260331.htm | 1Q25 U.S. government | 1,451</t>
        </r>
      </text>
    </comment>
    <comment ref="H36" authorId="0">
      <text>
        <r>
          <rPr>
            <sz val="9"/>
            <color rgb="FF000000"/>
            <rFont val="Arial"/>
            <family val="2"/>
          </rPr>
          <t>noc-20260630.htm | 2Q25 U.S. government | 1,611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noc-20250930.htm | 3Q24 International | 271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noc-20250930.htm | 9M24 International | 777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R39.htm (FY2025 10-K) | FY24 International | 1,101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noc-20260331.htm | 1Q25 International | 289</t>
        </r>
      </text>
    </comment>
    <comment ref="H37" authorId="0">
      <text>
        <r>
          <rPr>
            <sz val="9"/>
            <color rgb="FF000000"/>
            <rFont val="Arial"/>
            <family val="2"/>
          </rPr>
          <t>noc-20260630.htm | 2Q25 International | 305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noc-20250930.htm | 3Q24 Other customers | 14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noc-20250930.htm | 9M24 Other customers | 54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R39.htm (FY2025 10-K) | FY24 Other customers | 71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noc-20260331.htm | 1Q25 Other customers | 20</t>
        </r>
      </text>
    </comment>
    <comment ref="H38" authorId="0">
      <text>
        <r>
          <rPr>
            <sz val="9"/>
            <color rgb="FF000000"/>
            <rFont val="Arial"/>
            <family val="2"/>
          </rPr>
          <t>noc-20260630.htm | 2Q25 Other customers | 22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noc-20250930.htm | 3Q24 Cost-type | 965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noc-20250930.htm | 9M24 Cost-type | 2,843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R39.htm (FY2025 10-K) | FY24 Cost-type | 3,875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noc-20260331.htm | 1Q25 Cost-type | 965</t>
        </r>
      </text>
    </comment>
    <comment ref="H39" authorId="0">
      <text>
        <r>
          <rPr>
            <sz val="9"/>
            <color rgb="FF000000"/>
            <rFont val="Arial"/>
            <family val="2"/>
          </rPr>
          <t>noc-20260630.htm | 2Q25 Cost-type | 1,084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noc-20250930.htm | 3Q24 Fixed-price | 792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noc-20250930.htm | 9M24 Fixed-price | 2,423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R39.htm (FY2025 10-K) | FY24 Fixed-price | 3,353</t>
        </r>
      </text>
    </comment>
    <comment ref="G40" authorId="0">
      <text>
        <r>
          <rPr>
            <sz val="9"/>
            <color rgb="FF000000"/>
            <rFont val="Arial"/>
            <family val="2"/>
          </rPr>
          <t>noc-20260331.htm | 1Q25 Fixed-price | 795</t>
        </r>
      </text>
    </comment>
    <comment ref="H40" authorId="0">
      <text>
        <r>
          <rPr>
            <sz val="9"/>
            <color rgb="FF000000"/>
            <rFont val="Arial"/>
            <family val="2"/>
          </rPr>
          <t>noc-20260630.htm | 2Q25 Fixed-price | 854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noc-20250930.htm | 3Q24 United States | 1,486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noc-20250930.htm | 9M24 United States | 4,489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R39.htm (FY2025 10-K) | FY24 United States | 6,127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noc-20260331.htm | 1Q25 United States | 1,471</t>
        </r>
      </text>
    </comment>
    <comment ref="H41" authorId="0">
      <text>
        <r>
          <rPr>
            <sz val="9"/>
            <color rgb="FF000000"/>
            <rFont val="Arial"/>
            <family val="2"/>
          </rPr>
          <t>noc-20260630.htm | 2Q25 United States | 1,633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noc-20250930.htm | 3Q24 Asia/Pacific | 74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noc-20250930.htm | 9M24 Asia/Pacific | 204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R39.htm (FY2025 10-K) | FY24 Asia/Pacific | 294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noc-20260331.htm | 1Q25 Asia/Pacific | 81</t>
        </r>
      </text>
    </comment>
    <comment ref="H42" authorId="0">
      <text>
        <r>
          <rPr>
            <sz val="9"/>
            <color rgb="FF000000"/>
            <rFont val="Arial"/>
            <family val="2"/>
          </rPr>
          <t>noc-20260630.htm | 2Q25 Asia/Pacific | 79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noc-20250930.htm | 3Q24 Europe | 144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noc-20250930.htm | 9M24 Europe | 440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R39.htm (FY2025 10-K) | FY24 Europe | 616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noc-20260331.htm | 1Q25 Europe | 170</t>
        </r>
      </text>
    </comment>
    <comment ref="H43" authorId="0">
      <text>
        <r>
          <rPr>
            <sz val="9"/>
            <color rgb="FF000000"/>
            <rFont val="Arial"/>
            <family val="2"/>
          </rPr>
          <t>noc-20260630.htm | 2Q25 Europe | 168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noc-20250930.htm | 3Q24 Other regions (principally Middle East) | 53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noc-20250930.htm | 9M24 Other regions (principally Middle East) | 133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R39.htm (FY2025 10-K) | FY24 Other regions (principally Middle East) | 191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noc-20260331.htm | 1Q25 Other regions (principally Middle East) | 38</t>
        </r>
      </text>
    </comment>
    <comment ref="H44" authorId="0">
      <text>
        <r>
          <rPr>
            <sz val="9"/>
            <color rgb="FF000000"/>
            <rFont val="Arial"/>
            <family val="2"/>
          </rPr>
          <t>noc-20260630.htm | 2Q25 Other regions (principally Middle East) | 58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noc-20250930.htm | 3Q24 Net EAC adjustments (in operating income) | 10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noc-20250930.htm | 9M24 Net EAC adjustments (in operating income) | 45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R39.htm (FY2025 10-K) | FY24 Net EAC adjustments (in operating income) | 90</t>
        </r>
      </text>
    </comment>
    <comment ref="G45" authorId="0">
      <text>
        <r>
          <rPr>
            <sz val="9"/>
            <color rgb="FF000000"/>
            <rFont val="Arial"/>
            <family val="2"/>
          </rPr>
          <t>noc-20260331.htm | 1Q25 Net EAC adjustments (in operating income) | 23</t>
        </r>
      </text>
    </comment>
    <comment ref="H45" authorId="0">
      <text>
        <r>
          <rPr>
            <sz val="9"/>
            <color rgb="FF000000"/>
            <rFont val="Arial"/>
            <family val="2"/>
          </rPr>
          <t>noc-20260630.htm | 2Q25 Net EAC adjustments (in operating income) | 83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noc-20250930.htm | 3Q24 Depreciation and amortisation | 44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noc-20250930.htm | 9M24 Depreciation and amortisation | 129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R39.htm (FY2025 10-K) | FY24 Depreciation and amortisation | 175</t>
        </r>
      </text>
    </comment>
    <comment ref="G46" authorId="0">
      <text>
        <r>
          <rPr>
            <sz val="9"/>
            <color rgb="FF000000"/>
            <rFont val="Arial"/>
            <family val="2"/>
          </rPr>
          <t>noc-20260331.htm | 1Q25 Depreciation and amortisation | 43</t>
        </r>
      </text>
    </comment>
    <comment ref="H46" authorId="0">
      <text>
        <r>
          <rPr>
            <sz val="9"/>
            <color rgb="FF000000"/>
            <rFont val="Arial"/>
            <family val="2"/>
          </rPr>
          <t>noc-20260630.htm | 2Q25 Depreciation and amortisation | 42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noc-20250930.htm | 3Q24 Capital expenditures | 24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noc-20250930.htm | 9M24 Capital expenditures | 46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R39.htm (FY2025 10-K) | FY24 Capital expenditures | 135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noc-20260331.htm | 1Q25 Capital expenditures | 12</t>
        </r>
      </text>
    </comment>
    <comment ref="H47" authorId="0">
      <text>
        <r>
          <rPr>
            <sz val="9"/>
            <color rgb="FF000000"/>
            <rFont val="Arial"/>
            <family val="2"/>
          </rPr>
          <t>noc-20260630.htm | 2Q25 Capital expenditures | 11</t>
        </r>
      </text>
    </comment>
    <comment ref="E49" authorId="0">
      <text>
        <r>
          <rPr>
            <sz val="9"/>
            <color rgb="FF000000"/>
            <rFont val="Arial"/>
            <family val="2"/>
          </rPr>
          <t>noc-12312025xearningsrelea.htm | 4Q24 Closing total backlog | 16,443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noc-03312025xearningsrelea.htm | 1Q25 Closing total backlog | 17,626</t>
        </r>
      </text>
    </comment>
    <comment ref="H49" authorId="0">
      <text>
        <r>
          <rPr>
            <sz val="9"/>
            <color rgb="FF000000"/>
            <rFont val="Arial"/>
            <family val="2"/>
          </rPr>
          <t>noc-06302025xearningsrelea.htm | 2Q25 Closing total backlog | 17,544</t>
        </r>
      </text>
    </comment>
    <comment ref="G50" authorId="0">
      <text>
        <r>
          <rPr>
            <sz val="9"/>
            <color rgb="FF000000"/>
            <rFont val="Arial"/>
            <family val="2"/>
          </rPr>
          <t>noc-03312025xearningsrelea.htm | 1Q25 Funded backlog (closing) | 12,005</t>
        </r>
      </text>
    </comment>
    <comment ref="H50" authorId="0">
      <text>
        <r>
          <rPr>
            <sz val="9"/>
            <color rgb="FF000000"/>
            <rFont val="Arial"/>
            <family val="2"/>
          </rPr>
          <t>noc-06302025xearningsrelea.htm | 2Q25 Funded backlog (closing) | 11,899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noc-09302025xearningsrelea.htm | 3Q24 Mission Systems sales | 2,823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noc-09302025xearningsrelea.htm | 9M24 Mission Systems sales | 8,255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noc-12312025xearningsrelea.htm | 4Q24 Mission Systems sales | 3,144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noc-12312025xearningsrelea.htm | FY24 Mission Systems sales | 11,399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noc-03312026xearningsrelea.htm | 1Q25 Mission Systems sales | 2,807</t>
        </r>
      </text>
    </comment>
    <comment ref="H51" authorId="0">
      <text>
        <r>
          <rPr>
            <sz val="9"/>
            <color rgb="FF000000"/>
            <rFont val="Arial"/>
            <family val="2"/>
          </rPr>
          <t>noc-06302026xearningsrelea.htm | 2Q25 Mission Systems sales | 3,157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noc-20250930.htm | 3Q24 Intersegment sales | 275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noc-20250930.htm | 9M24 Intersegment sales | 849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R39.htm (FY2025 10-K) | FY24 Intersegment sales | 1,177</t>
        </r>
      </text>
    </comment>
    <comment ref="G53" authorId="0">
      <text>
        <r>
          <rPr>
            <sz val="9"/>
            <color rgb="FF000000"/>
            <rFont val="Arial"/>
            <family val="2"/>
          </rPr>
          <t>noc-20260331.htm | 1Q25 Intersegment sales | 335</t>
        </r>
      </text>
    </comment>
    <comment ref="H53" authorId="0">
      <text>
        <r>
          <rPr>
            <sz val="9"/>
            <color rgb="FF000000"/>
            <rFont val="Arial"/>
            <family val="2"/>
          </rPr>
          <t>noc-20260630.htm | 2Q25 Intersegment sales | 341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noc-09302025xearningsrelea.htm | 3Q24 Mission Systems operating income | 390</t>
        </r>
      </text>
    </comment>
    <comment ref="D54" authorId="0">
      <text>
        <r>
          <rPr>
            <sz val="9"/>
            <color rgb="FF000000"/>
            <rFont val="Arial"/>
            <family val="2"/>
          </rPr>
          <t>noc-09302025xearningsrelea.htm | 9M24 Mission Systems operating income | 1,129</t>
        </r>
      </text>
    </comment>
    <comment ref="E54" authorId="0">
      <text>
        <r>
          <rPr>
            <sz val="9"/>
            <color rgb="FF000000"/>
            <rFont val="Arial"/>
            <family val="2"/>
          </rPr>
          <t>noc-12312025xearningsrelea.htm | 4Q24 Mission Systems operating income | 469</t>
        </r>
      </text>
    </comment>
    <comment ref="F54" authorId="0">
      <text>
        <r>
          <rPr>
            <sz val="9"/>
            <color rgb="FF000000"/>
            <rFont val="Arial"/>
            <family val="2"/>
          </rPr>
          <t>noc-12312025xearningsrelea.htm | FY24 Mission Systems operating income | 1,598</t>
        </r>
      </text>
    </comment>
    <comment ref="G54" authorId="0">
      <text>
        <r>
          <rPr>
            <sz val="9"/>
            <color rgb="FF000000"/>
            <rFont val="Arial"/>
            <family val="2"/>
          </rPr>
          <t>noc-03312026xearningsrelea.htm | 1Q25 Mission Systems operating income | 361</t>
        </r>
      </text>
    </comment>
    <comment ref="H54" authorId="0">
      <text>
        <r>
          <rPr>
            <sz val="9"/>
            <color rgb="FF000000"/>
            <rFont val="Arial"/>
            <family val="2"/>
          </rPr>
          <t>noc-06302026xearningsrelea.htm | 2Q25 Mission Systems operating income | 441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noc-20250930.htm | 3Q24 U.S. government | 2,093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noc-20250930.htm | 9M24 U.S. government | 6,033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R39.htm (FY2025 10-K) | FY24 U.S. government | 8,322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noc-20260331.htm | 1Q25 U.S. government | 1,973</t>
        </r>
      </text>
    </comment>
    <comment ref="H55" authorId="0">
      <text>
        <r>
          <rPr>
            <sz val="9"/>
            <color rgb="FF000000"/>
            <rFont val="Arial"/>
            <family val="2"/>
          </rPr>
          <t>noc-20260630.htm | 2Q25 U.S. government | 2,282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noc-20250930.htm | 3Q24 International | 427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noc-20250930.htm | 9M24 International | 1,308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R39.htm (FY2025 10-K) | FY24 International | 1,809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noc-20260331.htm | 1Q25 International | 475</t>
        </r>
      </text>
    </comment>
    <comment ref="H56" authorId="0">
      <text>
        <r>
          <rPr>
            <sz val="9"/>
            <color rgb="FF000000"/>
            <rFont val="Arial"/>
            <family val="2"/>
          </rPr>
          <t>noc-20260630.htm | 2Q25 International | 505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noc-20250930.htm | 3Q24 Other customers | 28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noc-20250930.htm | 9M24 Other customers | 65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R39.htm (FY2025 10-K) | FY24 Other customers | 91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noc-20260331.htm | 1Q25 Other customers | 24</t>
        </r>
      </text>
    </comment>
    <comment ref="H57" authorId="0">
      <text>
        <r>
          <rPr>
            <sz val="9"/>
            <color rgb="FF000000"/>
            <rFont val="Arial"/>
            <family val="2"/>
          </rPr>
          <t>noc-20260630.htm | 2Q25 Other customers | 29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noc-20250930.htm | 3Q24 Cost-type | 1,216</t>
        </r>
      </text>
    </comment>
    <comment ref="D58" authorId="0">
      <text>
        <r>
          <rPr>
            <sz val="9"/>
            <color rgb="FF000000"/>
            <rFont val="Arial"/>
            <family val="2"/>
          </rPr>
          <t>noc-20250930.htm | 9M24 Cost-type | 3,390</t>
        </r>
      </text>
    </comment>
    <comment ref="F58" authorId="0">
      <text>
        <r>
          <rPr>
            <sz val="9"/>
            <color rgb="FF000000"/>
            <rFont val="Arial"/>
            <family val="2"/>
          </rPr>
          <t>R39.htm (FY2025 10-K) | FY24 Cost-type | 4,589</t>
        </r>
      </text>
    </comment>
    <comment ref="G58" authorId="0">
      <text>
        <r>
          <rPr>
            <sz val="9"/>
            <color rgb="FF000000"/>
            <rFont val="Arial"/>
            <family val="2"/>
          </rPr>
          <t>noc-20260331.htm | 1Q25 Cost-type | 1,163</t>
        </r>
      </text>
    </comment>
    <comment ref="H58" authorId="0">
      <text>
        <r>
          <rPr>
            <sz val="9"/>
            <color rgb="FF000000"/>
            <rFont val="Arial"/>
            <family val="2"/>
          </rPr>
          <t>noc-20260630.htm | 2Q25 Cost-type | 1,406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noc-20250930.htm | 3Q24 Fixed-price | 1,332</t>
        </r>
      </text>
    </comment>
    <comment ref="D59" authorId="0">
      <text>
        <r>
          <rPr>
            <sz val="9"/>
            <color rgb="FF000000"/>
            <rFont val="Arial"/>
            <family val="2"/>
          </rPr>
          <t>noc-20250930.htm | 9M24 Fixed-price | 4,016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R39.htm (FY2025 10-K) | FY24 Fixed-price | 5,633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noc-20260331.htm | 1Q25 Fixed-price | 1,309</t>
        </r>
      </text>
    </comment>
    <comment ref="H59" authorId="0">
      <text>
        <r>
          <rPr>
            <sz val="9"/>
            <color rgb="FF000000"/>
            <rFont val="Arial"/>
            <family val="2"/>
          </rPr>
          <t>noc-20260630.htm | 2Q25 Fixed-price | 1,410</t>
        </r>
      </text>
    </comment>
    <comment ref="C60" authorId="0">
      <text>
        <r>
          <rPr>
            <sz val="9"/>
            <color rgb="FF000000"/>
            <rFont val="Arial"/>
            <family val="2"/>
          </rPr>
          <t>noc-20250930.htm | 3Q24 United States | 2,121</t>
        </r>
      </text>
    </comment>
    <comment ref="D60" authorId="0">
      <text>
        <r>
          <rPr>
            <sz val="9"/>
            <color rgb="FF000000"/>
            <rFont val="Arial"/>
            <family val="2"/>
          </rPr>
          <t>noc-20250930.htm | 9M24 United States | 6,098</t>
        </r>
      </text>
    </comment>
    <comment ref="F60" authorId="0">
      <text>
        <r>
          <rPr>
            <sz val="9"/>
            <color rgb="FF000000"/>
            <rFont val="Arial"/>
            <family val="2"/>
          </rPr>
          <t>R39.htm (FY2025 10-K) | FY24 United States | 8,413</t>
        </r>
      </text>
    </comment>
    <comment ref="G60" authorId="0">
      <text>
        <r>
          <rPr>
            <sz val="9"/>
            <color rgb="FF000000"/>
            <rFont val="Arial"/>
            <family val="2"/>
          </rPr>
          <t>noc-20260331.htm | 1Q25 United States | 1,997</t>
        </r>
      </text>
    </comment>
    <comment ref="H60" authorId="0">
      <text>
        <r>
          <rPr>
            <sz val="9"/>
            <color rgb="FF000000"/>
            <rFont val="Arial"/>
            <family val="2"/>
          </rPr>
          <t>noc-20260630.htm | 2Q25 United States | 2,311</t>
        </r>
      </text>
    </comment>
    <comment ref="C61" authorId="0">
      <text>
        <r>
          <rPr>
            <sz val="9"/>
            <color rgb="FF000000"/>
            <rFont val="Arial"/>
            <family val="2"/>
          </rPr>
          <t>noc-20250930.htm | 3Q24 Asia/Pacific | 98</t>
        </r>
      </text>
    </comment>
    <comment ref="D61" authorId="0">
      <text>
        <r>
          <rPr>
            <sz val="9"/>
            <color rgb="FF000000"/>
            <rFont val="Arial"/>
            <family val="2"/>
          </rPr>
          <t>noc-20250930.htm | 9M24 Asia/Pacific | 346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R39.htm (FY2025 10-K) | FY24 Asia/Pacific | 472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noc-20260331.htm | 1Q25 Asia/Pacific | 128</t>
        </r>
      </text>
    </comment>
    <comment ref="H61" authorId="0">
      <text>
        <r>
          <rPr>
            <sz val="9"/>
            <color rgb="FF000000"/>
            <rFont val="Arial"/>
            <family val="2"/>
          </rPr>
          <t>noc-20260630.htm | 2Q25 Asia/Pacific | 132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noc-20250930.htm | 3Q24 Europe | 246</t>
        </r>
      </text>
    </comment>
    <comment ref="D62" authorId="0">
      <text>
        <r>
          <rPr>
            <sz val="9"/>
            <color rgb="FF000000"/>
            <rFont val="Arial"/>
            <family val="2"/>
          </rPr>
          <t>noc-20250930.htm | 9M24 Europe | 727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R39.htm (FY2025 10-K) | FY24 Europe | 990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noc-20260331.htm | 1Q25 Europe | 239</t>
        </r>
      </text>
    </comment>
    <comment ref="H62" authorId="0">
      <text>
        <r>
          <rPr>
            <sz val="9"/>
            <color rgb="FF000000"/>
            <rFont val="Arial"/>
            <family val="2"/>
          </rPr>
          <t>noc-20260630.htm | 2Q25 Europe | 263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noc-20250930.htm | 3Q24 Other regions (principally Middle East) | 83</t>
        </r>
      </text>
    </comment>
    <comment ref="D63" authorId="0">
      <text>
        <r>
          <rPr>
            <sz val="9"/>
            <color rgb="FF000000"/>
            <rFont val="Arial"/>
            <family val="2"/>
          </rPr>
          <t>noc-20250930.htm | 9M24 Other regions (principally Middle East) | 235</t>
        </r>
      </text>
    </comment>
    <comment ref="F63" authorId="0">
      <text>
        <r>
          <rPr>
            <sz val="9"/>
            <color rgb="FF000000"/>
            <rFont val="Arial"/>
            <family val="2"/>
          </rPr>
          <t>R39.htm (FY2025 10-K) | FY24 Other regions (principally Middle East) | 347</t>
        </r>
      </text>
    </comment>
    <comment ref="G63" authorId="0">
      <text>
        <r>
          <rPr>
            <sz val="9"/>
            <color rgb="FF000000"/>
            <rFont val="Arial"/>
            <family val="2"/>
          </rPr>
          <t>noc-20260331.htm | 1Q25 Other regions (principally Middle East) | 108</t>
        </r>
      </text>
    </comment>
    <comment ref="H63" authorId="0">
      <text>
        <r>
          <rPr>
            <sz val="9"/>
            <color rgb="FF000000"/>
            <rFont val="Arial"/>
            <family val="2"/>
          </rPr>
          <t>noc-20260630.htm | 2Q25 Other regions (principally Middle East) | 110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noc-20250930.htm | 3Q24 Net EAC adjustments (in operating income) | 16</t>
        </r>
      </text>
    </comment>
    <comment ref="D64" authorId="0">
      <text>
        <r>
          <rPr>
            <sz val="9"/>
            <color rgb="FF000000"/>
            <rFont val="Arial"/>
            <family val="2"/>
          </rPr>
          <t>noc-20250930.htm | 9M24 Net EAC adjustments (in operating income) | 11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R39.htm (FY2025 10-K) | FY24 Net EAC adjustments (in operating income) | 59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noc-20260331.htm | 1Q25 Net EAC adjustments (in operating income) | 37</t>
        </r>
      </text>
    </comment>
    <comment ref="H64" authorId="0">
      <text>
        <r>
          <rPr>
            <sz val="9"/>
            <color rgb="FF000000"/>
            <rFont val="Arial"/>
            <family val="2"/>
          </rPr>
          <t>noc-20260630.htm | 2Q25 Net EAC adjustments (in operating income) | 5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noc-20250930.htm | 3Q24 Depreciation and amortisation | 64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noc-20250930.htm | 9M24 Depreciation and amortisation | 188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R39.htm (FY2025 10-K) | FY24 Depreciation and amortisation | 255</t>
        </r>
      </text>
    </comment>
    <comment ref="G65" authorId="0">
      <text>
        <r>
          <rPr>
            <sz val="9"/>
            <color rgb="FF000000"/>
            <rFont val="Arial"/>
            <family val="2"/>
          </rPr>
          <t>noc-20260331.htm | 1Q25 Depreciation and amortisation | 67</t>
        </r>
      </text>
    </comment>
    <comment ref="H65" authorId="0">
      <text>
        <r>
          <rPr>
            <sz val="9"/>
            <color rgb="FF000000"/>
            <rFont val="Arial"/>
            <family val="2"/>
          </rPr>
          <t>noc-20260630.htm | 2Q25 Depreciation and amortisation | 68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noc-20250930.htm | 3Q24 Capital expenditures | 62</t>
        </r>
      </text>
    </comment>
    <comment ref="D66" authorId="0">
      <text>
        <r>
          <rPr>
            <sz val="9"/>
            <color rgb="FF000000"/>
            <rFont val="Arial"/>
            <family val="2"/>
          </rPr>
          <t>noc-20250930.htm | 9M24 Capital expenditures | 143</t>
        </r>
      </text>
    </comment>
    <comment ref="F66" authorId="0">
      <text>
        <r>
          <rPr>
            <sz val="9"/>
            <color rgb="FF000000"/>
            <rFont val="Arial"/>
            <family val="2"/>
          </rPr>
          <t>R39.htm (FY2025 10-K) | FY24 Capital expenditures | 314</t>
        </r>
      </text>
    </comment>
    <comment ref="G66" authorId="0">
      <text>
        <r>
          <rPr>
            <sz val="9"/>
            <color rgb="FF000000"/>
            <rFont val="Arial"/>
            <family val="2"/>
          </rPr>
          <t>noc-20260331.htm | 1Q25 Capital expenditures | 39</t>
        </r>
      </text>
    </comment>
    <comment ref="H66" authorId="0">
      <text>
        <r>
          <rPr>
            <sz val="9"/>
            <color rgb="FF000000"/>
            <rFont val="Arial"/>
            <family val="2"/>
          </rPr>
          <t>noc-20260630.htm | 2Q25 Capital expenditures | 47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noc-12312025xearningsrelea.htm | 4Q24 Closing total backlog | 23,209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noc-03312025xearningsrelea.htm | 1Q25 Closing total backlog | 23,171</t>
        </r>
      </text>
    </comment>
    <comment ref="H68" authorId="0">
      <text>
        <r>
          <rPr>
            <sz val="9"/>
            <color rgb="FF000000"/>
            <rFont val="Arial"/>
            <family val="2"/>
          </rPr>
          <t>noc-06302025xearningsrelea.htm | 2Q25 Closing total backlog | 21,620</t>
        </r>
      </text>
    </comment>
    <comment ref="G69" authorId="0">
      <text>
        <r>
          <rPr>
            <sz val="9"/>
            <color rgb="FF000000"/>
            <rFont val="Arial"/>
            <family val="2"/>
          </rPr>
          <t>noc-03312025xearningsrelea.htm | 1Q25 Funded backlog (closing) | 7,368</t>
        </r>
      </text>
    </comment>
    <comment ref="H69" authorId="0">
      <text>
        <r>
          <rPr>
            <sz val="9"/>
            <color rgb="FF000000"/>
            <rFont val="Arial"/>
            <family val="2"/>
          </rPr>
          <t>noc-06302025xearningsrelea.htm | 2Q25 Funded backlog (closing) | 6,800</t>
        </r>
      </text>
    </comment>
    <comment ref="C70" authorId="0">
      <text>
        <r>
          <rPr>
            <sz val="9"/>
            <color rgb="FF000000"/>
            <rFont val="Arial"/>
            <family val="2"/>
          </rPr>
          <t>noc-09302025xearningsrelea.htm | 3Q24 Space Systems sales | 2,870</t>
        </r>
      </text>
    </comment>
    <comment ref="D70" authorId="0">
      <text>
        <r>
          <rPr>
            <sz val="9"/>
            <color rgb="FF000000"/>
            <rFont val="Arial"/>
            <family val="2"/>
          </rPr>
          <t>noc-09302025xearningsrelea.htm | 9M24 Space Systems sales | 9,021</t>
        </r>
      </text>
    </comment>
    <comment ref="E70" authorId="0">
      <text>
        <r>
          <rPr>
            <sz val="9"/>
            <color rgb="FF000000"/>
            <rFont val="Arial"/>
            <family val="2"/>
          </rPr>
          <t>noc-12312025xearningsrelea.htm | 4Q24 Space Systems sales | 2,710</t>
        </r>
      </text>
    </comment>
    <comment ref="F70" authorId="0">
      <text>
        <r>
          <rPr>
            <sz val="9"/>
            <color rgb="FF000000"/>
            <rFont val="Arial"/>
            <family val="2"/>
          </rPr>
          <t>noc-12312025xearningsrelea.htm | FY24 Space Systems sales | 11,731</t>
        </r>
      </text>
    </comment>
    <comment ref="G70" authorId="0">
      <text>
        <r>
          <rPr>
            <sz val="9"/>
            <color rgb="FF000000"/>
            <rFont val="Arial"/>
            <family val="2"/>
          </rPr>
          <t>noc-03312026xearningsrelea.htm | 1Q25 Space Systems sales | 2,568</t>
        </r>
      </text>
    </comment>
    <comment ref="H70" authorId="0">
      <text>
        <r>
          <rPr>
            <sz val="9"/>
            <color rgb="FF000000"/>
            <rFont val="Arial"/>
            <family val="2"/>
          </rPr>
          <t>noc-06302026xearningsrelea.htm | 2Q25 Space Systems sales | 2,646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noc-20250930.htm | 3Q24 Intersegment sales | 107</t>
        </r>
      </text>
    </comment>
    <comment ref="D72" authorId="0">
      <text>
        <r>
          <rPr>
            <sz val="9"/>
            <color rgb="FF000000"/>
            <rFont val="Arial"/>
            <family val="2"/>
          </rPr>
          <t>noc-20250930.htm | 9M24 Intersegment sales | 312</t>
        </r>
      </text>
    </comment>
    <comment ref="F72" authorId="0">
      <text>
        <r>
          <rPr>
            <sz val="9"/>
            <color rgb="FF000000"/>
            <rFont val="Arial"/>
            <family val="2"/>
          </rPr>
          <t>R39.htm (FY2025 10-K) | FY24 Intersegment sales | 412</t>
        </r>
      </text>
    </comment>
    <comment ref="G72" authorId="0">
      <text>
        <r>
          <rPr>
            <sz val="9"/>
            <color rgb="FF000000"/>
            <rFont val="Arial"/>
            <family val="2"/>
          </rPr>
          <t>noc-20260331.htm | 1Q25 Intersegment sales | 105</t>
        </r>
      </text>
    </comment>
    <comment ref="H72" authorId="0">
      <text>
        <r>
          <rPr>
            <sz val="9"/>
            <color rgb="FF000000"/>
            <rFont val="Arial"/>
            <family val="2"/>
          </rPr>
          <t>noc-20260630.htm | 2Q25 Intersegment sales | 125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noc-09302025xearningsrelea.htm | 3Q24 Space Systems operating income | 345</t>
        </r>
      </text>
    </comment>
    <comment ref="D73" authorId="0">
      <text>
        <r>
          <rPr>
            <sz val="9"/>
            <color rgb="FF000000"/>
            <rFont val="Arial"/>
            <family val="2"/>
          </rPr>
          <t>noc-09302025xearningsrelea.htm | 9M24 Space Systems operating income | 979</t>
        </r>
      </text>
    </comment>
    <comment ref="E73" authorId="0">
      <text>
        <r>
          <rPr>
            <sz val="9"/>
            <color rgb="FF000000"/>
            <rFont val="Arial"/>
            <family val="2"/>
          </rPr>
          <t>noc-12312025xearningsrelea.htm | 4Q24 Space Systems operating income | 275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noc-12312025xearningsrelea.htm | FY24 Space Systems operating income | 1,254</t>
        </r>
      </text>
    </comment>
    <comment ref="G73" authorId="0">
      <text>
        <r>
          <rPr>
            <sz val="9"/>
            <color rgb="FF000000"/>
            <rFont val="Arial"/>
            <family val="2"/>
          </rPr>
          <t>noc-03312026xearningsrelea.htm | 1Q25 Space Systems operating income | 283</t>
        </r>
      </text>
    </comment>
    <comment ref="H73" authorId="0">
      <text>
        <r>
          <rPr>
            <sz val="9"/>
            <color rgb="FF000000"/>
            <rFont val="Arial"/>
            <family val="2"/>
          </rPr>
          <t>noc-06302026xearningsrelea.htm | 2Q25 Space Systems operating income | 280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noc-20250930.htm | 3Q24 U.S. government | 2,606</t>
        </r>
      </text>
    </comment>
    <comment ref="D74" authorId="0">
      <text>
        <r>
          <rPr>
            <sz val="9"/>
            <color rgb="FF000000"/>
            <rFont val="Arial"/>
            <family val="2"/>
          </rPr>
          <t>noc-20250930.htm | 9M24 U.S. government | 8,245</t>
        </r>
      </text>
    </comment>
    <comment ref="F74" authorId="0">
      <text>
        <r>
          <rPr>
            <sz val="9"/>
            <color rgb="FF000000"/>
            <rFont val="Arial"/>
            <family val="2"/>
          </rPr>
          <t>R39.htm (FY2025 10-K) | FY24 U.S. government | 10,694</t>
        </r>
      </text>
    </comment>
    <comment ref="G74" authorId="0">
      <text>
        <r>
          <rPr>
            <sz val="9"/>
            <color rgb="FF000000"/>
            <rFont val="Arial"/>
            <family val="2"/>
          </rPr>
          <t>noc-20260331.htm | 1Q25 U.S. government | 2,309</t>
        </r>
      </text>
    </comment>
    <comment ref="H74" authorId="0">
      <text>
        <r>
          <rPr>
            <sz val="9"/>
            <color rgb="FF000000"/>
            <rFont val="Arial"/>
            <family val="2"/>
          </rPr>
          <t>noc-20260630.htm | 2Q25 U.S. government | 2,349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noc-20250930.htm | 3Q24 International | 50</t>
        </r>
      </text>
    </comment>
    <comment ref="D75" authorId="0">
      <text>
        <r>
          <rPr>
            <sz val="9"/>
            <color rgb="FF000000"/>
            <rFont val="Arial"/>
            <family val="2"/>
          </rPr>
          <t>noc-20250930.htm | 9M24 International | 171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R39.htm (FY2025 10-K) | FY24 International | 212</t>
        </r>
      </text>
    </comment>
    <comment ref="G75" authorId="0">
      <text>
        <r>
          <rPr>
            <sz val="9"/>
            <color rgb="FF000000"/>
            <rFont val="Arial"/>
            <family val="2"/>
          </rPr>
          <t>noc-20260331.htm | 1Q25 International | 44</t>
        </r>
      </text>
    </comment>
    <comment ref="H75" authorId="0">
      <text>
        <r>
          <rPr>
            <sz val="9"/>
            <color rgb="FF000000"/>
            <rFont val="Arial"/>
            <family val="2"/>
          </rPr>
          <t>noc-20260630.htm | 2Q25 International | 47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noc-20250930.htm | 3Q24 Other customers | 107</t>
        </r>
      </text>
    </comment>
    <comment ref="D76" authorId="0">
      <text>
        <r>
          <rPr>
            <sz val="9"/>
            <color rgb="FF000000"/>
            <rFont val="Arial"/>
            <family val="2"/>
          </rPr>
          <t>noc-20250930.htm | 9M24 Other customers | 293</t>
        </r>
      </text>
    </comment>
    <comment ref="F76" authorId="0">
      <text>
        <r>
          <rPr>
            <sz val="9"/>
            <color rgb="FF000000"/>
            <rFont val="Arial"/>
            <family val="2"/>
          </rPr>
          <t>R39.htm (FY2025 10-K) | FY24 Other customers | 413</t>
        </r>
      </text>
    </comment>
    <comment ref="G76" authorId="0">
      <text>
        <r>
          <rPr>
            <sz val="9"/>
            <color rgb="FF000000"/>
            <rFont val="Arial"/>
            <family val="2"/>
          </rPr>
          <t>noc-20260331.htm | 1Q25 Other customers | 110</t>
        </r>
      </text>
    </comment>
    <comment ref="H76" authorId="0">
      <text>
        <r>
          <rPr>
            <sz val="9"/>
            <color rgb="FF000000"/>
            <rFont val="Arial"/>
            <family val="2"/>
          </rPr>
          <t>noc-20260630.htm | 2Q25 Other customers | 125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noc-20250930.htm | 3Q24 Cost-type | 1,750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noc-20250930.htm | 9M24 Cost-type | 5,429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R39.htm (FY2025 10-K) | FY24 Cost-type | 7,000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noc-20260331.htm | 1Q25 Cost-type | 1,540</t>
        </r>
      </text>
    </comment>
    <comment ref="H77" authorId="0">
      <text>
        <r>
          <rPr>
            <sz val="9"/>
            <color rgb="FF000000"/>
            <rFont val="Arial"/>
            <family val="2"/>
          </rPr>
          <t>noc-20260630.htm | 2Q25 Cost-type | 1,562</t>
        </r>
      </text>
    </comment>
    <comment ref="C78" authorId="0">
      <text>
        <r>
          <rPr>
            <sz val="9"/>
            <color rgb="FF000000"/>
            <rFont val="Arial"/>
            <family val="2"/>
          </rPr>
          <t>noc-20250930.htm | 3Q24 Fixed-price | 1,013</t>
        </r>
      </text>
    </comment>
    <comment ref="D78" authorId="0">
      <text>
        <r>
          <rPr>
            <sz val="9"/>
            <color rgb="FF000000"/>
            <rFont val="Arial"/>
            <family val="2"/>
          </rPr>
          <t>noc-20250930.htm | 9M24 Fixed-price | 3,280</t>
        </r>
      </text>
    </comment>
    <comment ref="F78" authorId="0">
      <text>
        <r>
          <rPr>
            <sz val="9"/>
            <color rgb="FF000000"/>
            <rFont val="Arial"/>
            <family val="2"/>
          </rPr>
          <t>R39.htm (FY2025 10-K) | FY24 Fixed-price | 4,319</t>
        </r>
      </text>
    </comment>
    <comment ref="G78" authorId="0">
      <text>
        <r>
          <rPr>
            <sz val="9"/>
            <color rgb="FF000000"/>
            <rFont val="Arial"/>
            <family val="2"/>
          </rPr>
          <t>noc-20260331.htm | 1Q25 Fixed-price | 923</t>
        </r>
      </text>
    </comment>
    <comment ref="H78" authorId="0">
      <text>
        <r>
          <rPr>
            <sz val="9"/>
            <color rgb="FF000000"/>
            <rFont val="Arial"/>
            <family val="2"/>
          </rPr>
          <t>noc-20260630.htm | 2Q25 Fixed-price | 959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noc-20250930.htm | 3Q24 United States | 2,713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noc-20250930.htm | 9M24 United States | 8,538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R39.htm (FY2025 10-K) | FY24 United States | 11,107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noc-20260331.htm | 1Q25 United States | 2,419</t>
        </r>
      </text>
    </comment>
    <comment ref="H79" authorId="0">
      <text>
        <r>
          <rPr>
            <sz val="9"/>
            <color rgb="FF000000"/>
            <rFont val="Arial"/>
            <family val="2"/>
          </rPr>
          <t>noc-20260630.htm | 2Q25 United States | 2,474</t>
        </r>
      </text>
    </comment>
    <comment ref="C80" authorId="0">
      <text>
        <r>
          <rPr>
            <sz val="9"/>
            <color rgb="FF000000"/>
            <rFont val="Arial"/>
            <family val="2"/>
          </rPr>
          <t>noc-20250930.htm | 3Q24 Asia/Pacific | 6</t>
        </r>
      </text>
    </comment>
    <comment ref="D80" authorId="0">
      <text>
        <r>
          <rPr>
            <sz val="9"/>
            <color rgb="FF000000"/>
            <rFont val="Arial"/>
            <family val="2"/>
          </rPr>
          <t>noc-20250930.htm | 9M24 Asia/Pacific | 30</t>
        </r>
      </text>
    </comment>
    <comment ref="F80" authorId="0">
      <text>
        <r>
          <rPr>
            <sz val="9"/>
            <color rgb="FF000000"/>
            <rFont val="Arial"/>
            <family val="2"/>
          </rPr>
          <t>R39.htm (FY2025 10-K) | FY24 Asia/Pacific | 42</t>
        </r>
      </text>
    </comment>
    <comment ref="G80" authorId="0">
      <text>
        <r>
          <rPr>
            <sz val="9"/>
            <color rgb="FF000000"/>
            <rFont val="Arial"/>
            <family val="2"/>
          </rPr>
          <t>noc-20260331.htm | 1Q25 Asia/Pacific | 8</t>
        </r>
      </text>
    </comment>
    <comment ref="H80" authorId="0">
      <text>
        <r>
          <rPr>
            <sz val="9"/>
            <color rgb="FF000000"/>
            <rFont val="Arial"/>
            <family val="2"/>
          </rPr>
          <t>noc-20260630.htm | 2Q25 Asia/Pacific | 15</t>
        </r>
      </text>
    </comment>
    <comment ref="C81" authorId="0">
      <text>
        <r>
          <rPr>
            <sz val="9"/>
            <color rgb="FF000000"/>
            <rFont val="Arial"/>
            <family val="2"/>
          </rPr>
          <t>noc-20250930.htm | 3Q24 Europe | 36</t>
        </r>
      </text>
    </comment>
    <comment ref="D81" authorId="0">
      <text>
        <r>
          <rPr>
            <sz val="9"/>
            <color rgb="FF000000"/>
            <rFont val="Arial"/>
            <family val="2"/>
          </rPr>
          <t>noc-20250930.htm | 9M24 Europe | 112</t>
        </r>
      </text>
    </comment>
    <comment ref="F81" authorId="0">
      <text>
        <r>
          <rPr>
            <sz val="9"/>
            <color rgb="FF000000"/>
            <rFont val="Arial"/>
            <family val="2"/>
          </rPr>
          <t>R39.htm (FY2025 10-K) | FY24 Europe | 134</t>
        </r>
      </text>
    </comment>
    <comment ref="G81" authorId="0">
      <text>
        <r>
          <rPr>
            <sz val="9"/>
            <color rgb="FF000000"/>
            <rFont val="Arial"/>
            <family val="2"/>
          </rPr>
          <t>noc-20260331.htm | 1Q25 Europe | 26</t>
        </r>
      </text>
    </comment>
    <comment ref="H81" authorId="0">
      <text>
        <r>
          <rPr>
            <sz val="9"/>
            <color rgb="FF000000"/>
            <rFont val="Arial"/>
            <family val="2"/>
          </rPr>
          <t>noc-20260630.htm | 2Q25 Europe | 20</t>
        </r>
      </text>
    </comment>
    <comment ref="C82" authorId="0">
      <text>
        <r>
          <rPr>
            <sz val="9"/>
            <color rgb="FF000000"/>
            <rFont val="Arial"/>
            <family val="2"/>
          </rPr>
          <t>noc-20250930.htm | 3Q24 Other regions (principally Middle East) | 8</t>
        </r>
      </text>
    </comment>
    <comment ref="D82" authorId="0">
      <text>
        <r>
          <rPr>
            <sz val="9"/>
            <color rgb="FF000000"/>
            <rFont val="Arial"/>
            <family val="2"/>
          </rPr>
          <t>noc-20250930.htm | 9M24 Other regions (principally Middle East) | 29</t>
        </r>
      </text>
    </comment>
    <comment ref="F82" authorId="0">
      <text>
        <r>
          <rPr>
            <sz val="9"/>
            <color rgb="FF000000"/>
            <rFont val="Arial"/>
            <family val="2"/>
          </rPr>
          <t>R39.htm (FY2025 10-K) | FY24 Other regions (principally Middle East) | 36</t>
        </r>
      </text>
    </comment>
    <comment ref="G82" authorId="0">
      <text>
        <r>
          <rPr>
            <sz val="9"/>
            <color rgb="FF000000"/>
            <rFont val="Arial"/>
            <family val="2"/>
          </rPr>
          <t>noc-20260331.htm | 1Q25 Other regions (principally Middle East) | 10</t>
        </r>
      </text>
    </comment>
    <comment ref="H82" authorId="0">
      <text>
        <r>
          <rPr>
            <sz val="9"/>
            <color rgb="FF000000"/>
            <rFont val="Arial"/>
            <family val="2"/>
          </rPr>
          <t>noc-20260630.htm | 2Q25 Other regions (principally Middle East) | 12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noc-20250930.htm | 3Q24 Net EAC adjustments (in operating income) | 60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noc-20250930.htm | 9M24 Net EAC adjustments (in operating income) | 50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R39.htm (FY2025 10-K) | FY24 Net EAC adjustments (in operating income) | 42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noc-20260331.htm | 1Q25 Net EAC adjustments (in operating income) | 29</t>
        </r>
      </text>
    </comment>
    <comment ref="H83" authorId="0">
      <text>
        <r>
          <rPr>
            <sz val="9"/>
            <color rgb="FF000000"/>
            <rFont val="Arial"/>
            <family val="2"/>
          </rPr>
          <t>noc-20260630.htm | 2Q25 Net EAC adjustments (in operating income) | 13</t>
        </r>
      </text>
    </comment>
    <comment ref="C84" authorId="0">
      <text>
        <r>
          <rPr>
            <sz val="9"/>
            <color rgb="FF000000"/>
            <rFont val="Arial"/>
            <family val="2"/>
          </rPr>
          <t>noc-20250930.htm | 3Q24 Depreciation and amortisation | 86</t>
        </r>
      </text>
    </comment>
    <comment ref="D84" authorId="0">
      <text>
        <r>
          <rPr>
            <sz val="9"/>
            <color rgb="FF000000"/>
            <rFont val="Arial"/>
            <family val="2"/>
          </rPr>
          <t>noc-20250930.htm | 9M24 Depreciation and amortisation | 246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R39.htm (FY2025 10-K) | FY24 Depreciation and amortisation | 362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noc-20260331.htm | 1Q25 Depreciation and amortisation | 79</t>
        </r>
      </text>
    </comment>
    <comment ref="H84" authorId="0">
      <text>
        <r>
          <rPr>
            <sz val="9"/>
            <color rgb="FF000000"/>
            <rFont val="Arial"/>
            <family val="2"/>
          </rPr>
          <t>noc-20260630.htm | 2Q25 Depreciation and amortisation | 84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noc-20250930.htm | 3Q24 Capital expenditures | 128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noc-20250930.htm | 9M24 Capital expenditures | 401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R39.htm (FY2025 10-K) | FY24 Capital expenditures | 652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noc-20260331.htm | 1Q25 Capital expenditures | 110</t>
        </r>
      </text>
    </comment>
    <comment ref="H85" authorId="0">
      <text>
        <r>
          <rPr>
            <sz val="9"/>
            <color rgb="FF000000"/>
            <rFont val="Arial"/>
            <family val="2"/>
          </rPr>
          <t>noc-20260630.htm | 2Q25 Capital expenditures | 71</t>
        </r>
      </text>
    </comment>
    <comment ref="C86" authorId="0">
      <text>
        <r>
          <rPr>
            <sz val="9"/>
            <color rgb="FF000000"/>
            <rFont val="Arial"/>
            <family val="2"/>
          </rPr>
          <t>noc-09302025xearningsrelea.htm | 3Q24 Weighted-average basic shares | 146.2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noc-09302025xearningsrelea.htm | 9M24 Weighted-average basic shares | 147.5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noc-12312025xearningsrelea.htm | FY24 Weighted-average basic shares | 147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noc-03312026xearningsrelea.htm | 1Q25 Weighted-average basic shares | 144.6</t>
        </r>
      </text>
    </comment>
    <comment ref="H86" authorId="0">
      <text>
        <r>
          <rPr>
            <sz val="9"/>
            <color rgb="FF000000"/>
            <rFont val="Arial"/>
            <family val="2"/>
          </rPr>
          <t>noc-06302026xearningsrelea.htm | 2Q25 Weighted-average basic shares | 143.7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noc-09302025xearningsrelea.htm | 3Q24 Weighted-average diluted shares | 146.5</t>
        </r>
      </text>
    </comment>
    <comment ref="D87" authorId="0">
      <text>
        <r>
          <rPr>
            <sz val="9"/>
            <color rgb="FF000000"/>
            <rFont val="Arial"/>
            <family val="2"/>
          </rPr>
          <t>noc-09302025xearningsrelea.htm | 9M24 Weighted-average diluted shares | 147.8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noc-12312025xearningsrelea.htm | 4Q24 Weighted-average diluted shares | 145.9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noc-12312025xearningsrelea.htm | FY24 Weighted-average diluted shares | 147.3</t>
        </r>
      </text>
    </comment>
    <comment ref="G87" authorId="0">
      <text>
        <r>
          <rPr>
            <sz val="9"/>
            <color rgb="FF000000"/>
            <rFont val="Arial"/>
            <family val="2"/>
          </rPr>
          <t>noc-03312026xearningsrelea.htm | 1Q25 Weighted-average diluted shares | 144.9</t>
        </r>
      </text>
    </comment>
    <comment ref="H87" authorId="0">
      <text>
        <r>
          <rPr>
            <sz val="9"/>
            <color rgb="FF000000"/>
            <rFont val="Arial"/>
            <family val="2"/>
          </rPr>
          <t>noc-06302026xearningsrelea.htm | 2Q25 Weighted-average diluted shares | 144</t>
        </r>
      </text>
    </comment>
    <comment ref="E88" authorId="0">
      <text>
        <r>
          <rPr>
            <sz val="9"/>
            <color rgb="FF000000"/>
            <rFont val="Arial"/>
            <family val="2"/>
          </rPr>
          <t>noc-12312025xearningsrelea.htm | 4Q24 Common shares outstanding, period end (m) | 144.952026</t>
        </r>
      </text>
    </comment>
    <comment ref="D89" authorId="0">
      <text>
        <r>
          <rPr>
            <sz val="9"/>
            <color rgb="FF000000"/>
            <rFont val="Arial"/>
            <family val="2"/>
          </rPr>
          <t>noc-09302025xearningsrelea.htm | 9M24 Common stock repurchases | (2,073)</t>
        </r>
      </text>
    </comment>
    <comment ref="F89" authorId="0">
      <text>
        <r>
          <rPr>
            <sz val="9"/>
            <color rgb="FF000000"/>
            <rFont val="Arial"/>
            <family val="2"/>
          </rPr>
          <t>noc-12312025xearningsrelea.htm | FY24 Common stock repurchases | (2,514)</t>
        </r>
      </text>
    </comment>
    <comment ref="G89" authorId="0">
      <text>
        <r>
          <rPr>
            <sz val="9"/>
            <color rgb="FF000000"/>
            <rFont val="Arial"/>
            <family val="2"/>
          </rPr>
          <t>noc-03312026xearningsrelea.htm | 1Q25 Common stock repurchases | (480)</t>
        </r>
      </text>
    </comment>
    <comment ref="D90" authorId="0">
      <text>
        <r>
          <rPr>
            <sz val="9"/>
            <color rgb="FF000000"/>
            <rFont val="Arial"/>
            <family val="2"/>
          </rPr>
          <t>noc-09302025xearningsrelea.htm | 9M25 cash flow statement: Cash dividends paid | (887)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noc-03312026xearningsrelea.htm | 3M26 cash flow statement: Cash dividends paid | (1,186)</t>
        </r>
      </text>
    </comment>
    <comment ref="G90" authorId="0">
      <text>
        <r>
          <rPr>
            <sz val="9"/>
            <color rgb="FF000000"/>
            <rFont val="Arial"/>
            <family val="2"/>
          </rPr>
          <t>noc-06302026xearningsrelea.htm | 6M26 cash flow statement: Cash dividends paid | (302)</t>
        </r>
      </text>
    </comment>
    <comment ref="C91" authorId="0">
      <text>
        <r>
          <rPr>
            <sz val="9"/>
            <color rgb="FF000000"/>
            <rFont val="Arial"/>
            <family val="2"/>
          </rPr>
          <t>noc-09302025xearningsrelea.htm | 3Q24 Product sales | 7,939</t>
        </r>
      </text>
    </comment>
    <comment ref="D91" authorId="0">
      <text>
        <r>
          <rPr>
            <sz val="9"/>
            <color rgb="FF000000"/>
            <rFont val="Arial"/>
            <family val="2"/>
          </rPr>
          <t>noc-09302025xearningsrelea.htm | 9M24 Product sales | 24,117</t>
        </r>
      </text>
    </comment>
    <comment ref="F91" authorId="0">
      <text>
        <r>
          <rPr>
            <sz val="9"/>
            <color rgb="FF000000"/>
            <rFont val="Arial"/>
            <family val="2"/>
          </rPr>
          <t>noc-12312025xearningsrelea.htm | FY24 Product sales | 32,726</t>
        </r>
      </text>
    </comment>
    <comment ref="G91" authorId="0">
      <text>
        <r>
          <rPr>
            <sz val="9"/>
            <color rgb="FF000000"/>
            <rFont val="Arial"/>
            <family val="2"/>
          </rPr>
          <t>noc-03312026xearningsrelea.htm | 1Q25 Product sales | 7,521</t>
        </r>
      </text>
    </comment>
    <comment ref="H91" authorId="0">
      <text>
        <r>
          <rPr>
            <sz val="9"/>
            <color rgb="FF000000"/>
            <rFont val="Arial"/>
            <family val="2"/>
          </rPr>
          <t>noc-06302026xearningsrelea.htm | 2Q25 Product sales | 8,258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noc-09302025xearningsrelea.htm | 3Q24 Service sales | 2,057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noc-09302025xearningsrelea.htm | 9M24 Service sales | 6,230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noc-12312025xearningsrelea.htm | FY24 Service sales | 8,307</t>
        </r>
      </text>
    </comment>
    <comment ref="G92" authorId="0">
      <text>
        <r>
          <rPr>
            <sz val="9"/>
            <color rgb="FF000000"/>
            <rFont val="Arial"/>
            <family val="2"/>
          </rPr>
          <t>noc-03312026xearningsrelea.htm | 1Q25 Service sales | 1,947</t>
        </r>
      </text>
    </comment>
    <comment ref="H92" authorId="0">
      <text>
        <r>
          <rPr>
            <sz val="9"/>
            <color rgb="FF000000"/>
            <rFont val="Arial"/>
            <family val="2"/>
          </rPr>
          <t>noc-06302026xearningsrelea.htm | 2Q25 Service sales | 2,093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noc-09302025xearningsrelea.htm | 3Q24 Product costs | 6,280</t>
        </r>
      </text>
    </comment>
    <comment ref="D93" authorId="0">
      <text>
        <r>
          <rPr>
            <sz val="9"/>
            <color rgb="FF000000"/>
            <rFont val="Arial"/>
            <family val="2"/>
          </rPr>
          <t>noc-09302025xearningsrelea.htm | 9M24 Product costs | 19,079</t>
        </r>
      </text>
    </comment>
    <comment ref="F93" authorId="0">
      <text>
        <r>
          <rPr>
            <sz val="9"/>
            <color rgb="FF000000"/>
            <rFont val="Arial"/>
            <family val="2"/>
          </rPr>
          <t>noc-12312025xearningsrelea.htm | FY24 Product costs | 26,188</t>
        </r>
      </text>
    </comment>
    <comment ref="G93" authorId="0">
      <text>
        <r>
          <rPr>
            <sz val="9"/>
            <color rgb="FF000000"/>
            <rFont val="Arial"/>
            <family val="2"/>
          </rPr>
          <t>noc-03312026xearningsrelea.htm | 1Q25 Product costs | 6,366</t>
        </r>
      </text>
    </comment>
    <comment ref="H93" authorId="0">
      <text>
        <r>
          <rPr>
            <sz val="9"/>
            <color rgb="FF000000"/>
            <rFont val="Arial"/>
            <family val="2"/>
          </rPr>
          <t>noc-06302026xearningsrelea.htm | 2Q25 Product costs | 6,526</t>
        </r>
      </text>
    </comment>
    <comment ref="C94" authorId="0">
      <text>
        <r>
          <rPr>
            <sz val="9"/>
            <color rgb="FF000000"/>
            <rFont val="Arial"/>
            <family val="2"/>
          </rPr>
          <t>noc-09302025xearningsrelea.htm | 3Q24 Service costs | 1,610</t>
        </r>
      </text>
    </comment>
    <comment ref="D94" authorId="0">
      <text>
        <r>
          <rPr>
            <sz val="9"/>
            <color rgb="FF000000"/>
            <rFont val="Arial"/>
            <family val="2"/>
          </rPr>
          <t>noc-09302025xearningsrelea.htm | 9M24 Service costs | 4,838</t>
        </r>
      </text>
    </comment>
    <comment ref="F94" authorId="0">
      <text>
        <r>
          <rPr>
            <sz val="9"/>
            <color rgb="FF000000"/>
            <rFont val="Arial"/>
            <family val="2"/>
          </rPr>
          <t>noc-12312025xearningsrelea.htm | FY24 Service costs | 6,483</t>
        </r>
      </text>
    </comment>
    <comment ref="G94" authorId="0">
      <text>
        <r>
          <rPr>
            <sz val="9"/>
            <color rgb="FF000000"/>
            <rFont val="Arial"/>
            <family val="2"/>
          </rPr>
          <t>noc-03312026xearningsrelea.htm | 1Q25 Service costs | 1,522</t>
        </r>
      </text>
    </comment>
    <comment ref="H94" authorId="0">
      <text>
        <r>
          <rPr>
            <sz val="9"/>
            <color rgb="FF000000"/>
            <rFont val="Arial"/>
            <family val="2"/>
          </rPr>
          <t>noc-06302026xearningsrelea.htm | 2Q25 Service costs | 1,615</t>
        </r>
      </text>
    </comment>
    <comment ref="C95" authorId="0">
      <text>
        <r>
          <rPr>
            <sz val="9"/>
            <color rgb="FF000000"/>
            <rFont val="Arial"/>
            <family val="2"/>
          </rPr>
          <t>noc-09302025xearningsrelea.htm | 3Q24 General and administrative expenses | 986</t>
        </r>
      </text>
    </comment>
    <comment ref="D95" authorId="0">
      <text>
        <r>
          <rPr>
            <sz val="9"/>
            <color rgb="FF000000"/>
            <rFont val="Arial"/>
            <family val="2"/>
          </rPr>
          <t>noc-09302025xearningsrelea.htm | 9M24 General and administrative expenses | 3,149</t>
        </r>
      </text>
    </comment>
    <comment ref="F95" authorId="0">
      <text>
        <r>
          <rPr>
            <sz val="9"/>
            <color rgb="FF000000"/>
            <rFont val="Arial"/>
            <family val="2"/>
          </rPr>
          <t>noc-12312025xearningsrelea.htm | FY24 General and administrative expenses | 3,992</t>
        </r>
      </text>
    </comment>
    <comment ref="G95" authorId="0">
      <text>
        <r>
          <rPr>
            <sz val="9"/>
            <color rgb="FF000000"/>
            <rFont val="Arial"/>
            <family val="2"/>
          </rPr>
          <t>noc-03312026xearningsrelea.htm | 1Q25 General and administrative expenses | 1,007</t>
        </r>
      </text>
    </comment>
    <comment ref="H95" authorId="0">
      <text>
        <r>
          <rPr>
            <sz val="9"/>
            <color rgb="FF000000"/>
            <rFont val="Arial"/>
            <family val="2"/>
          </rPr>
          <t>noc-06302026xearningsrelea.htm | 2Q25 General and administrative expenses | 1,016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noc-09302025xearningsrelea.htm | 3Q24 Gain on sale of business | 0</t>
        </r>
      </text>
    </comment>
    <comment ref="D96" authorId="0">
      <text>
        <r>
          <rPr>
            <sz val="9"/>
            <color rgb="FF000000"/>
            <rFont val="Arial"/>
            <family val="2"/>
          </rPr>
          <t>noc-09302025xearningsrelea.htm | 9M24 Gain on sale of business | 0</t>
        </r>
      </text>
    </comment>
    <comment ref="E96" authorId="0">
      <text>
        <r>
          <rPr>
            <sz val="9"/>
            <color rgb="FF000000"/>
            <rFont val="Arial"/>
            <family val="2"/>
          </rPr>
          <t>noc-12312025xearningsrelea.htm | 4Q24 Gain on sale of business | 0</t>
        </r>
      </text>
    </comment>
    <comment ref="F96" authorId="0">
      <text>
        <r>
          <rPr>
            <sz val="9"/>
            <color rgb="FF000000"/>
            <rFont val="Arial"/>
            <family val="2"/>
          </rPr>
          <t>noc-12312025xearningsrelea.htm | FY24 Gain on sale of business | 0</t>
        </r>
      </text>
    </comment>
    <comment ref="G96" authorId="0">
      <text>
        <r>
          <rPr>
            <sz val="9"/>
            <color rgb="FF000000"/>
            <rFont val="Arial"/>
            <family val="2"/>
          </rPr>
          <t>noc-03312026xearningsrelea.htm | 1Q25 Gain on sale of business | 0</t>
        </r>
      </text>
    </comment>
    <comment ref="H96" authorId="0">
      <text>
        <r>
          <rPr>
            <sz val="9"/>
            <color rgb="FF000000"/>
            <rFont val="Arial"/>
            <family val="2"/>
          </rPr>
          <t>noc-06302026xearningsrelea.htm | 2Q25 Gain on sale of business | 231</t>
        </r>
      </text>
    </comment>
    <comment ref="C97" authorId="0">
      <text>
        <r>
          <rPr>
            <sz val="9"/>
            <color rgb="FF000000"/>
            <rFont val="Arial"/>
            <family val="2"/>
          </rPr>
          <t>noc-20250930.htm | 3Q24 Intersegment eliminations | (58)</t>
        </r>
      </text>
    </comment>
    <comment ref="D97" authorId="0">
      <text>
        <r>
          <rPr>
            <sz val="9"/>
            <color rgb="FF000000"/>
            <rFont val="Arial"/>
            <family val="2"/>
          </rPr>
          <t>noc-20250930.htm | 9M24 Intersegment eliminations | (191)</t>
        </r>
      </text>
    </comment>
    <comment ref="E97" authorId="0">
      <text>
        <r>
          <rPr>
            <sz val="9"/>
            <color rgb="FF000000"/>
            <rFont val="Arial"/>
            <family val="2"/>
          </rPr>
          <t>noc-12312025xearningsrelea.htm | 4Q24 Intersegment eliminations | (69)</t>
        </r>
      </text>
    </comment>
    <comment ref="F97" authorId="0">
      <text>
        <r>
          <rPr>
            <sz val="9"/>
            <color rgb="FF000000"/>
            <rFont val="Arial"/>
            <family val="2"/>
          </rPr>
          <t>R39.htm (FY2025 10-K) | FY24 Intersegment eliminations | (260)</t>
        </r>
      </text>
    </comment>
    <comment ref="G97" authorId="0">
      <text>
        <r>
          <rPr>
            <sz val="9"/>
            <color rgb="FF000000"/>
            <rFont val="Arial"/>
            <family val="2"/>
          </rPr>
          <t>noc-20260331.htm | 1Q25 Intersegment eliminations | (72)</t>
        </r>
      </text>
    </comment>
    <comment ref="H97" authorId="0">
      <text>
        <r>
          <rPr>
            <sz val="9"/>
            <color rgb="FF000000"/>
            <rFont val="Arial"/>
            <family val="2"/>
          </rPr>
          <t>noc-20260630.htm | 2Q25 Intersegment eliminations | (76)</t>
        </r>
      </text>
    </comment>
    <comment ref="C98" authorId="0">
      <text>
        <r>
          <rPr>
            <sz val="9"/>
            <color rgb="FF000000"/>
            <rFont val="Arial"/>
            <family val="2"/>
          </rPr>
          <t>noc-09302025xearningsrelea.htm | 3Q24 FAS/CAS operating adjustment | 20</t>
        </r>
      </text>
    </comment>
    <comment ref="D98" authorId="0">
      <text>
        <r>
          <rPr>
            <sz val="9"/>
            <color rgb="FF000000"/>
            <rFont val="Arial"/>
            <family val="2"/>
          </rPr>
          <t>noc-09302025xearningsrelea.htm | 9M24 FAS/CAS operating adjustment | 32</t>
        </r>
      </text>
    </comment>
    <comment ref="E98" authorId="0">
      <text>
        <r>
          <rPr>
            <sz val="9"/>
            <color rgb="FF000000"/>
            <rFont val="Arial"/>
            <family val="2"/>
          </rPr>
          <t>noc-12312025xearningsrelea.htm | 4Q24 FAS/CAS operating adjustment | 8</t>
        </r>
      </text>
    </comment>
    <comment ref="F98" authorId="0">
      <text>
        <r>
          <rPr>
            <sz val="9"/>
            <color rgb="FF000000"/>
            <rFont val="Arial"/>
            <family val="2"/>
          </rPr>
          <t>noc-12312025xearningsrelea.htm | FY24 FAS/CAS operating adjustment | 40</t>
        </r>
      </text>
    </comment>
    <comment ref="G98" authorId="0">
      <text>
        <r>
          <rPr>
            <sz val="9"/>
            <color rgb="FF000000"/>
            <rFont val="Arial"/>
            <family val="2"/>
          </rPr>
          <t>noc-03312026xearningsrelea.htm | 1Q25 FAS/CAS operating adjustment | 63</t>
        </r>
      </text>
    </comment>
    <comment ref="H98" authorId="0">
      <text>
        <r>
          <rPr>
            <sz val="9"/>
            <color rgb="FF000000"/>
            <rFont val="Arial"/>
            <family val="2"/>
          </rPr>
          <t>noc-06302026xearningsrelea.htm | 2Q25 FAS/CAS operating adjustment | 63</t>
        </r>
      </text>
    </comment>
    <comment ref="C99" authorId="0">
      <text>
        <r>
          <rPr>
            <sz val="9"/>
            <color rgb="FF000000"/>
            <rFont val="Arial"/>
            <family val="2"/>
          </rPr>
          <t>noc-09302025xearningsrelea.htm | 3Q24 Gain on sale of business | 0</t>
        </r>
      </text>
    </comment>
    <comment ref="D99" authorId="0">
      <text>
        <r>
          <rPr>
            <sz val="9"/>
            <color rgb="FF000000"/>
            <rFont val="Arial"/>
            <family val="2"/>
          </rPr>
          <t>noc-09302025xearningsrelea.htm | 9M24 Gain on sale of business | 0</t>
        </r>
      </text>
    </comment>
    <comment ref="E99" authorId="0">
      <text>
        <r>
          <rPr>
            <sz val="9"/>
            <color rgb="FF000000"/>
            <rFont val="Arial"/>
            <family val="2"/>
          </rPr>
          <t>noc-12312025xearningsrelea.htm | 4Q24 Gain on sale of business | 0</t>
        </r>
      </text>
    </comment>
    <comment ref="F99" authorId="0">
      <text>
        <r>
          <rPr>
            <sz val="9"/>
            <color rgb="FF000000"/>
            <rFont val="Arial"/>
            <family val="2"/>
          </rPr>
          <t>noc-12312025xearningsrelea.htm | FY24 Gain on sale of business | 0</t>
        </r>
      </text>
    </comment>
    <comment ref="G99" authorId="0">
      <text>
        <r>
          <rPr>
            <sz val="9"/>
            <color rgb="FF000000"/>
            <rFont val="Arial"/>
            <family val="2"/>
          </rPr>
          <t>noc-03312026xearningsrelea.htm | 1Q25 Gain on sale of business | 0</t>
        </r>
      </text>
    </comment>
    <comment ref="H99" authorId="0">
      <text>
        <r>
          <rPr>
            <sz val="9"/>
            <color rgb="FF000000"/>
            <rFont val="Arial"/>
            <family val="2"/>
          </rPr>
          <t>noc-06302026xearningsrelea.htm | 2Q25 Gain on sale of business | 231</t>
        </r>
      </text>
    </comment>
    <comment ref="C100" authorId="0">
      <text>
        <r>
          <rPr>
            <sz val="9"/>
            <color rgb="FF000000"/>
            <rFont val="Arial"/>
            <family val="2"/>
          </rPr>
          <t>noc-09302025xearningsrelea.htm | 3Q24 Training services divestiture - unallowable state taxes and costs | (2)</t>
        </r>
      </text>
    </comment>
    <comment ref="D100" authorId="0">
      <text>
        <r>
          <rPr>
            <sz val="9"/>
            <color rgb="FF000000"/>
            <rFont val="Arial"/>
            <family val="2"/>
          </rPr>
          <t>noc-09302025xearningsrelea.htm | 9M24 Training services divestiture - unallowable state taxes and costs | (2)</t>
        </r>
      </text>
    </comment>
    <comment ref="E100" authorId="0">
      <text>
        <r>
          <rPr>
            <sz val="9"/>
            <color rgb="FF000000"/>
            <rFont val="Arial"/>
            <family val="2"/>
          </rPr>
          <t>noc-12312025xearningsrelea.htm | 4Q24 Training services divestiture - unallowable state taxes and costs | (3)</t>
        </r>
      </text>
    </comment>
    <comment ref="F100" authorId="0">
      <text>
        <r>
          <rPr>
            <sz val="9"/>
            <color rgb="FF000000"/>
            <rFont val="Arial"/>
            <family val="2"/>
          </rPr>
          <t>noc-12312025xearningsrelea.htm | FY24 Training services divestiture - unallowable state taxes and costs | (5)</t>
        </r>
      </text>
    </comment>
    <comment ref="G100" authorId="0">
      <text>
        <r>
          <rPr>
            <sz val="9"/>
            <color rgb="FF000000"/>
            <rFont val="Arial"/>
            <family val="2"/>
          </rPr>
          <t>noc-03312026xearningsrelea.htm | 1Q25 Training services divestiture - unallowable state taxes and costs | 0</t>
        </r>
      </text>
    </comment>
    <comment ref="H100" authorId="0">
      <text>
        <r>
          <rPr>
            <sz val="9"/>
            <color rgb="FF000000"/>
            <rFont val="Arial"/>
            <family val="2"/>
          </rPr>
          <t>noc-06302026xearningsrelea.htm | 2Q25 Training services divestiture - unallowable state taxes and costs | (19)</t>
        </r>
      </text>
    </comment>
    <comment ref="C101" authorId="0">
      <text>
        <r>
          <rPr>
            <sz val="9"/>
            <color rgb="FF000000"/>
            <rFont val="Arial"/>
            <family val="2"/>
          </rPr>
          <t>noc-09302025xearningsrelea.htm | 3Q24 Intangible asset amortisation and PP&amp;E step-up depreciation | (23)</t>
        </r>
      </text>
    </comment>
    <comment ref="D101" authorId="0">
      <text>
        <r>
          <rPr>
            <sz val="9"/>
            <color rgb="FF000000"/>
            <rFont val="Arial"/>
            <family val="2"/>
          </rPr>
          <t>noc-09302025xearningsrelea.htm | 9M24 Intangible asset amortisation and PP&amp;E step-up depreciation | (72)</t>
        </r>
      </text>
    </comment>
    <comment ref="E101" authorId="0">
      <text>
        <r>
          <rPr>
            <sz val="9"/>
            <color rgb="FF000000"/>
            <rFont val="Arial"/>
            <family val="2"/>
          </rPr>
          <t>noc-12312025xearningsrelea.htm | 4Q24 Intangible asset amortisation and PP&amp;E step-up depreciation | (25)</t>
        </r>
      </text>
    </comment>
    <comment ref="F101" authorId="0">
      <text>
        <r>
          <rPr>
            <sz val="9"/>
            <color rgb="FF000000"/>
            <rFont val="Arial"/>
            <family val="2"/>
          </rPr>
          <t>noc-12312025xearningsrelea.htm | FY24 Intangible asset amortisation and PP&amp;E step-up depreciation | (97)</t>
        </r>
      </text>
    </comment>
    <comment ref="G101" authorId="0">
      <text>
        <r>
          <rPr>
            <sz val="9"/>
            <color rgb="FF000000"/>
            <rFont val="Arial"/>
            <family val="2"/>
          </rPr>
          <t>noc-03312026xearningsrelea.htm | 1Q25 Intangible asset amortisation and PP&amp;E step-up depreciation | (21)</t>
        </r>
      </text>
    </comment>
    <comment ref="H101" authorId="0">
      <text>
        <r>
          <rPr>
            <sz val="9"/>
            <color rgb="FF000000"/>
            <rFont val="Arial"/>
            <family val="2"/>
          </rPr>
          <t>noc-06302026xearningsrelea.htm | 2Q25 Intangible asset amortisation and PP&amp;E step-up depreciation | (21)</t>
        </r>
      </text>
    </comment>
    <comment ref="C102" authorId="0">
      <text>
        <r>
          <rPr>
            <sz val="9"/>
            <color rgb="FF000000"/>
            <rFont val="Arial"/>
            <family val="2"/>
          </rPr>
          <t>noc-09302025xearningsrelea.htm | 3Q24 MTM-related deferred state tax expense | 0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noc-09302025xearningsrelea.htm | 9M24 MTM-related deferred state tax expense | 0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noc-12312025xearningsrelea.htm | 4Q24 MTM-related deferred state tax expense | (23)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noc-12312025xearningsrelea.htm | FY24 MTM-related deferred state tax expense | (23)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noc-03312026xearningsrelea.htm | 1Q25 MTM-related deferred state tax expense | 0</t>
        </r>
      </text>
    </comment>
    <comment ref="H102" authorId="0">
      <text>
        <r>
          <rPr>
            <sz val="9"/>
            <color rgb="FF000000"/>
            <rFont val="Arial"/>
            <family val="2"/>
          </rPr>
          <t>noc-06302026xearningsrelea.htm | 2Q25 MTM-related deferred state tax expense | 0</t>
        </r>
      </text>
    </comment>
    <comment ref="C103" authorId="0">
      <text>
        <r>
          <rPr>
            <sz val="9"/>
            <color rgb="FF000000"/>
            <rFont val="Arial"/>
            <family val="2"/>
          </rPr>
          <t>noc-09302025xearningsrelea.htm | 3Q24 Other unallocated corporate expense | (21)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noc-09302025xearningsrelea.htm | 9M24 Other unallocated corporate expense | (28)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noc-12312025xearningsrelea.htm | 4Q24 Other unallocated corporate expense | (61)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noc-12312025xearningsrelea.htm | FY24 Other unallocated corporate expense | (89)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noc-03312026xearningsrelea.htm | 1Q25 Other unallocated corporate expense | (37)</t>
        </r>
      </text>
    </comment>
    <comment ref="H103" authorId="0">
      <text>
        <r>
          <rPr>
            <sz val="9"/>
            <color rgb="FF000000"/>
            <rFont val="Arial"/>
            <family val="2"/>
          </rPr>
          <t>noc-06302026xearningsrelea.htm | 2Q25 Other unallocated corporate expense | (48)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noc-09302025xearningsrelea.htm | 3Q24 Interest expense | (161)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noc-09302025xearningsrelea.htm | 9M24 Interest expense | (461)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noc-12312025xearningsrelea.htm | 4Q24 Interest expense | (160)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noc-12312025xearningsrelea.htm | FY24 Interest expense | (621)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noc-03312026xearningsrelea.htm | 1Q25 Interest expense | (156)</t>
        </r>
      </text>
    </comment>
    <comment ref="H104" authorId="0">
      <text>
        <r>
          <rPr>
            <sz val="9"/>
            <color rgb="FF000000"/>
            <rFont val="Arial"/>
            <family val="2"/>
          </rPr>
          <t>noc-06302026xearningsrelea.htm | 2Q25 Interest expense | (173)</t>
        </r>
      </text>
    </comment>
    <comment ref="C105" authorId="0">
      <text>
        <r>
          <rPr>
            <sz val="9"/>
            <color rgb="FF000000"/>
            <rFont val="Arial"/>
            <family val="2"/>
          </rPr>
          <t>noc-09302025xearningsrelea.htm | 3Q24 Non-operating FAS pension benefit | 168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noc-09302025xearningsrelea.htm | 9M24 Non-operating FAS pension benefit | 503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noc-12312025xearningsrelea.htm | 4Q24 Non-operating FAS pension benefit | 153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noc-12312025xearningsrelea.htm | FY24 Non-operating FAS pension benefit | 656</t>
        </r>
      </text>
    </comment>
    <comment ref="G105" authorId="0">
      <text>
        <r>
          <rPr>
            <sz val="9"/>
            <color rgb="FF000000"/>
            <rFont val="Arial"/>
            <family val="2"/>
          </rPr>
          <t>noc-03312026xearningsrelea.htm | 1Q25 Non-operating FAS pension benefit | 130</t>
        </r>
      </text>
    </comment>
    <comment ref="H105" authorId="0">
      <text>
        <r>
          <rPr>
            <sz val="9"/>
            <color rgb="FF000000"/>
            <rFont val="Arial"/>
            <family val="2"/>
          </rPr>
          <t>noc-06302026xearningsrelea.htm | 2Q25 Non-operating FAS pension benefit | 137</t>
        </r>
      </text>
    </comment>
    <comment ref="C106" authorId="0">
      <text>
        <r>
          <rPr>
            <sz val="9"/>
            <color rgb="FF000000"/>
            <rFont val="Arial"/>
            <family val="2"/>
          </rPr>
          <t>noc-09302025xearningsrelea.htm | 3Q24 Mark-to-market pension and OPB benefit | 0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noc-09302025xearningsrelea.htm | 9M24 Mark-to-market pension and OPB benefit | 0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noc-12312025xearningsrelea.htm | 4Q24 Mark-to-market pension and OPB benefit | 443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noc-12312025xearningsrelea.htm | FY24 Mark-to-market pension and OPB benefit | 443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noc-03312026xearningsrelea.htm | 1Q25 Mark-to-market pension and OPB benefit | 0</t>
        </r>
      </text>
    </comment>
    <comment ref="H106" authorId="0">
      <text>
        <r>
          <rPr>
            <sz val="9"/>
            <color rgb="FF000000"/>
            <rFont val="Arial"/>
            <family val="2"/>
          </rPr>
          <t>noc-06302026xearningsrelea.htm | 2Q25 Mark-to-market pension and OPB benefit | 0</t>
        </r>
      </text>
    </comment>
    <comment ref="C107" authorId="0">
      <text>
        <r>
          <rPr>
            <sz val="9"/>
            <color rgb="FF000000"/>
            <rFont val="Arial"/>
            <family val="2"/>
          </rPr>
          <t>noc-09302025xearningsrelea.htm | 3Q24 Other, net | 61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noc-09302025xearningsrelea.htm | 9M24 Other, net | 142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noc-12312025xearningsrelea.htm | 4Q24 Other, net | 26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noc-12312025xearningsrelea.htm | FY24 Other, net | 168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noc-03312026xearningsrelea.htm | 1Q25 Other, net | 31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noc-06302026xearningsrelea.htm | 2Q25 Other, net | 38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noc-09302025xearningsrelea.htm | 3Q24 Federal and foreign income tax expense | 162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noc-09302025xearningsrelea.htm | 9M24 Federal and foreign income tax expense | 555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noc-12312025xearningsrelea.htm | 4Q24 Federal and foreign income tax expense | 287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noc-12312025xearningsrelea.htm | FY24 Federal and foreign income tax expense | 842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noc-03312026xearningsrelea.htm | 1Q25 Federal and foreign income tax expense | 97</t>
        </r>
      </text>
    </comment>
    <comment ref="H108" authorId="0">
      <text>
        <r>
          <rPr>
            <sz val="9"/>
            <color rgb="FF000000"/>
            <rFont val="Arial"/>
            <family val="2"/>
          </rPr>
          <t>noc-06302026xearningsrelea.htm | 2Q25 Federal and foreign income tax expense | 253</t>
        </r>
      </text>
    </comment>
    <comment ref="C109" authorId="0">
      <text>
        <r>
          <rPr>
            <sz val="9"/>
            <color rgb="FF000000"/>
            <rFont val="Arial"/>
            <family val="2"/>
          </rPr>
          <t>noc-09302025xearningsrelea.htm | 3Q24 MTM-adjusted net earnings (non-GAAP; consensus basis) | 1,026</t>
        </r>
      </text>
    </comment>
    <comment ref="D109" authorId="0">
      <text>
        <r>
          <rPr>
            <sz val="9"/>
            <color rgb="FF000000"/>
            <rFont val="Arial"/>
            <family val="2"/>
          </rPr>
          <t>noc-09302025xearningsrelea.htm | 9M24 MTM-adjusted net earnings (non-GAAP; consensus basis) | 2,910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noc-12312025xearningsrelea.htm | 4Q24 MTM-adjusted net earnings (non-GAAP; consensus basis) | 932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noc-12312025xearningsrelea.htm | FY24 MTM-adjusted net earnings (non-GAAP; consensus basis) | 3,842</t>
        </r>
      </text>
    </comment>
    <comment ref="G109" authorId="0">
      <text>
        <r>
          <rPr>
            <sz val="9"/>
            <color rgb="FF000000"/>
            <rFont val="Arial"/>
            <family val="2"/>
          </rPr>
          <t>noc-03312026xearningsrelea.htm | 1Q25 MTM-adjusted net earnings (non-GAAP; consensus basis) | 481</t>
        </r>
      </text>
    </comment>
    <comment ref="H109" authorId="0">
      <text>
        <r>
          <rPr>
            <sz val="9"/>
            <color rgb="FF000000"/>
            <rFont val="Arial"/>
            <family val="2"/>
          </rPr>
          <t>noc-06302026xearningsrelea.htm | 2Q25 MTM-adjusted net earnings (non-GAAP; consensus basis) | 1,174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noc-09302025xearningsrelea.htm | 3Q24 MTM-adjusted diluted EPS (non-GAAP; consensus basis) | 7</t>
        </r>
      </text>
    </comment>
    <comment ref="D110" authorId="0">
      <text>
        <r>
          <rPr>
            <sz val="9"/>
            <color rgb="FF000000"/>
            <rFont val="Arial"/>
            <family val="2"/>
          </rPr>
          <t>noc-09302025xearningsrelea.htm | 9M24 MTM-adjusted diluted EPS (non-GAAP; consensus basis) | 19.69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noc-12312025xearningsrelea.htm | 4Q24 MTM-adjusted diluted EPS (non-GAAP; consensus basis) | 6.39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noc-12312025xearningsrelea.htm | FY24 MTM-adjusted diluted EPS (non-GAAP; consensus basis) | 26.08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noc-03312026xearningsrelea.htm | 1Q25 MTM-adjusted diluted EPS (non-GAAP; consensus basis) | 3.32</t>
        </r>
      </text>
    </comment>
    <comment ref="H110" authorId="0">
      <text>
        <r>
          <rPr>
            <sz val="9"/>
            <color rgb="FF000000"/>
            <rFont val="Arial"/>
            <family val="2"/>
          </rPr>
          <t>noc-06302026xearningsrelea.htm | 2Q25 MTM-adjusted diluted EPS (non-GAAP; consensus basis) | 8.15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noc-09302025xearningsrelea.htm | 9M24 Net earnings | 2,910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noc-12312025xearningsrelea.htm | FY24 Net earnings | 4,174</t>
        </r>
      </text>
    </comment>
    <comment ref="G111" authorId="0">
      <text>
        <r>
          <rPr>
            <sz val="9"/>
            <color rgb="FF000000"/>
            <rFont val="Arial"/>
            <family val="2"/>
          </rPr>
          <t>noc-03312026xearningsrelea.htm | 1Q25 Net earnings | 481</t>
        </r>
      </text>
    </comment>
    <comment ref="D112" authorId="0">
      <text>
        <r>
          <rPr>
            <sz val="9"/>
            <color rgb="FF000000"/>
            <rFont val="Arial"/>
            <family val="2"/>
          </rPr>
          <t>noc-20250930.htm | 9M24 Depreciation and amortisation | 956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R39.htm (FY2025 10-K) | FY24 Depreciation and amortisation | 1,370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noc-20260331.htm | 1Q25 Depreciation and amortisation | 337</t>
        </r>
      </text>
    </comment>
    <comment ref="D113" authorId="0">
      <text>
        <r>
          <rPr>
            <sz val="9"/>
            <color rgb="FF000000"/>
            <rFont val="Arial"/>
            <family val="2"/>
          </rPr>
          <t>noc-09302025xearningsrelea.htm | 9M24 Stock-based compensation | 72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noc-12312025xearningsrelea.htm | FY24 Stock-based compensation | 101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noc-03312026xearningsrelea.htm | 1Q25 Stock-based compensation | 20</t>
        </r>
      </text>
    </comment>
    <comment ref="D114" authorId="0">
      <text>
        <r>
          <rPr>
            <sz val="9"/>
            <color rgb="FF000000"/>
            <rFont val="Arial"/>
            <family val="2"/>
          </rPr>
          <t>noc-09302025xearningsrelea.htm | 9M24 Deferred income taxes | (387)</t>
        </r>
      </text>
    </comment>
    <comment ref="F114" authorId="0">
      <text>
        <r>
          <rPr>
            <sz val="9"/>
            <color rgb="FF000000"/>
            <rFont val="Arial"/>
            <family val="2"/>
          </rPr>
          <t>noc-12312025xearningsrelea.htm | FY24 Deferred income taxes | (582)</t>
        </r>
      </text>
    </comment>
    <comment ref="G114" authorId="0">
      <text>
        <r>
          <rPr>
            <sz val="9"/>
            <color rgb="FF000000"/>
            <rFont val="Arial"/>
            <family val="2"/>
          </rPr>
          <t>noc-03312026xearningsrelea.htm | 1Q25 Deferred income taxes | (34)</t>
        </r>
      </text>
    </comment>
    <comment ref="D115" authorId="0">
      <text>
        <r>
          <rPr>
            <sz val="9"/>
            <color rgb="FF000000"/>
            <rFont val="Arial"/>
            <family val="2"/>
          </rPr>
          <t>noc-09302025xearningsrelea.htm | 9M24 B-21 loss provision | 0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noc-12312025xearningsrelea.htm | FY24 B-21 loss provision | 0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noc-03312026xearningsrelea.htm | 1Q25 B-21 loss provision | 477</t>
        </r>
      </text>
    </comment>
    <comment ref="D116" authorId="0">
      <text>
        <r>
          <rPr>
            <sz val="9"/>
            <color rgb="FF000000"/>
            <rFont val="Arial"/>
            <family val="2"/>
          </rPr>
          <t>noc-09302025xearningsrelea.htm | 9M24 Gain on sale of business | 0</t>
        </r>
      </text>
    </comment>
    <comment ref="F116" authorId="0">
      <text>
        <r>
          <rPr>
            <sz val="9"/>
            <color rgb="FF000000"/>
            <rFont val="Arial"/>
            <family val="2"/>
          </rPr>
          <t>noc-12312025xearningsrelea.htm | FY24 Gain on sale of business | 0</t>
        </r>
      </text>
    </comment>
    <comment ref="G116" authorId="0">
      <text>
        <r>
          <rPr>
            <sz val="9"/>
            <color rgb="FF000000"/>
            <rFont val="Arial"/>
            <family val="2"/>
          </rPr>
          <t>noc-03312026xearningsrelea.htm | 1Q25 Gain on sale of business | 0</t>
        </r>
      </text>
    </comment>
    <comment ref="D117" authorId="0">
      <text>
        <r>
          <rPr>
            <sz val="9"/>
            <color rgb="FF000000"/>
            <rFont val="Arial"/>
            <family val="2"/>
          </rPr>
          <t>noc-09302025xearningsrelea.htm | 9M24 Mark-to-market pension and OPB benefit | 0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noc-12312025xearningsrelea.htm | FY24 Mark-to-market pension and OPB benefit | (443)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noc-03312026xearningsrelea.htm | 1Q25 Mark-to-market pension and OPB benefit | 0</t>
        </r>
      </text>
    </comment>
    <comment ref="D118" authorId="0">
      <text>
        <r>
          <rPr>
            <sz val="9"/>
            <color rgb="FF000000"/>
            <rFont val="Arial"/>
            <family val="2"/>
          </rPr>
          <t>noc-09302025xearningsrelea.htm | 9M24 Net periodic pension and OPB income | (339)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noc-12312025xearningsrelea.htm | FY24 Net periodic pension and OPB income | (438)</t>
        </r>
      </text>
    </comment>
    <comment ref="G118" authorId="0">
      <text>
        <r>
          <rPr>
            <sz val="9"/>
            <color rgb="FF000000"/>
            <rFont val="Arial"/>
            <family val="2"/>
          </rPr>
          <t>noc-03312026xearningsrelea.htm | 1Q25 Net periodic pension and OPB income | (81)</t>
        </r>
      </text>
    </comment>
    <comment ref="D119" authorId="0">
      <text>
        <r>
          <rPr>
            <sz val="9"/>
            <color rgb="FF000000"/>
            <rFont val="Arial"/>
            <family val="2"/>
          </rPr>
          <t>noc-09302025xearningsrelea.htm | 9M24 Pension and OPB contributions | (93)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noc-12312025xearningsrelea.htm | FY24 Pension and OPB contributions | (129)</t>
        </r>
      </text>
    </comment>
    <comment ref="G119" authorId="0">
      <text>
        <r>
          <rPr>
            <sz val="9"/>
            <color rgb="FF000000"/>
            <rFont val="Arial"/>
            <family val="2"/>
          </rPr>
          <t>noc-03312026xearningsrelea.htm | 1Q25 Pension and OPB contributions | (28)</t>
        </r>
      </text>
    </comment>
    <comment ref="D120" authorId="0">
      <text>
        <r>
          <rPr>
            <sz val="9"/>
            <color rgb="FF000000"/>
            <rFont val="Arial"/>
            <family val="2"/>
          </rPr>
          <t>noc-09302025xearningsrelea.htm | 9M24 Accounts receivable, net | (155)</t>
        </r>
      </text>
    </comment>
    <comment ref="F120" authorId="0">
      <text>
        <r>
          <rPr>
            <sz val="9"/>
            <color rgb="FF000000"/>
            <rFont val="Arial"/>
            <family val="2"/>
          </rPr>
          <t>noc-12312025xearningsrelea.htm | FY24 Accounts receivable, net | 182</t>
        </r>
      </text>
    </comment>
    <comment ref="G120" authorId="0">
      <text>
        <r>
          <rPr>
            <sz val="9"/>
            <color rgb="FF000000"/>
            <rFont val="Arial"/>
            <family val="2"/>
          </rPr>
          <t>noc-03312026xearningsrelea.htm | 1Q25 Accounts receivable, net | (542)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noc-09302025xearningsrelea.htm | 9M24 Unbilled receivables, net | (825)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noc-12312025xearningsrelea.htm | FY24 Unbilled receivables, net | (215)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noc-03312026xearningsrelea.htm | 1Q25 Unbilled receivables, net | (1,069)</t>
        </r>
      </text>
    </comment>
    <comment ref="D122" authorId="0">
      <text>
        <r>
          <rPr>
            <sz val="9"/>
            <color rgb="FF000000"/>
            <rFont val="Arial"/>
            <family val="2"/>
          </rPr>
          <t>noc-09302025xearningsrelea.htm | 9M24 Inventoried costs, net | (542)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noc-12312025xearningsrelea.htm | FY24 Inventoried costs, net | (358)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noc-03312026xearningsrelea.htm | 1Q25 Inventoried costs, net | (125)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noc-09302025xearningsrelea.htm | 9M24 Prepaid expenses and other assets | (15)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noc-12312025xearningsrelea.htm | FY24 Prepaid expenses and other assets | 35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noc-03312026xearningsrelea.htm | 1Q25 Prepaid expenses and other assets | (42)</t>
        </r>
      </text>
    </comment>
    <comment ref="D124" authorId="0">
      <text>
        <r>
          <rPr>
            <sz val="9"/>
            <color rgb="FF000000"/>
            <rFont val="Arial"/>
            <family val="2"/>
          </rPr>
          <t>noc-09302025xearningsrelea.htm | 9M24 Trade AP, advances and other liabilities (combined) | (915)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noc-12312025xearningsrelea.htm | FY24 of which: trade accounts payable | 485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noc-03312026xearningsrelea.htm | 1Q25 of which: trade accounts payable | (93)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noc-12312025xearningsrelea.htm | FY24 of which: advance payments and billings in excess | (123)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noc-03312026xearningsrelea.htm | 1Q25 of which: advance payments and billings in excess | (358)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noc-12312025xearningsrelea.htm | FY24 of which: other liabilities | (875)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noc-03312026xearningsrelea.htm | 1Q25 of which: other liabilities | (563)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noc-09302025xearningsrelea.htm | 9M24 Income taxes payable, net | 1,106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noc-12312025xearningsrelea.htm | FY24 Income taxes payable, net | 1,143</t>
        </r>
      </text>
    </comment>
    <comment ref="G128" authorId="0">
      <text>
        <r>
          <rPr>
            <sz val="9"/>
            <color rgb="FF000000"/>
            <rFont val="Arial"/>
            <family val="2"/>
          </rPr>
          <t>noc-03312026xearningsrelea.htm | 1Q25 Income taxes payable, net | 58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noc-09302025xearningsrelea.htm | 9M24 Other operating activities | 37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noc-12312025xearningsrelea.htm | FY24 Other operating activities | 61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noc-03312026xearningsrelea.htm | 1Q25 Other operating activities | (3)</t>
        </r>
      </text>
    </comment>
    <comment ref="C130" authorId="0">
      <text>
        <r>
          <rPr>
            <sz val="9"/>
            <color rgb="FF000000"/>
            <rFont val="Arial"/>
            <family val="2"/>
          </rPr>
          <t>noc-09302025xearningsrelea.htm | 3Q24 Net cash provided by (used in) operating activities | 1,091</t>
        </r>
      </text>
    </comment>
    <comment ref="D130" authorId="0">
      <text>
        <r>
          <rPr>
            <sz val="9"/>
            <color rgb="FF000000"/>
            <rFont val="Arial"/>
            <family val="2"/>
          </rPr>
          <t>noc-09302025xearningsrelea.htm | 9M24 Net cash provided by (used in) operating activities | 1,810</t>
        </r>
      </text>
    </comment>
    <comment ref="F130" authorId="0">
      <text>
        <r>
          <rPr>
            <sz val="9"/>
            <color rgb="FF000000"/>
            <rFont val="Arial"/>
            <family val="2"/>
          </rPr>
          <t>noc-12312025xearningsrelea.htm | FY24 Net cash provided by (used in) operating activities | 4,388</t>
        </r>
      </text>
    </comment>
    <comment ref="G130" authorId="0">
      <text>
        <r>
          <rPr>
            <sz val="9"/>
            <color rgb="FF000000"/>
            <rFont val="Arial"/>
            <family val="2"/>
          </rPr>
          <t>noc-03312026xearningsrelea.htm | 1Q25 Net cash provided by (used in) operating activities | (1,565)</t>
        </r>
      </text>
    </comment>
    <comment ref="H130" authorId="0">
      <text>
        <r>
          <rPr>
            <sz val="9"/>
            <color rgb="FF000000"/>
            <rFont val="Arial"/>
            <family val="2"/>
          </rPr>
          <t>noc-06302026xearningsrelea.htm | 2Q25 Net cash provided by (used in) operating activities | 868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noc-20250930.htm | 3Q24 Capital expenditures | (361)</t>
        </r>
      </text>
    </comment>
    <comment ref="D131" authorId="0">
      <text>
        <r>
          <rPr>
            <sz val="9"/>
            <color rgb="FF000000"/>
            <rFont val="Arial"/>
            <family val="2"/>
          </rPr>
          <t>noc-20250930.htm | 9M24 Capital expenditures | (951)</t>
        </r>
      </text>
    </comment>
    <comment ref="F131" authorId="0">
      <text>
        <r>
          <rPr>
            <sz val="9"/>
            <color rgb="FF000000"/>
            <rFont val="Arial"/>
            <family val="2"/>
          </rPr>
          <t>R39.htm (FY2025 10-K) | FY24 Capital expenditures | (1,767)</t>
        </r>
      </text>
    </comment>
    <comment ref="G131" authorId="0">
      <text>
        <r>
          <rPr>
            <sz val="9"/>
            <color rgb="FF000000"/>
            <rFont val="Arial"/>
            <family val="2"/>
          </rPr>
          <t>noc-20260331.htm | 1Q25 Capital expenditures | (256)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noc-09302025xearningsrelea.htm | 9M24 Proceeds from sale of investment | 0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noc-12312025xearningsrelea.htm | FY24 Proceeds from sale of investment | 0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noc-03312026xearningsrelea.htm | 1Q25 Proceeds from sale of investment | 0</t>
        </r>
      </text>
    </comment>
    <comment ref="D133" authorId="0">
      <text>
        <r>
          <rPr>
            <sz val="9"/>
            <color rgb="FF000000"/>
            <rFont val="Arial"/>
            <family val="2"/>
          </rPr>
          <t>noc-09302025xearningsrelea.htm | 9M24 Divestiture of training services business | 0</t>
        </r>
      </text>
    </comment>
    <comment ref="F133" authorId="0">
      <text>
        <r>
          <rPr>
            <sz val="9"/>
            <color rgb="FF000000"/>
            <rFont val="Arial"/>
            <family val="2"/>
          </rPr>
          <t>noc-12312025xearningsrelea.htm | FY24 Divestiture of training services business | 0</t>
        </r>
      </text>
    </comment>
    <comment ref="G133" authorId="0">
      <text>
        <r>
          <rPr>
            <sz val="9"/>
            <color rgb="FF000000"/>
            <rFont val="Arial"/>
            <family val="2"/>
          </rPr>
          <t>noc-03312026xearningsrelea.htm | 1Q25 Divestiture of training services business | 0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noc-09302025xearningsrelea.htm | 9M24 Other investing activities | 0</t>
        </r>
      </text>
    </comment>
    <comment ref="F134" authorId="0">
      <text>
        <r>
          <rPr>
            <sz val="9"/>
            <color rgb="FF000000"/>
            <rFont val="Arial"/>
            <family val="2"/>
          </rPr>
          <t>noc-12312025xearningsrelea.htm | FY24 Other investing activities | 18</t>
        </r>
      </text>
    </comment>
    <comment ref="G134" authorId="0">
      <text>
        <r>
          <rPr>
            <sz val="9"/>
            <color rgb="FF000000"/>
            <rFont val="Arial"/>
            <family val="2"/>
          </rPr>
          <t>noc-03312026xearningsrelea.htm | 1Q25 Other investing activities | 4</t>
        </r>
      </text>
    </comment>
    <comment ref="D135" authorId="0">
      <text>
        <r>
          <rPr>
            <sz val="9"/>
            <color rgb="FF000000"/>
            <rFont val="Arial"/>
            <family val="2"/>
          </rPr>
          <t>noc-09302025xearningsrelea.htm | 9M24 Net proceeds from issuance of long-term debt | 2,495</t>
        </r>
      </text>
    </comment>
    <comment ref="F135" authorId="0">
      <text>
        <r>
          <rPr>
            <sz val="9"/>
            <color rgb="FF000000"/>
            <rFont val="Arial"/>
            <family val="2"/>
          </rPr>
          <t>noc-12312025xearningsrelea.htm | FY24 Net proceeds from issuance of long-term debt | 2,495</t>
        </r>
      </text>
    </comment>
    <comment ref="G135" authorId="0">
      <text>
        <r>
          <rPr>
            <sz val="9"/>
            <color rgb="FF000000"/>
            <rFont val="Arial"/>
            <family val="2"/>
          </rPr>
          <t>noc-03312026xearningsrelea.htm | 1Q25 Net proceeds from issuance of long-term debt | 0</t>
        </r>
      </text>
    </comment>
    <comment ref="D136" authorId="0">
      <text>
        <r>
          <rPr>
            <sz val="9"/>
            <color rgb="FF000000"/>
            <rFont val="Arial"/>
            <family val="2"/>
          </rPr>
          <t>noc-09302025xearningsrelea.htm | 9M24 Payments of long-term debt | 0</t>
        </r>
      </text>
    </comment>
    <comment ref="F136" authorId="0">
      <text>
        <r>
          <rPr>
            <sz val="9"/>
            <color rgb="FF000000"/>
            <rFont val="Arial"/>
            <family val="2"/>
          </rPr>
          <t>noc-12312025xearningsrelea.htm | FY24 Payments of long-term debt | 0</t>
        </r>
      </text>
    </comment>
    <comment ref="G136" authorId="0">
      <text>
        <r>
          <rPr>
            <sz val="9"/>
            <color rgb="FF000000"/>
            <rFont val="Arial"/>
            <family val="2"/>
          </rPr>
          <t>noc-03312026xearningsrelea.htm | 1Q25 Payments of long-term debt | (1,500)</t>
        </r>
      </text>
    </comment>
    <comment ref="D137" authorId="0">
      <text>
        <r>
          <rPr>
            <sz val="9"/>
            <color rgb="FF000000"/>
            <rFont val="Arial"/>
            <family val="2"/>
          </rPr>
          <t>noc-09302025xearningsrelea.htm | 9M24 Net borrowings on commercial paper | 0</t>
        </r>
      </text>
    </comment>
    <comment ref="F137" authorId="0">
      <text>
        <r>
          <rPr>
            <sz val="9"/>
            <color rgb="FF000000"/>
            <rFont val="Arial"/>
            <family val="2"/>
          </rPr>
          <t>noc-12312025xearningsrelea.htm | FY24 Net borrowings on commercial paper | 0</t>
        </r>
      </text>
    </comment>
    <comment ref="G137" authorId="0">
      <text>
        <r>
          <rPr>
            <sz val="9"/>
            <color rgb="FF000000"/>
            <rFont val="Arial"/>
            <family val="2"/>
          </rPr>
          <t>noc-03312026xearningsrelea.htm | 1Q25 Net borrowings on commercial paper | 1,474</t>
        </r>
      </text>
    </comment>
    <comment ref="D138" authorId="0">
      <text>
        <r>
          <rPr>
            <sz val="9"/>
            <color rgb="FF000000"/>
            <rFont val="Arial"/>
            <family val="2"/>
          </rPr>
          <t>noc-09302025xearningsrelea.htm | 9M24 Payments of employee taxes withheld from share-based awards | (57)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noc-12312025xearningsrelea.htm | FY24 Payments of employee taxes withheld from share-based awards | (58)</t>
        </r>
      </text>
    </comment>
    <comment ref="G138" authorId="0">
      <text>
        <r>
          <rPr>
            <sz val="9"/>
            <color rgb="FF000000"/>
            <rFont val="Arial"/>
            <family val="2"/>
          </rPr>
          <t>noc-03312026xearningsrelea.htm | 1Q25 Payments of employee taxes withheld from share-based awards | (38)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noc-09302025xearningsrelea.htm | 9M24 Other financing activities | (120)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noc-12312025xearningsrelea.htm | FY24 Other financing activities | (132)</t>
        </r>
      </text>
    </comment>
    <comment ref="G139" authorId="0">
      <text>
        <r>
          <rPr>
            <sz val="9"/>
            <color rgb="FF000000"/>
            <rFont val="Arial"/>
            <family val="2"/>
          </rPr>
          <t>noc-03312026xearningsrelea.htm | 1Q25 Other financing activities | (5)</t>
        </r>
      </text>
    </comment>
    <comment ref="C140" authorId="0">
      <text>
        <r>
          <rPr>
            <sz val="9"/>
            <color rgb="FF000000"/>
            <rFont val="Arial"/>
            <family val="2"/>
          </rPr>
          <t>noc-09302025xearningsrelea.htm | 3Q24 Add: proceeds from sale of equipment to a customer | 0</t>
        </r>
      </text>
    </comment>
    <comment ref="D140" authorId="0">
      <text>
        <r>
          <rPr>
            <sz val="9"/>
            <color rgb="FF000000"/>
            <rFont val="Arial"/>
            <family val="2"/>
          </rPr>
          <t>noc-09302025xearningsrelea.htm | 9M24 Add: proceeds from sale of equipment to a customer | 0</t>
        </r>
      </text>
    </comment>
    <comment ref="E140" authorId="0">
      <text>
        <r>
          <rPr>
            <sz val="9"/>
            <color rgb="FF000000"/>
            <rFont val="Arial"/>
            <family val="2"/>
          </rPr>
          <t>noc-12312025xearningsrelea.htm | 4Q24 Add: proceeds from sale of equipment to a customer | 0</t>
        </r>
      </text>
    </comment>
    <comment ref="F140" authorId="0">
      <text>
        <r>
          <rPr>
            <sz val="9"/>
            <color rgb="FF000000"/>
            <rFont val="Arial"/>
            <family val="2"/>
          </rPr>
          <t>noc-12312025xearningsrelea.htm | FY24 Add: proceeds from sale of equipment to a customer | 0</t>
        </r>
      </text>
    </comment>
    <comment ref="G140" authorId="0">
      <text>
        <r>
          <rPr>
            <sz val="9"/>
            <color rgb="FF000000"/>
            <rFont val="Arial"/>
            <family val="2"/>
          </rPr>
          <t>noc-03312026xearningsrelea.htm | 1Q25 Add: proceeds from sale of equipment to a customer | 0</t>
        </r>
      </text>
    </comment>
    <comment ref="H140" authorId="0">
      <text>
        <r>
          <rPr>
            <sz val="9"/>
            <color rgb="FF000000"/>
            <rFont val="Arial"/>
            <family val="2"/>
          </rPr>
          <t>noc-06302026xearningsrelea.htm | 2Q25 Add: proceeds from sale of equipment to a customer | 0</t>
        </r>
      </text>
    </comment>
    <comment ref="C141" authorId="0">
      <text>
        <r>
          <rPr>
            <sz val="9"/>
            <color rgb="FF000000"/>
            <rFont val="Arial"/>
            <family val="2"/>
          </rPr>
          <t>noc-09302025xearningsrelea.htm | 3Q24 Add: after-tax discretionary pension contributions | 0</t>
        </r>
      </text>
    </comment>
    <comment ref="D141" authorId="0">
      <text>
        <r>
          <rPr>
            <sz val="9"/>
            <color rgb="FF000000"/>
            <rFont val="Arial"/>
            <family val="2"/>
          </rPr>
          <t>noc-09302025xearningsrelea.htm | 9M24 Add: after-tax discretionary pension contributions | 0</t>
        </r>
      </text>
    </comment>
    <comment ref="E141" authorId="0">
      <text>
        <r>
          <rPr>
            <sz val="9"/>
            <color rgb="FF000000"/>
            <rFont val="Arial"/>
            <family val="2"/>
          </rPr>
          <t>noc-12312025xearningsrelea.htm | 4Q24 Add: after-tax discretionary pension contributions | 0</t>
        </r>
      </text>
    </comment>
    <comment ref="F141" authorId="0">
      <text>
        <r>
          <rPr>
            <sz val="9"/>
            <color rgb="FF000000"/>
            <rFont val="Arial"/>
            <family val="2"/>
          </rPr>
          <t>noc-12312025xearningsrelea.htm | FY24 Add: after-tax discretionary pension contributions | 0</t>
        </r>
      </text>
    </comment>
    <comment ref="G141" authorId="0">
      <text>
        <r>
          <rPr>
            <sz val="9"/>
            <color rgb="FF000000"/>
            <rFont val="Arial"/>
            <family val="2"/>
          </rPr>
          <t>noc-03312026xearningsrelea.htm | 1Q25 Add: after-tax discretionary pension contributions | 0</t>
        </r>
      </text>
    </comment>
    <comment ref="H141" authorId="0">
      <text>
        <r>
          <rPr>
            <sz val="9"/>
            <color rgb="FF000000"/>
            <rFont val="Arial"/>
            <family val="2"/>
          </rPr>
          <t>noc-06302026xearningsrelea.htm | 2Q25 Add: after-tax discretionary pension contributions | 0</t>
        </r>
      </text>
    </comment>
    <comment ref="C142" authorId="0">
      <text>
        <r>
          <rPr>
            <sz val="9"/>
            <color rgb="FF000000"/>
            <rFont val="Arial"/>
            <family val="2"/>
          </rPr>
          <t>noc-20250930.htm | 3Q24 Corporate D&amp;A (incl. intangible amortisation, PP&amp;E step-up) | 45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noc-20250930.htm | 9M24 Corporate D&amp;A (incl. intangible amortisation, PP&amp;E step-up) | 127</t>
        </r>
      </text>
    </comment>
    <comment ref="F142" authorId="0">
      <text>
        <r>
          <rPr>
            <sz val="9"/>
            <color rgb="FF000000"/>
            <rFont val="Arial"/>
            <family val="2"/>
          </rPr>
          <t>R39.htm (FY2025 10-K) | FY24 Corporate D&amp;A (incl. intangible amortisation, PP&amp;E step-up) | 193</t>
        </r>
      </text>
    </comment>
    <comment ref="G142" authorId="0">
      <text>
        <r>
          <rPr>
            <sz val="9"/>
            <color rgb="FF000000"/>
            <rFont val="Arial"/>
            <family val="2"/>
          </rPr>
          <t>noc-20260331.htm | 1Q25 Corporate D&amp;A (incl. intangible amortisation, PP&amp;E step-up) | 59</t>
        </r>
      </text>
    </comment>
    <comment ref="H142" authorId="0">
      <text>
        <r>
          <rPr>
            <sz val="9"/>
            <color rgb="FF000000"/>
            <rFont val="Arial"/>
            <family val="2"/>
          </rPr>
          <t>noc-20260630.htm | 2Q25 Corporate D&amp;A (incl. intangible amortisation, PP&amp;E step-up) | 64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noc-20250930.htm | 3Q24 Corporate capital expenditures | 8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noc-20250930.htm | 9M24 Corporate capital expenditures | 22</t>
        </r>
      </text>
    </comment>
    <comment ref="F143" authorId="0">
      <text>
        <r>
          <rPr>
            <sz val="9"/>
            <color rgb="FF000000"/>
            <rFont val="Arial"/>
            <family val="2"/>
          </rPr>
          <t>R39.htm (FY2025 10-K) | FY24 Corporate capital expenditures | 66</t>
        </r>
      </text>
    </comment>
    <comment ref="G143" authorId="0">
      <text>
        <r>
          <rPr>
            <sz val="9"/>
            <color rgb="FF000000"/>
            <rFont val="Arial"/>
            <family val="2"/>
          </rPr>
          <t>noc-20260331.htm | 1Q25 Corporate capital expenditures | 16</t>
        </r>
      </text>
    </comment>
    <comment ref="H143" authorId="0">
      <text>
        <r>
          <rPr>
            <sz val="9"/>
            <color rgb="FF000000"/>
            <rFont val="Arial"/>
            <family val="2"/>
          </rPr>
          <t>noc-20260630.htm | 2Q25 Corporate capital expenditures | 33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noc-09302025xearningsrelea.htm | 3Q24 YTD days | 181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noc-09302025xearningsrelea.htm | 9M24 YTD days | 273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noc-12312025xearningsrelea.htm | 4Q24 YTD days | 365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noc-12312025xearningsrelea.htm | FY24 YTD days | 90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noc-03312026xearningsrelea.htm | 1Q25 YTD days | 181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noc-20250930.htm | 9M25 Intersegment sales | 121</t>
        </r>
      </text>
    </comment>
    <comment ref="D150" authorId="0">
      <text>
        <r>
          <rPr>
            <sz val="9"/>
            <color rgb="FF000000"/>
            <rFont val="Arial"/>
            <family val="2"/>
          </rPr>
          <t>noc-20250930.htm | 9M25 U.S. government | 7,346</t>
        </r>
      </text>
    </comment>
    <comment ref="D151" authorId="0">
      <text>
        <r>
          <rPr>
            <sz val="9"/>
            <color rgb="FF000000"/>
            <rFont val="Arial"/>
            <family val="2"/>
          </rPr>
          <t>noc-20250930.htm | 9M25 International | 1,586</t>
        </r>
      </text>
    </comment>
    <comment ref="D152" authorId="0">
      <text>
        <r>
          <rPr>
            <sz val="9"/>
            <color rgb="FF000000"/>
            <rFont val="Arial"/>
            <family val="2"/>
          </rPr>
          <t>noc-20250930.htm | 9M25 Other customers | 17</t>
        </r>
      </text>
    </comment>
    <comment ref="D153" authorId="0">
      <text>
        <r>
          <rPr>
            <sz val="9"/>
            <color rgb="FF000000"/>
            <rFont val="Arial"/>
            <family val="2"/>
          </rPr>
          <t>noc-20250930.htm | 9M25 Cost-type | 4,254</t>
        </r>
      </text>
    </comment>
    <comment ref="D154" authorId="0">
      <text>
        <r>
          <rPr>
            <sz val="9"/>
            <color rgb="FF000000"/>
            <rFont val="Arial"/>
            <family val="2"/>
          </rPr>
          <t>noc-20250930.htm | 9M25 Fixed-price | 4,695</t>
        </r>
      </text>
    </comment>
    <comment ref="D155" authorId="0">
      <text>
        <r>
          <rPr>
            <sz val="9"/>
            <color rgb="FF000000"/>
            <rFont val="Arial"/>
            <family val="2"/>
          </rPr>
          <t>noc-20250930.htm | 9M25 United States | 7,363</t>
        </r>
      </text>
    </comment>
    <comment ref="D156" authorId="0">
      <text>
        <r>
          <rPr>
            <sz val="9"/>
            <color rgb="FF000000"/>
            <rFont val="Arial"/>
            <family val="2"/>
          </rPr>
          <t>noc-20250930.htm | 9M25 Asia/Pacific | 647</t>
        </r>
      </text>
    </comment>
    <comment ref="D157" authorId="0">
      <text>
        <r>
          <rPr>
            <sz val="9"/>
            <color rgb="FF000000"/>
            <rFont val="Arial"/>
            <family val="2"/>
          </rPr>
          <t>noc-20250930.htm | 9M25 Europe | 891</t>
        </r>
      </text>
    </comment>
    <comment ref="D158" authorId="0">
      <text>
        <r>
          <rPr>
            <sz val="9"/>
            <color rgb="FF000000"/>
            <rFont val="Arial"/>
            <family val="2"/>
          </rPr>
          <t>noc-20250930.htm | 9M25 Other regions (principally Middle East) | 48</t>
        </r>
      </text>
    </comment>
    <comment ref="D159" authorId="0">
      <text>
        <r>
          <rPr>
            <sz val="9"/>
            <color rgb="FF000000"/>
            <rFont val="Arial"/>
            <family val="2"/>
          </rPr>
          <t>noc-20250930.htm | 9M25 Net EAC adjustments (in operating income) | (225)</t>
        </r>
      </text>
    </comment>
    <comment ref="D160" authorId="0">
      <text>
        <r>
          <rPr>
            <sz val="9"/>
            <color rgb="FF000000"/>
            <rFont val="Arial"/>
            <family val="2"/>
          </rPr>
          <t>noc-20250930.htm | 9M25 Depreciation and amortisation | 273</t>
        </r>
      </text>
    </comment>
    <comment ref="D161" authorId="0">
      <text>
        <r>
          <rPr>
            <sz val="9"/>
            <color rgb="FF000000"/>
            <rFont val="Arial"/>
            <family val="2"/>
          </rPr>
          <t>noc-20250930.htm | 9M25 Capital expenditures | 250</t>
        </r>
      </text>
    </comment>
    <comment ref="D162" authorId="0">
      <text>
        <r>
          <rPr>
            <sz val="9"/>
            <color rgb="FF000000"/>
            <rFont val="Arial"/>
            <family val="2"/>
          </rPr>
          <t>noc-20250930.htm | 9M25 Intersegment sales | 149</t>
        </r>
      </text>
    </comment>
    <comment ref="D163" authorId="0">
      <text>
        <r>
          <rPr>
            <sz val="9"/>
            <color rgb="FF000000"/>
            <rFont val="Arial"/>
            <family val="2"/>
          </rPr>
          <t>noc-20250930.htm | 9M25 U.S. government | 4,632</t>
        </r>
      </text>
    </comment>
    <comment ref="D164" authorId="0">
      <text>
        <r>
          <rPr>
            <sz val="9"/>
            <color rgb="FF000000"/>
            <rFont val="Arial"/>
            <family val="2"/>
          </rPr>
          <t>noc-20250930.htm | 9M25 International | 1,013</t>
        </r>
      </text>
    </comment>
    <comment ref="D165" authorId="0">
      <text>
        <r>
          <rPr>
            <sz val="9"/>
            <color rgb="FF000000"/>
            <rFont val="Arial"/>
            <family val="2"/>
          </rPr>
          <t>noc-20250930.htm | 9M25 Other customers | 61</t>
        </r>
      </text>
    </comment>
    <comment ref="D166" authorId="0">
      <text>
        <r>
          <rPr>
            <sz val="9"/>
            <color rgb="FF000000"/>
            <rFont val="Arial"/>
            <family val="2"/>
          </rPr>
          <t>noc-20250930.htm | 9M25 Cost-type | 3,077</t>
        </r>
      </text>
    </comment>
    <comment ref="D167" authorId="0">
      <text>
        <r>
          <rPr>
            <sz val="9"/>
            <color rgb="FF000000"/>
            <rFont val="Arial"/>
            <family val="2"/>
          </rPr>
          <t>noc-20250930.htm | 9M25 Fixed-price | 2,629</t>
        </r>
      </text>
    </comment>
    <comment ref="D168" authorId="0">
      <text>
        <r>
          <rPr>
            <sz val="9"/>
            <color rgb="FF000000"/>
            <rFont val="Arial"/>
            <family val="2"/>
          </rPr>
          <t>noc-20250930.htm | 9M25 United States | 4,693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noc-20250930.htm | 9M25 Asia/Pacific | 271</t>
        </r>
      </text>
    </comment>
    <comment ref="D170" authorId="0">
      <text>
        <r>
          <rPr>
            <sz val="9"/>
            <color rgb="FF000000"/>
            <rFont val="Arial"/>
            <family val="2"/>
          </rPr>
          <t>noc-20250930.htm | 9M25 Europe | 589</t>
        </r>
      </text>
    </comment>
    <comment ref="D171" authorId="0">
      <text>
        <r>
          <rPr>
            <sz val="9"/>
            <color rgb="FF000000"/>
            <rFont val="Arial"/>
            <family val="2"/>
          </rPr>
          <t>noc-20250930.htm | 9M25 Other regions (principally Middle East) | 153</t>
        </r>
      </text>
    </comment>
    <comment ref="D172" authorId="0">
      <text>
        <r>
          <rPr>
            <sz val="9"/>
            <color rgb="FF000000"/>
            <rFont val="Arial"/>
            <family val="2"/>
          </rPr>
          <t>noc-20250930.htm | 9M25 Net EAC adjustments (in operating income) | 141</t>
        </r>
      </text>
    </comment>
    <comment ref="D173" authorId="0">
      <text>
        <r>
          <rPr>
            <sz val="9"/>
            <color rgb="FF000000"/>
            <rFont val="Arial"/>
            <family val="2"/>
          </rPr>
          <t>noc-20250930.htm | 9M25 Depreciation and amortisation | 132</t>
        </r>
      </text>
    </comment>
    <comment ref="D174" authorId="0">
      <text>
        <r>
          <rPr>
            <sz val="9"/>
            <color rgb="FF000000"/>
            <rFont val="Arial"/>
            <family val="2"/>
          </rPr>
          <t>noc-20250930.htm | 9M25 Capital expenditures | 44</t>
        </r>
      </text>
    </comment>
    <comment ref="D175" authorId="0">
      <text>
        <r>
          <rPr>
            <sz val="9"/>
            <color rgb="FF000000"/>
            <rFont val="Arial"/>
            <family val="2"/>
          </rPr>
          <t>noc-20250930.htm | 9M25 Intersegment sales | 1,015</t>
        </r>
      </text>
    </comment>
    <comment ref="D176" authorId="0">
      <text>
        <r>
          <rPr>
            <sz val="9"/>
            <color rgb="FF000000"/>
            <rFont val="Arial"/>
            <family val="2"/>
          </rPr>
          <t>noc-20250930.htm | 9M25 U.S. government | 6,421</t>
        </r>
      </text>
    </comment>
    <comment ref="D177" authorId="0">
      <text>
        <r>
          <rPr>
            <sz val="9"/>
            <color rgb="FF000000"/>
            <rFont val="Arial"/>
            <family val="2"/>
          </rPr>
          <t>noc-20250930.htm | 9M25 International | 1,537</t>
        </r>
      </text>
    </comment>
    <comment ref="D178" authorId="0">
      <text>
        <r>
          <rPr>
            <sz val="9"/>
            <color rgb="FF000000"/>
            <rFont val="Arial"/>
            <family val="2"/>
          </rPr>
          <t>noc-20250930.htm | 9M25 Other customers | 84</t>
        </r>
      </text>
    </comment>
    <comment ref="D179" authorId="0">
      <text>
        <r>
          <rPr>
            <sz val="9"/>
            <color rgb="FF000000"/>
            <rFont val="Arial"/>
            <family val="2"/>
          </rPr>
          <t>noc-20250930.htm | 9M25 Cost-type | 3,788</t>
        </r>
      </text>
    </comment>
    <comment ref="D180" authorId="0">
      <text>
        <r>
          <rPr>
            <sz val="9"/>
            <color rgb="FF000000"/>
            <rFont val="Arial"/>
            <family val="2"/>
          </rPr>
          <t>noc-20250930.htm | 9M25 Fixed-price | 4,254</t>
        </r>
      </text>
    </comment>
    <comment ref="D181" authorId="0">
      <text>
        <r>
          <rPr>
            <sz val="9"/>
            <color rgb="FF000000"/>
            <rFont val="Arial"/>
            <family val="2"/>
          </rPr>
          <t>noc-20250930.htm | 9M25 United States | 6,505</t>
        </r>
      </text>
    </comment>
    <comment ref="D182" authorId="0">
      <text>
        <r>
          <rPr>
            <sz val="9"/>
            <color rgb="FF000000"/>
            <rFont val="Arial"/>
            <family val="2"/>
          </rPr>
          <t>noc-20250930.htm | 9M25 Asia/Pacific | 407</t>
        </r>
      </text>
    </comment>
    <comment ref="D183" authorId="0">
      <text>
        <r>
          <rPr>
            <sz val="9"/>
            <color rgb="FF000000"/>
            <rFont val="Arial"/>
            <family val="2"/>
          </rPr>
          <t>noc-20250930.htm | 9M25 Europe | 820</t>
        </r>
      </text>
    </comment>
    <comment ref="D184" authorId="0">
      <text>
        <r>
          <rPr>
            <sz val="9"/>
            <color rgb="FF000000"/>
            <rFont val="Arial"/>
            <family val="2"/>
          </rPr>
          <t>noc-20250930.htm | 9M25 Other regions (principally Middle East) | 310</t>
        </r>
      </text>
    </comment>
    <comment ref="D185" authorId="0">
      <text>
        <r>
          <rPr>
            <sz val="9"/>
            <color rgb="FF000000"/>
            <rFont val="Arial"/>
            <family val="2"/>
          </rPr>
          <t>noc-20250930.htm | 9M25 Net EAC adjustments (in operating income) | 163</t>
        </r>
      </text>
    </comment>
    <comment ref="D186" authorId="0">
      <text>
        <r>
          <rPr>
            <sz val="9"/>
            <color rgb="FF000000"/>
            <rFont val="Arial"/>
            <family val="2"/>
          </rPr>
          <t>noc-20250930.htm | 9M25 Depreciation and amortisation | 206</t>
        </r>
      </text>
    </comment>
    <comment ref="D187" authorId="0">
      <text>
        <r>
          <rPr>
            <sz val="9"/>
            <color rgb="FF000000"/>
            <rFont val="Arial"/>
            <family val="2"/>
          </rPr>
          <t>noc-20250930.htm | 9M25 Capital expenditures | 152</t>
        </r>
      </text>
    </comment>
    <comment ref="D188" authorId="0">
      <text>
        <r>
          <rPr>
            <sz val="9"/>
            <color rgb="FF000000"/>
            <rFont val="Arial"/>
            <family val="2"/>
          </rPr>
          <t>noc-20250930.htm | 9M25 Intersegment sales | 367</t>
        </r>
      </text>
    </comment>
    <comment ref="D189" authorId="0">
      <text>
        <r>
          <rPr>
            <sz val="9"/>
            <color rgb="FF000000"/>
            <rFont val="Arial"/>
            <family val="2"/>
          </rPr>
          <t>noc-20250930.htm | 9M25 U.S. government | 7,024</t>
        </r>
      </text>
    </comment>
    <comment ref="D190" authorId="0">
      <text>
        <r>
          <rPr>
            <sz val="9"/>
            <color rgb="FF000000"/>
            <rFont val="Arial"/>
            <family val="2"/>
          </rPr>
          <t>noc-20250930.htm | 9M25 International | 154</t>
        </r>
      </text>
    </comment>
    <comment ref="D191" authorId="0">
      <text>
        <r>
          <rPr>
            <sz val="9"/>
            <color rgb="FF000000"/>
            <rFont val="Arial"/>
            <family val="2"/>
          </rPr>
          <t>noc-20250930.htm | 9M25 Other customers | 367</t>
        </r>
      </text>
    </comment>
    <comment ref="D192" authorId="0">
      <text>
        <r>
          <rPr>
            <sz val="9"/>
            <color rgb="FF000000"/>
            <rFont val="Arial"/>
            <family val="2"/>
          </rPr>
          <t>noc-20250930.htm | 9M25 Cost-type | 4,453</t>
        </r>
      </text>
    </comment>
    <comment ref="D193" authorId="0">
      <text>
        <r>
          <rPr>
            <sz val="9"/>
            <color rgb="FF000000"/>
            <rFont val="Arial"/>
            <family val="2"/>
          </rPr>
          <t>noc-20250930.htm | 9M25 Fixed-price | 3,092</t>
        </r>
      </text>
    </comment>
    <comment ref="D194" authorId="0">
      <text>
        <r>
          <rPr>
            <sz val="9"/>
            <color rgb="FF000000"/>
            <rFont val="Arial"/>
            <family val="2"/>
          </rPr>
          <t>noc-20250930.htm | 9M25 United States | 7,391</t>
        </r>
      </text>
    </comment>
    <comment ref="D195" authorId="0">
      <text>
        <r>
          <rPr>
            <sz val="9"/>
            <color rgb="FF000000"/>
            <rFont val="Arial"/>
            <family val="2"/>
          </rPr>
          <t>noc-20250930.htm | 9M25 Asia/Pacific | 48</t>
        </r>
      </text>
    </comment>
    <comment ref="D196" authorId="0">
      <text>
        <r>
          <rPr>
            <sz val="9"/>
            <color rgb="FF000000"/>
            <rFont val="Arial"/>
            <family val="2"/>
          </rPr>
          <t>noc-20250930.htm | 9M25 Europe | 74</t>
        </r>
      </text>
    </comment>
    <comment ref="D197" authorId="0">
      <text>
        <r>
          <rPr>
            <sz val="9"/>
            <color rgb="FF000000"/>
            <rFont val="Arial"/>
            <family val="2"/>
          </rPr>
          <t>noc-20250930.htm | 9M25 Other regions (principally Middle East) | 32</t>
        </r>
      </text>
    </comment>
    <comment ref="D198" authorId="0">
      <text>
        <r>
          <rPr>
            <sz val="9"/>
            <color rgb="FF000000"/>
            <rFont val="Arial"/>
            <family val="2"/>
          </rPr>
          <t>noc-20250930.htm | 9M25 Net EAC adjustments (in operating income) | 37</t>
        </r>
      </text>
    </comment>
    <comment ref="D199" authorId="0">
      <text>
        <r>
          <rPr>
            <sz val="9"/>
            <color rgb="FF000000"/>
            <rFont val="Arial"/>
            <family val="2"/>
          </rPr>
          <t>noc-20250930.htm | 9M25 Depreciation and amortisation | 261</t>
        </r>
      </text>
    </comment>
    <comment ref="D200" authorId="0">
      <text>
        <r>
          <rPr>
            <sz val="9"/>
            <color rgb="FF000000"/>
            <rFont val="Arial"/>
            <family val="2"/>
          </rPr>
          <t>noc-20250930.htm | 9M25 Capital expenditures | 251</t>
        </r>
      </text>
    </comment>
    <comment ref="D201" authorId="0">
      <text>
        <r>
          <rPr>
            <sz val="9"/>
            <color rgb="FF000000"/>
            <rFont val="Arial"/>
            <family val="2"/>
          </rPr>
          <t>noc-09302025xearningsrelea.htm | 9M25 Product sales | 24,148</t>
        </r>
      </text>
    </comment>
    <comment ref="D202" authorId="0">
      <text>
        <r>
          <rPr>
            <sz val="9"/>
            <color rgb="FF000000"/>
            <rFont val="Arial"/>
            <family val="2"/>
          </rPr>
          <t>noc-09302025xearningsrelea.htm | 9M25 Service sales | 6,094</t>
        </r>
      </text>
    </comment>
    <comment ref="D203" authorId="0">
      <text>
        <r>
          <rPr>
            <sz val="9"/>
            <color rgb="FF000000"/>
            <rFont val="Arial"/>
            <family val="2"/>
          </rPr>
          <t>noc-09302025xearningsrelea.htm | 9M25 Product costs | 19,523</t>
        </r>
      </text>
    </comment>
    <comment ref="D204" authorId="0">
      <text>
        <r>
          <rPr>
            <sz val="9"/>
            <color rgb="FF000000"/>
            <rFont val="Arial"/>
            <family val="2"/>
          </rPr>
          <t>noc-09302025xearningsrelea.htm | 9M25 Service costs | 4,702</t>
        </r>
      </text>
    </comment>
    <comment ref="D205" authorId="0">
      <text>
        <r>
          <rPr>
            <sz val="9"/>
            <color rgb="FF000000"/>
            <rFont val="Arial"/>
            <family val="2"/>
          </rPr>
          <t>noc-09302025xearningsrelea.htm | 9M25 General and administrative expenses | 3,008</t>
        </r>
      </text>
    </comment>
    <comment ref="D206" authorId="0">
      <text>
        <r>
          <rPr>
            <sz val="9"/>
            <color rgb="FF000000"/>
            <rFont val="Arial"/>
            <family val="2"/>
          </rPr>
          <t>noc-20250930.htm | 9M25 Corporate D&amp;A (incl. intangible amortisation, PP&amp;E step-up) | 194</t>
        </r>
      </text>
    </comment>
    <comment ref="D207" authorId="0">
      <text>
        <r>
          <rPr>
            <sz val="9"/>
            <color rgb="FF000000"/>
            <rFont val="Arial"/>
            <family val="2"/>
          </rPr>
          <t>noc-20250930.htm | 9M25 Corporate capital expenditures | 91</t>
        </r>
      </text>
    </comment>
    <comment ref="C208" authorId="0">
      <text>
        <r>
          <rPr>
            <sz val="9"/>
            <color rgb="FF000000"/>
            <rFont val="Arial"/>
            <family val="2"/>
          </rPr>
          <t>noc-06302026xearningsrelea.htm | 6M25 cash flow statement: Net earnings | 1,655</t>
        </r>
      </text>
    </comment>
    <comment ref="D208" authorId="0">
      <text>
        <r>
          <rPr>
            <sz val="9"/>
            <color rgb="FF000000"/>
            <rFont val="Arial"/>
            <family val="2"/>
          </rPr>
          <t>noc-09302025xearningsrelea.htm | 9M25 cash flow statement: Net earnings | 2,755</t>
        </r>
      </text>
    </comment>
    <comment ref="E208" authorId="0">
      <text>
        <r>
          <rPr>
            <sz val="9"/>
            <color rgb="FF000000"/>
            <rFont val="Arial"/>
            <family val="2"/>
          </rPr>
          <t>noc-12312025xearningsrelea.htm | FY25 cash flow statement: Net earnings | 4,182</t>
        </r>
      </text>
    </comment>
    <comment ref="F208" authorId="0">
      <text>
        <r>
          <rPr>
            <sz val="9"/>
            <color rgb="FF000000"/>
            <rFont val="Arial"/>
            <family val="2"/>
          </rPr>
          <t>noc-03312026xearningsrelea.htm | 3M26 cash flow statement: Net earnings | 875</t>
        </r>
      </text>
    </comment>
    <comment ref="G208" authorId="0">
      <text>
        <r>
          <rPr>
            <sz val="9"/>
            <color rgb="FF000000"/>
            <rFont val="Arial"/>
            <family val="2"/>
          </rPr>
          <t>noc-06302026xearningsrelea.htm | 6M26 cash flow statement: Net earnings | 1,969</t>
        </r>
      </text>
    </comment>
    <comment ref="C209" authorId="0">
      <text>
        <r>
          <rPr>
            <sz val="9"/>
            <color rgb="FF000000"/>
            <rFont val="Arial"/>
            <family val="2"/>
          </rPr>
          <t>noc-06302026xearningsrelea.htm | 6M25 cash flow statement: Depreciation and amortisation | 687</t>
        </r>
      </text>
    </comment>
    <comment ref="D209" authorId="0">
      <text>
        <r>
          <rPr>
            <sz val="9"/>
            <color rgb="FF000000"/>
            <rFont val="Arial"/>
            <family val="2"/>
          </rPr>
          <t>noc-09302025xearningsrelea.htm | 9M25 cash flow statement: Depreciation and amortisation | 1,066</t>
        </r>
      </text>
    </comment>
    <comment ref="E209" authorId="0">
      <text>
        <r>
          <rPr>
            <sz val="9"/>
            <color rgb="FF000000"/>
            <rFont val="Arial"/>
            <family val="2"/>
          </rPr>
          <t>noc-12312025xearningsrelea.htm | FY25 cash flow statement: Depreciation and amortisation | 1,472</t>
        </r>
      </text>
    </comment>
    <comment ref="F209" authorId="0">
      <text>
        <r>
          <rPr>
            <sz val="9"/>
            <color rgb="FF000000"/>
            <rFont val="Arial"/>
            <family val="2"/>
          </rPr>
          <t>noc-03312026xearningsrelea.htm | 3M26 cash flow statement: Depreciation and amortisation | 372</t>
        </r>
      </text>
    </comment>
    <comment ref="G209" authorId="0">
      <text>
        <r>
          <rPr>
            <sz val="9"/>
            <color rgb="FF000000"/>
            <rFont val="Arial"/>
            <family val="2"/>
          </rPr>
          <t>noc-06302026xearningsrelea.htm | 6M26 cash flow statement: Depreciation and amortisation | 739</t>
        </r>
      </text>
    </comment>
    <comment ref="C210" authorId="0">
      <text>
        <r>
          <rPr>
            <sz val="9"/>
            <color rgb="FF000000"/>
            <rFont val="Arial"/>
            <family val="2"/>
          </rPr>
          <t>noc-06302026xearningsrelea.htm | 6M25 cash flow statement: Stock-based compensation | 40</t>
        </r>
      </text>
    </comment>
    <comment ref="D210" authorId="0">
      <text>
        <r>
          <rPr>
            <sz val="9"/>
            <color rgb="FF000000"/>
            <rFont val="Arial"/>
            <family val="2"/>
          </rPr>
          <t>noc-09302025xearningsrelea.htm | 9M25 cash flow statement: Stock-based compensation | 65</t>
        </r>
      </text>
    </comment>
    <comment ref="E210" authorId="0">
      <text>
        <r>
          <rPr>
            <sz val="9"/>
            <color rgb="FF000000"/>
            <rFont val="Arial"/>
            <family val="2"/>
          </rPr>
          <t>noc-12312025xearningsrelea.htm | FY25 cash flow statement: Stock-based compensation | 119</t>
        </r>
      </text>
    </comment>
    <comment ref="F210" authorId="0">
      <text>
        <r>
          <rPr>
            <sz val="9"/>
            <color rgb="FF000000"/>
            <rFont val="Arial"/>
            <family val="2"/>
          </rPr>
          <t>noc-03312026xearningsrelea.htm | 3M26 cash flow statement: Stock-based compensation | 20</t>
        </r>
      </text>
    </comment>
    <comment ref="G210" authorId="0">
      <text>
        <r>
          <rPr>
            <sz val="9"/>
            <color rgb="FF000000"/>
            <rFont val="Arial"/>
            <family val="2"/>
          </rPr>
          <t>noc-06302026xearningsrelea.htm | 6M26 cash flow statement: Stock-based compensation | 49</t>
        </r>
      </text>
    </comment>
    <comment ref="C211" authorId="0">
      <text>
        <r>
          <rPr>
            <sz val="9"/>
            <color rgb="FF000000"/>
            <rFont val="Arial"/>
            <family val="2"/>
          </rPr>
          <t>noc-06302026xearningsrelea.htm | 6M25 cash flow statement: Deferred income taxes | (114)</t>
        </r>
      </text>
    </comment>
    <comment ref="D211" authorId="0">
      <text>
        <r>
          <rPr>
            <sz val="9"/>
            <color rgb="FF000000"/>
            <rFont val="Arial"/>
            <family val="2"/>
          </rPr>
          <t>noc-09302025xearningsrelea.htm | 9M25 cash flow statement: Deferred income taxes | 344</t>
        </r>
      </text>
    </comment>
    <comment ref="E211" authorId="0">
      <text>
        <r>
          <rPr>
            <sz val="9"/>
            <color rgb="FF000000"/>
            <rFont val="Arial"/>
            <family val="2"/>
          </rPr>
          <t>noc-12312025xearningsrelea.htm | FY25 cash flow statement: Deferred income taxes | 548</t>
        </r>
      </text>
    </comment>
    <comment ref="F211" authorId="0">
      <text>
        <r>
          <rPr>
            <sz val="9"/>
            <color rgb="FF000000"/>
            <rFont val="Arial"/>
            <family val="2"/>
          </rPr>
          <t>noc-03312026xearningsrelea.htm | 3M26 cash flow statement: Deferred income taxes | 308</t>
        </r>
      </text>
    </comment>
    <comment ref="G211" authorId="0">
      <text>
        <r>
          <rPr>
            <sz val="9"/>
            <color rgb="FF000000"/>
            <rFont val="Arial"/>
            <family val="2"/>
          </rPr>
          <t>noc-06302026xearningsrelea.htm | 6M26 cash flow statement: Deferred income taxes | 453</t>
        </r>
      </text>
    </comment>
    <comment ref="C212" authorId="0">
      <text>
        <r>
          <rPr>
            <sz val="9"/>
            <color rgb="FF000000"/>
            <rFont val="Arial"/>
            <family val="2"/>
          </rPr>
          <t>noc-06302026xearningsrelea.htm | 6M25 cash flow statement: B-21 loss provision | 477</t>
        </r>
      </text>
    </comment>
    <comment ref="D212" authorId="0">
      <text>
        <r>
          <rPr>
            <sz val="9"/>
            <color rgb="FF000000"/>
            <rFont val="Arial"/>
            <family val="2"/>
          </rPr>
          <t>noc-09302025xearningsrelea.htm | 9M25 cash flow statement: B-21 loss provision | 477</t>
        </r>
      </text>
    </comment>
    <comment ref="E212" authorId="0">
      <text>
        <r>
          <rPr>
            <sz val="9"/>
            <color rgb="FF000000"/>
            <rFont val="Arial"/>
            <family val="2"/>
          </rPr>
          <t>noc-12312025xearningsrelea.htm | FY25 cash flow statement: B-21 loss provision | 477</t>
        </r>
      </text>
    </comment>
    <comment ref="F212" authorId="0">
      <text>
        <r>
          <rPr>
            <sz val="9"/>
            <color rgb="FF000000"/>
            <rFont val="Arial"/>
            <family val="2"/>
          </rPr>
          <t>noc-03312026xearningsrelea.htm | 3M26 cash flow statement: B-21 loss provision | 0</t>
        </r>
      </text>
    </comment>
    <comment ref="G212" authorId="0">
      <text>
        <r>
          <rPr>
            <sz val="9"/>
            <color rgb="FF000000"/>
            <rFont val="Arial"/>
            <family val="2"/>
          </rPr>
          <t>noc-06302026xearningsrelea.htm | 6M26 cash flow statement: B-21 loss provision | 0</t>
        </r>
      </text>
    </comment>
    <comment ref="C213" authorId="0">
      <text>
        <r>
          <rPr>
            <sz val="9"/>
            <color rgb="FF000000"/>
            <rFont val="Arial"/>
            <family val="2"/>
          </rPr>
          <t>noc-06302026xearningsrelea.htm | 6M25 cash flow statement: Gain on sale of business | (231)</t>
        </r>
      </text>
    </comment>
    <comment ref="D213" authorId="0">
      <text>
        <r>
          <rPr>
            <sz val="9"/>
            <color rgb="FF000000"/>
            <rFont val="Arial"/>
            <family val="2"/>
          </rPr>
          <t>noc-09302025xearningsrelea.htm | 9M25 cash flow statement: Gain on sale of business | (231)</t>
        </r>
      </text>
    </comment>
    <comment ref="E213" authorId="0">
      <text>
        <r>
          <rPr>
            <sz val="9"/>
            <color rgb="FF000000"/>
            <rFont val="Arial"/>
            <family val="2"/>
          </rPr>
          <t>noc-12312025xearningsrelea.htm | FY25 cash flow statement: Gain on sale of business | (231)</t>
        </r>
      </text>
    </comment>
    <comment ref="F213" authorId="0">
      <text>
        <r>
          <rPr>
            <sz val="9"/>
            <color rgb="FF000000"/>
            <rFont val="Arial"/>
            <family val="2"/>
          </rPr>
          <t>noc-03312026xearningsrelea.htm | 3M26 cash flow statement: Gain on sale of business | 0</t>
        </r>
      </text>
    </comment>
    <comment ref="G213" authorId="0">
      <text>
        <r>
          <rPr>
            <sz val="9"/>
            <color rgb="FF000000"/>
            <rFont val="Arial"/>
            <family val="2"/>
          </rPr>
          <t>noc-06302026xearningsrelea.htm | 6M26 cash flow statement: Gain on sale of business | 0</t>
        </r>
      </text>
    </comment>
    <comment ref="C214" authorId="0">
      <text>
        <r>
          <rPr>
            <sz val="9"/>
            <color rgb="FF000000"/>
            <rFont val="Arial"/>
            <family val="2"/>
          </rPr>
          <t>noc-06302026xearningsrelea.htm | 6M25 cash flow statement: Mark-to-market pension and OPB benefit | 0</t>
        </r>
      </text>
    </comment>
    <comment ref="D214" authorId="0">
      <text>
        <r>
          <rPr>
            <sz val="9"/>
            <color rgb="FF000000"/>
            <rFont val="Arial"/>
            <family val="2"/>
          </rPr>
          <t>noc-09302025xearningsrelea.htm | 9M25 cash flow statement: Mark-to-market pension and OPB benefit | 0</t>
        </r>
      </text>
    </comment>
    <comment ref="E214" authorId="0">
      <text>
        <r>
          <rPr>
            <sz val="9"/>
            <color rgb="FF000000"/>
            <rFont val="Arial"/>
            <family val="2"/>
          </rPr>
          <t>noc-12312025xearningsrelea.htm | FY25 cash flow statement: Mark-to-market pension and OPB benefit | (527)</t>
        </r>
      </text>
    </comment>
    <comment ref="F214" authorId="0">
      <text>
        <r>
          <rPr>
            <sz val="9"/>
            <color rgb="FF000000"/>
            <rFont val="Arial"/>
            <family val="2"/>
          </rPr>
          <t>noc-03312026xearningsrelea.htm | 3M26 cash flow statement: Mark-to-market pension and OPB benefit | 0</t>
        </r>
      </text>
    </comment>
    <comment ref="G214" authorId="0">
      <text>
        <r>
          <rPr>
            <sz val="9"/>
            <color rgb="FF000000"/>
            <rFont val="Arial"/>
            <family val="2"/>
          </rPr>
          <t>noc-06302026xearningsrelea.htm | 6M26 cash flow statement: Mark-to-market pension and OPB benefit | 0</t>
        </r>
      </text>
    </comment>
    <comment ref="C215" authorId="0">
      <text>
        <r>
          <rPr>
            <sz val="9"/>
            <color rgb="FF000000"/>
            <rFont val="Arial"/>
            <family val="2"/>
          </rPr>
          <t>noc-06302026xearningsrelea.htm | 6M25 cash flow statement: Net periodic pension and OPB income | (169)</t>
        </r>
      </text>
    </comment>
    <comment ref="D215" authorId="0">
      <text>
        <r>
          <rPr>
            <sz val="9"/>
            <color rgb="FF000000"/>
            <rFont val="Arial"/>
            <family val="2"/>
          </rPr>
          <t>noc-09302025xearningsrelea.htm | 9M25 cash flow statement: Net periodic pension and OPB income | (256)</t>
        </r>
      </text>
    </comment>
    <comment ref="E215" authorId="0">
      <text>
        <r>
          <rPr>
            <sz val="9"/>
            <color rgb="FF000000"/>
            <rFont val="Arial"/>
            <family val="2"/>
          </rPr>
          <t>noc-12312025xearningsrelea.htm | FY25 cash flow statement: Net periodic pension and OPB income | (346)</t>
        </r>
      </text>
    </comment>
    <comment ref="F215" authorId="0">
      <text>
        <r>
          <rPr>
            <sz val="9"/>
            <color rgb="FF000000"/>
            <rFont val="Arial"/>
            <family val="2"/>
          </rPr>
          <t>noc-03312026xearningsrelea.htm | 3M26 cash flow statement: Net periodic pension and OPB income | (120)</t>
        </r>
      </text>
    </comment>
    <comment ref="G215" authorId="0">
      <text>
        <r>
          <rPr>
            <sz val="9"/>
            <color rgb="FF000000"/>
            <rFont val="Arial"/>
            <family val="2"/>
          </rPr>
          <t>noc-06302026xearningsrelea.htm | 6M26 cash flow statement: Net periodic pension and OPB income | (240)</t>
        </r>
      </text>
    </comment>
    <comment ref="C216" authorId="0">
      <text>
        <r>
          <rPr>
            <sz val="9"/>
            <color rgb="FF000000"/>
            <rFont val="Arial"/>
            <family val="2"/>
          </rPr>
          <t>noc-06302026xearningsrelea.htm | 6M25 cash flow statement: Pension and OPB contributions | (62)</t>
        </r>
      </text>
    </comment>
    <comment ref="D216" authorId="0">
      <text>
        <r>
          <rPr>
            <sz val="9"/>
            <color rgb="FF000000"/>
            <rFont val="Arial"/>
            <family val="2"/>
          </rPr>
          <t>noc-09302025xearningsrelea.htm | 9M25 cash flow statement: Pension and OPB contributions | (94)</t>
        </r>
      </text>
    </comment>
    <comment ref="E216" authorId="0">
      <text>
        <r>
          <rPr>
            <sz val="9"/>
            <color rgb="FF000000"/>
            <rFont val="Arial"/>
            <family val="2"/>
          </rPr>
          <t>noc-12312025xearningsrelea.htm | FY25 cash flow statement: Pension and OPB contributions | (130)</t>
        </r>
      </text>
    </comment>
    <comment ref="F216" authorId="0">
      <text>
        <r>
          <rPr>
            <sz val="9"/>
            <color rgb="FF000000"/>
            <rFont val="Arial"/>
            <family val="2"/>
          </rPr>
          <t>noc-03312026xearningsrelea.htm | 3M26 cash flow statement: Pension and OPB contributions | (33)</t>
        </r>
      </text>
    </comment>
    <comment ref="G216" authorId="0">
      <text>
        <r>
          <rPr>
            <sz val="9"/>
            <color rgb="FF000000"/>
            <rFont val="Arial"/>
            <family val="2"/>
          </rPr>
          <t>noc-06302026xearningsrelea.htm | 6M26 cash flow statement: Pension and OPB contributions | (63)</t>
        </r>
      </text>
    </comment>
    <comment ref="C217" authorId="0">
      <text>
        <r>
          <rPr>
            <sz val="9"/>
            <color rgb="FF000000"/>
            <rFont val="Arial"/>
            <family val="2"/>
          </rPr>
          <t>noc-06302026xearningsrelea.htm | 6M25 cash flow statement: Accounts receivable, net | (929)</t>
        </r>
      </text>
    </comment>
    <comment ref="D217" authorId="0">
      <text>
        <r>
          <rPr>
            <sz val="9"/>
            <color rgb="FF000000"/>
            <rFont val="Arial"/>
            <family val="2"/>
          </rPr>
          <t>noc-09302025xearningsrelea.htm | 9M25 cash flow statement: Accounts receivable, net | (716)</t>
        </r>
      </text>
    </comment>
    <comment ref="E217" authorId="0">
      <text>
        <r>
          <rPr>
            <sz val="9"/>
            <color rgb="FF000000"/>
            <rFont val="Arial"/>
            <family val="2"/>
          </rPr>
          <t>noc-12312025xearningsrelea.htm | FY25 cash flow statement: Accounts receivable, net | (108)</t>
        </r>
      </text>
    </comment>
    <comment ref="F217" authorId="0">
      <text>
        <r>
          <rPr>
            <sz val="9"/>
            <color rgb="FF000000"/>
            <rFont val="Arial"/>
            <family val="2"/>
          </rPr>
          <t>noc-03312026xearningsrelea.htm | 3M26 cash flow statement: Accounts receivable, net | (431)</t>
        </r>
      </text>
    </comment>
    <comment ref="G217" authorId="0">
      <text>
        <r>
          <rPr>
            <sz val="9"/>
            <color rgb="FF000000"/>
            <rFont val="Arial"/>
            <family val="2"/>
          </rPr>
          <t>noc-06302026xearningsrelea.htm | 6M26 cash flow statement: Accounts receivable, net | (936)</t>
        </r>
      </text>
    </comment>
    <comment ref="C218" authorId="0">
      <text>
        <r>
          <rPr>
            <sz val="9"/>
            <color rgb="FF000000"/>
            <rFont val="Arial"/>
            <family val="2"/>
          </rPr>
          <t>noc-06302026xearningsrelea.htm | 6M25 cash flow statement: Unbilled receivables, net | (1,343)</t>
        </r>
      </text>
    </comment>
    <comment ref="D218" authorId="0">
      <text>
        <r>
          <rPr>
            <sz val="9"/>
            <color rgb="FF000000"/>
            <rFont val="Arial"/>
            <family val="2"/>
          </rPr>
          <t>noc-09302025xearningsrelea.htm | 9M25 cash flow statement: Unbilled receivables, net | (1,240)</t>
        </r>
      </text>
    </comment>
    <comment ref="E218" authorId="0">
      <text>
        <r>
          <rPr>
            <sz val="9"/>
            <color rgb="FF000000"/>
            <rFont val="Arial"/>
            <family val="2"/>
          </rPr>
          <t>noc-12312025xearningsrelea.htm | FY25 cash flow statement: Unbilled receivables, net | (754)</t>
        </r>
      </text>
    </comment>
    <comment ref="F218" authorId="0">
      <text>
        <r>
          <rPr>
            <sz val="9"/>
            <color rgb="FF000000"/>
            <rFont val="Arial"/>
            <family val="2"/>
          </rPr>
          <t>noc-03312026xearningsrelea.htm | 3M26 cash flow statement: Unbilled receivables, net | (551)</t>
        </r>
      </text>
    </comment>
    <comment ref="G218" authorId="0">
      <text>
        <r>
          <rPr>
            <sz val="9"/>
            <color rgb="FF000000"/>
            <rFont val="Arial"/>
            <family val="2"/>
          </rPr>
          <t>noc-06302026xearningsrelea.htm | 6M26 cash flow statement: Unbilled receivables, net | (860)</t>
        </r>
      </text>
    </comment>
    <comment ref="C219" authorId="0">
      <text>
        <r>
          <rPr>
            <sz val="9"/>
            <color rgb="FF000000"/>
            <rFont val="Arial"/>
            <family val="2"/>
          </rPr>
          <t>noc-06302026xearningsrelea.htm | 6M25 cash flow statement: Inventoried costs, net | (102)</t>
        </r>
      </text>
    </comment>
    <comment ref="D219" authorId="0">
      <text>
        <r>
          <rPr>
            <sz val="9"/>
            <color rgb="FF000000"/>
            <rFont val="Arial"/>
            <family val="2"/>
          </rPr>
          <t>noc-09302025xearningsrelea.htm | 9M25 cash flow statement: Inventoried costs, net | (179)</t>
        </r>
      </text>
    </comment>
    <comment ref="E219" authorId="0">
      <text>
        <r>
          <rPr>
            <sz val="9"/>
            <color rgb="FF000000"/>
            <rFont val="Arial"/>
            <family val="2"/>
          </rPr>
          <t>noc-12312025xearningsrelea.htm | FY25 cash flow statement: Inventoried costs, net | 97</t>
        </r>
      </text>
    </comment>
    <comment ref="F219" authorId="0">
      <text>
        <r>
          <rPr>
            <sz val="9"/>
            <color rgb="FF000000"/>
            <rFont val="Arial"/>
            <family val="2"/>
          </rPr>
          <t>noc-03312026xearningsrelea.htm | 3M26 cash flow statement: Inventoried costs, net | (144)</t>
        </r>
      </text>
    </comment>
    <comment ref="G219" authorId="0">
      <text>
        <r>
          <rPr>
            <sz val="9"/>
            <color rgb="FF000000"/>
            <rFont val="Arial"/>
            <family val="2"/>
          </rPr>
          <t>noc-06302026xearningsrelea.htm | 6M26 cash flow statement: Inventoried costs, net | (118)</t>
        </r>
      </text>
    </comment>
    <comment ref="C220" authorId="0">
      <text>
        <r>
          <rPr>
            <sz val="9"/>
            <color rgb="FF000000"/>
            <rFont val="Arial"/>
            <family val="2"/>
          </rPr>
          <t>noc-06302026xearningsrelea.htm | 6M25 cash flow statement: Prepaid expenses and other assets | 21</t>
        </r>
      </text>
    </comment>
    <comment ref="D220" authorId="0">
      <text>
        <r>
          <rPr>
            <sz val="9"/>
            <color rgb="FF000000"/>
            <rFont val="Arial"/>
            <family val="2"/>
          </rPr>
          <t>noc-09302025xearningsrelea.htm | 9M25 cash flow statement: Prepaid expenses and other assets | (29)</t>
        </r>
      </text>
    </comment>
    <comment ref="E220" authorId="0">
      <text>
        <r>
          <rPr>
            <sz val="9"/>
            <color rgb="FF000000"/>
            <rFont val="Arial"/>
            <family val="2"/>
          </rPr>
          <t>noc-12312025xearningsrelea.htm | FY25 cash flow statement: Prepaid expenses and other assets | 8</t>
        </r>
      </text>
    </comment>
    <comment ref="F220" authorId="0">
      <text>
        <r>
          <rPr>
            <sz val="9"/>
            <color rgb="FF000000"/>
            <rFont val="Arial"/>
            <family val="2"/>
          </rPr>
          <t>noc-03312026xearningsrelea.htm | 3M26 cash flow statement: Prepaid expenses and other assets | (37)</t>
        </r>
      </text>
    </comment>
    <comment ref="G220" authorId="0">
      <text>
        <r>
          <rPr>
            <sz val="9"/>
            <color rgb="FF000000"/>
            <rFont val="Arial"/>
            <family val="2"/>
          </rPr>
          <t>noc-06302026xearningsrelea.htm | 6M26 cash flow statement: Prepaid expenses and other assets | 141</t>
        </r>
      </text>
    </comment>
    <comment ref="C222" authorId="0">
      <text>
        <r>
          <rPr>
            <sz val="9"/>
            <color rgb="FF000000"/>
            <rFont val="Arial"/>
            <family val="2"/>
          </rPr>
          <t>noc-06302026xearningsrelea.htm | 6M25 cash flow statement: of which: trade accounts payable | (2)</t>
        </r>
      </text>
    </comment>
    <comment ref="E222" authorId="0">
      <text>
        <r>
          <rPr>
            <sz val="9"/>
            <color rgb="FF000000"/>
            <rFont val="Arial"/>
            <family val="2"/>
          </rPr>
          <t>noc-12312025xearningsrelea.htm | FY25 cash flow statement: of which: trade accounts payable | 646</t>
        </r>
      </text>
    </comment>
    <comment ref="F222" authorId="0">
      <text>
        <r>
          <rPr>
            <sz val="9"/>
            <color rgb="FF000000"/>
            <rFont val="Arial"/>
            <family val="2"/>
          </rPr>
          <t>noc-03312026xearningsrelea.htm | 3M26 cash flow statement: of which: trade accounts payable | (559)</t>
        </r>
      </text>
    </comment>
    <comment ref="G222" authorId="0">
      <text>
        <r>
          <rPr>
            <sz val="9"/>
            <color rgb="FF000000"/>
            <rFont val="Arial"/>
            <family val="2"/>
          </rPr>
          <t>noc-06302026xearningsrelea.htm | 6M26 cash flow statement: of which: trade accounts payable | (345)</t>
        </r>
      </text>
    </comment>
    <comment ref="C223" authorId="0">
      <text>
        <r>
          <rPr>
            <sz val="9"/>
            <color rgb="FF000000"/>
            <rFont val="Arial"/>
            <family val="2"/>
          </rPr>
          <t>noc-06302026xearningsrelea.htm | 6M25 cash flow statement: of which: advance payments and billings in excess | (70)</t>
        </r>
      </text>
    </comment>
    <comment ref="E223" authorId="0">
      <text>
        <r>
          <rPr>
            <sz val="9"/>
            <color rgb="FF000000"/>
            <rFont val="Arial"/>
            <family val="2"/>
          </rPr>
          <t>noc-12312025xearningsrelea.htm | FY25 cash flow statement: of which: advance payments and billings in excess | 19</t>
        </r>
      </text>
    </comment>
    <comment ref="F223" authorId="0">
      <text>
        <r>
          <rPr>
            <sz val="9"/>
            <color rgb="FF000000"/>
            <rFont val="Arial"/>
            <family val="2"/>
          </rPr>
          <t>noc-03312026xearningsrelea.htm | 3M26 cash flow statement: of which: advance payments and billings in excess | (389)</t>
        </r>
      </text>
    </comment>
    <comment ref="G223" authorId="0">
      <text>
        <r>
          <rPr>
            <sz val="9"/>
            <color rgb="FF000000"/>
            <rFont val="Arial"/>
            <family val="2"/>
          </rPr>
          <t>noc-06302026xearningsrelea.htm | 6M26 cash flow statement: of which: advance payments and billings in excess | (263)</t>
        </r>
      </text>
    </comment>
    <comment ref="C224" authorId="0">
      <text>
        <r>
          <rPr>
            <sz val="9"/>
            <color rgb="FF000000"/>
            <rFont val="Arial"/>
            <family val="2"/>
          </rPr>
          <t>noc-06302026xearningsrelea.htm | 6M25 cash flow statement: of which: other liabilities | (420)</t>
        </r>
      </text>
    </comment>
    <comment ref="E224" authorId="0">
      <text>
        <r>
          <rPr>
            <sz val="9"/>
            <color rgb="FF000000"/>
            <rFont val="Arial"/>
            <family val="2"/>
          </rPr>
          <t>noc-12312025xearningsrelea.htm | FY25 cash flow statement: of which: other liabilities | (212)</t>
        </r>
      </text>
    </comment>
    <comment ref="F224" authorId="0">
      <text>
        <r>
          <rPr>
            <sz val="9"/>
            <color rgb="FF000000"/>
            <rFont val="Arial"/>
            <family val="2"/>
          </rPr>
          <t>noc-03312026xearningsrelea.htm | 3M26 cash flow statement: of which: other liabilities | (802)</t>
        </r>
      </text>
    </comment>
    <comment ref="G224" authorId="0">
      <text>
        <r>
          <rPr>
            <sz val="9"/>
            <color rgb="FF000000"/>
            <rFont val="Arial"/>
            <family val="2"/>
          </rPr>
          <t>noc-06302026xearningsrelea.htm | 6M26 cash flow statement: of which: other liabilities | (836)</t>
        </r>
      </text>
    </comment>
    <comment ref="C225" authorId="0">
      <text>
        <r>
          <rPr>
            <sz val="9"/>
            <color rgb="FF000000"/>
            <rFont val="Arial"/>
            <family val="2"/>
          </rPr>
          <t>noc-06302026xearningsrelea.htm | 6M25 cash flow statement: Income taxes payable, net | (145)</t>
        </r>
      </text>
    </comment>
    <comment ref="D225" authorId="0">
      <text>
        <r>
          <rPr>
            <sz val="9"/>
            <color rgb="FF000000"/>
            <rFont val="Arial"/>
            <family val="2"/>
          </rPr>
          <t>noc-09302025xearningsrelea.htm | 9M25 cash flow statement: Income taxes payable, net | (421)</t>
        </r>
      </text>
    </comment>
    <comment ref="E225" authorId="0">
      <text>
        <r>
          <rPr>
            <sz val="9"/>
            <color rgb="FF000000"/>
            <rFont val="Arial"/>
            <family val="2"/>
          </rPr>
          <t>noc-12312025xearningsrelea.htm | FY25 cash flow statement: Income taxes payable, net | (559)</t>
        </r>
      </text>
    </comment>
    <comment ref="F225" authorId="0">
      <text>
        <r>
          <rPr>
            <sz val="9"/>
            <color rgb="FF000000"/>
            <rFont val="Arial"/>
            <family val="2"/>
          </rPr>
          <t>noc-03312026xearningsrelea.htm | 3M26 cash flow statement: Income taxes payable, net | (164)</t>
        </r>
      </text>
    </comment>
    <comment ref="G225" authorId="0">
      <text>
        <r>
          <rPr>
            <sz val="9"/>
            <color rgb="FF000000"/>
            <rFont val="Arial"/>
            <family val="2"/>
          </rPr>
          <t>noc-06302026xearningsrelea.htm | 6M26 cash flow statement: Income taxes payable, net | (38)</t>
        </r>
      </text>
    </comment>
    <comment ref="C226" authorId="0">
      <text>
        <r>
          <rPr>
            <sz val="9"/>
            <color rgb="FF000000"/>
            <rFont val="Arial"/>
            <family val="2"/>
          </rPr>
          <t>noc-06302026xearningsrelea.htm | 6M25 cash flow statement: Other operating activities | 10</t>
        </r>
      </text>
    </comment>
    <comment ref="D226" authorId="0">
      <text>
        <r>
          <rPr>
            <sz val="9"/>
            <color rgb="FF000000"/>
            <rFont val="Arial"/>
            <family val="2"/>
          </rPr>
          <t>noc-09302025xearningsrelea.htm | 9M25 cash flow statement: Other operating activities | (39)</t>
        </r>
      </text>
    </comment>
    <comment ref="E226" authorId="0">
      <text>
        <r>
          <rPr>
            <sz val="9"/>
            <color rgb="FF000000"/>
            <rFont val="Arial"/>
            <family val="2"/>
          </rPr>
          <t>noc-12312025xearningsrelea.htm | FY25 cash flow statement: Other operating activities | 56</t>
        </r>
      </text>
    </comment>
    <comment ref="F226" authorId="0">
      <text>
        <r>
          <rPr>
            <sz val="9"/>
            <color rgb="FF000000"/>
            <rFont val="Arial"/>
            <family val="2"/>
          </rPr>
          <t>noc-03312026xearningsrelea.htm | 3M26 cash flow statement: Other operating activities | (1)</t>
        </r>
      </text>
    </comment>
    <comment ref="G226" authorId="0">
      <text>
        <r>
          <rPr>
            <sz val="9"/>
            <color rgb="FF000000"/>
            <rFont val="Arial"/>
            <family val="2"/>
          </rPr>
          <t>noc-06302026xearningsrelea.htm | 6M26 cash flow statement: Other operating activities | (28)</t>
        </r>
      </text>
    </comment>
    <comment ref="C227" authorId="0">
      <text>
        <r>
          <rPr>
            <sz val="9"/>
            <color rgb="FF000000"/>
            <rFont val="Arial"/>
            <family val="2"/>
          </rPr>
          <t>noc-06302026xearningsrelea.htm | 6M25 cash flow statement: Reported net cash from operating activities (issuer) | (697)</t>
        </r>
      </text>
    </comment>
    <comment ref="D227" authorId="0">
      <text>
        <r>
          <rPr>
            <sz val="9"/>
            <color rgb="FF000000"/>
            <rFont val="Arial"/>
            <family val="2"/>
          </rPr>
          <t>noc-09302025xearningsrelea.htm | 9M25 cash flow statement: Reported net cash from operating activities (issuer) | 860</t>
        </r>
      </text>
    </comment>
    <comment ref="E227" authorId="0">
      <text>
        <r>
          <rPr>
            <sz val="9"/>
            <color rgb="FF000000"/>
            <rFont val="Arial"/>
            <family val="2"/>
          </rPr>
          <t>noc-12312025xearningsrelea.htm | FY25 cash flow statement: Reported net cash from operating activities (issuer) | 4,757</t>
        </r>
      </text>
    </comment>
    <comment ref="F227" authorId="0">
      <text>
        <r>
          <rPr>
            <sz val="9"/>
            <color rgb="FF000000"/>
            <rFont val="Arial"/>
            <family val="2"/>
          </rPr>
          <t>noc-03312026xearningsrelea.htm | 3M26 cash flow statement: Reported net cash from operating activities (issuer) | (1,656)</t>
        </r>
      </text>
    </comment>
    <comment ref="G227" authorId="0">
      <text>
        <r>
          <rPr>
            <sz val="9"/>
            <color rgb="FF000000"/>
            <rFont val="Arial"/>
            <family val="2"/>
          </rPr>
          <t>noc-06302026xearningsrelea.htm | 6M26 cash flow statement: Reported net cash from operating activities (issuer) | (376)</t>
        </r>
      </text>
    </comment>
    <comment ref="C228" authorId="0">
      <text>
        <r>
          <rPr>
            <sz val="9"/>
            <color rgb="FF000000"/>
            <rFont val="Arial"/>
            <family val="2"/>
          </rPr>
          <t>noc-06302026xearningsrelea.htm | 6M25 cash flow statement: Capital expenditures | (487)</t>
        </r>
      </text>
    </comment>
    <comment ref="D228" authorId="0">
      <text>
        <r>
          <rPr>
            <sz val="9"/>
            <color rgb="FF000000"/>
            <rFont val="Arial"/>
            <family val="2"/>
          </rPr>
          <t>noc-09302025xearningsrelea.htm | 9M25 cash flow statement: Capital expenditures | (788)</t>
        </r>
      </text>
    </comment>
    <comment ref="E228" authorId="0">
      <text>
        <r>
          <rPr>
            <sz val="9"/>
            <color rgb="FF000000"/>
            <rFont val="Arial"/>
            <family val="2"/>
          </rPr>
          <t>noc-12312025xearningsrelea.htm | FY25 cash flow statement: Capital expenditures | (1,450)</t>
        </r>
      </text>
    </comment>
    <comment ref="F228" authorId="0">
      <text>
        <r>
          <rPr>
            <sz val="9"/>
            <color rgb="FF000000"/>
            <rFont val="Arial"/>
            <family val="2"/>
          </rPr>
          <t>noc-03312026xearningsrelea.htm | 3M26 cash flow statement: Capital expenditures | (167)</t>
        </r>
      </text>
    </comment>
    <comment ref="G228" authorId="0">
      <text>
        <r>
          <rPr>
            <sz val="9"/>
            <color rgb="FF000000"/>
            <rFont val="Arial"/>
            <family val="2"/>
          </rPr>
          <t>noc-06302026xearningsrelea.htm | 6M26 cash flow statement: Capital expenditures | (469)</t>
        </r>
      </text>
    </comment>
    <comment ref="C229" authorId="0">
      <text>
        <r>
          <rPr>
            <sz val="9"/>
            <color rgb="FF000000"/>
            <rFont val="Arial"/>
            <family val="2"/>
          </rPr>
          <t>noc-06302026xearningsrelea.htm | 6M25 cash flow statement: Proceeds from sale of investment | 0</t>
        </r>
      </text>
    </comment>
    <comment ref="D229" authorId="0">
      <text>
        <r>
          <rPr>
            <sz val="9"/>
            <color rgb="FF000000"/>
            <rFont val="Arial"/>
            <family val="2"/>
          </rPr>
          <t>noc-09302025xearningsrelea.htm | 9M25 cash flow statement: Proceeds from sale of investment | 0</t>
        </r>
      </text>
    </comment>
    <comment ref="E229" authorId="0">
      <text>
        <r>
          <rPr>
            <sz val="9"/>
            <color rgb="FF000000"/>
            <rFont val="Arial"/>
            <family val="2"/>
          </rPr>
          <t>noc-12312025xearningsrelea.htm | FY25 cash flow statement: Proceeds from sale of investment | 0</t>
        </r>
      </text>
    </comment>
    <comment ref="F229" authorId="0">
      <text>
        <r>
          <rPr>
            <sz val="9"/>
            <color rgb="FF000000"/>
            <rFont val="Arial"/>
            <family val="2"/>
          </rPr>
          <t>noc-03312026xearningsrelea.htm | 3M26 cash flow statement: Proceeds from sale of investment | 0</t>
        </r>
      </text>
    </comment>
    <comment ref="G229" authorId="0">
      <text>
        <r>
          <rPr>
            <sz val="9"/>
            <color rgb="FF000000"/>
            <rFont val="Arial"/>
            <family val="2"/>
          </rPr>
          <t>noc-06302026xearningsrelea.htm | 6M26 cash flow statement: Proceeds from sale of investment | 107</t>
        </r>
      </text>
    </comment>
    <comment ref="C230" authorId="0">
      <text>
        <r>
          <rPr>
            <sz val="9"/>
            <color rgb="FF000000"/>
            <rFont val="Arial"/>
            <family val="2"/>
          </rPr>
          <t>noc-06302026xearningsrelea.htm | 6M25 cash flow statement: Divestiture of training services business | 333</t>
        </r>
      </text>
    </comment>
    <comment ref="D230" authorId="0">
      <text>
        <r>
          <rPr>
            <sz val="9"/>
            <color rgb="FF000000"/>
            <rFont val="Arial"/>
            <family val="2"/>
          </rPr>
          <t>noc-09302025xearningsrelea.htm | 9M25 cash flow statement: Divestiture of training services business | 333</t>
        </r>
      </text>
    </comment>
    <comment ref="E230" authorId="0">
      <text>
        <r>
          <rPr>
            <sz val="9"/>
            <color rgb="FF000000"/>
            <rFont val="Arial"/>
            <family val="2"/>
          </rPr>
          <t>noc-12312025xearningsrelea.htm | FY25 cash flow statement: Divestiture of training services business | 333</t>
        </r>
      </text>
    </comment>
    <comment ref="F230" authorId="0">
      <text>
        <r>
          <rPr>
            <sz val="9"/>
            <color rgb="FF000000"/>
            <rFont val="Arial"/>
            <family val="2"/>
          </rPr>
          <t>noc-03312026xearningsrelea.htm | 3M26 cash flow statement: Divestiture of training services business | 0</t>
        </r>
      </text>
    </comment>
    <comment ref="G230" authorId="0">
      <text>
        <r>
          <rPr>
            <sz val="9"/>
            <color rgb="FF000000"/>
            <rFont val="Arial"/>
            <family val="2"/>
          </rPr>
          <t>noc-06302026xearningsrelea.htm | 6M26 cash flow statement: Divestiture of training services business | 0</t>
        </r>
      </text>
    </comment>
    <comment ref="C231" authorId="0">
      <text>
        <r>
          <rPr>
            <sz val="9"/>
            <color rgb="FF000000"/>
            <rFont val="Arial"/>
            <family val="2"/>
          </rPr>
          <t>noc-06302026xearningsrelea.htm | 6M25 cash flow statement: Other investing activities | (37)</t>
        </r>
      </text>
    </comment>
    <comment ref="D231" authorId="0">
      <text>
        <r>
          <rPr>
            <sz val="9"/>
            <color rgb="FF000000"/>
            <rFont val="Arial"/>
            <family val="2"/>
          </rPr>
          <t>noc-09302025xearningsrelea.htm | 9M25 cash flow statement: Other investing activities | (36)</t>
        </r>
      </text>
    </comment>
    <comment ref="E231" authorId="0">
      <text>
        <r>
          <rPr>
            <sz val="9"/>
            <color rgb="FF000000"/>
            <rFont val="Arial"/>
            <family val="2"/>
          </rPr>
          <t>noc-12312025xearningsrelea.htm | FY25 cash flow statement: Other investing activities | (38)</t>
        </r>
      </text>
    </comment>
    <comment ref="F231" authorId="0">
      <text>
        <r>
          <rPr>
            <sz val="9"/>
            <color rgb="FF000000"/>
            <rFont val="Arial"/>
            <family val="2"/>
          </rPr>
          <t>noc-03312026xearningsrelea.htm | 3M26 cash flow statement: Other investing activities | (1)</t>
        </r>
      </text>
    </comment>
    <comment ref="G231" authorId="0">
      <text>
        <r>
          <rPr>
            <sz val="9"/>
            <color rgb="FF000000"/>
            <rFont val="Arial"/>
            <family val="2"/>
          </rPr>
          <t>noc-06302026xearningsrelea.htm | 6M26 cash flow statement: Other investing activities | (2)</t>
        </r>
      </text>
    </comment>
    <comment ref="C232" authorId="0">
      <text>
        <r>
          <rPr>
            <sz val="9"/>
            <color rgb="FF000000"/>
            <rFont val="Arial"/>
            <family val="2"/>
          </rPr>
          <t>noc-06302026xearningsrelea.htm | 6M25 cash flow statement: Net proceeds from issuance of long-term debt | 998</t>
        </r>
      </text>
    </comment>
    <comment ref="D232" authorId="0">
      <text>
        <r>
          <rPr>
            <sz val="9"/>
            <color rgb="FF000000"/>
            <rFont val="Arial"/>
            <family val="2"/>
          </rPr>
          <t>noc-09302025xearningsrelea.htm | 9M25 cash flow statement: Net proceeds from issuance of long-term debt | 998</t>
        </r>
      </text>
    </comment>
    <comment ref="E232" authorId="0">
      <text>
        <r>
          <rPr>
            <sz val="9"/>
            <color rgb="FF000000"/>
            <rFont val="Arial"/>
            <family val="2"/>
          </rPr>
          <t>noc-12312025xearningsrelea.htm | FY25 cash flow statement: Net proceeds from issuance of long-term debt | 998</t>
        </r>
      </text>
    </comment>
    <comment ref="F232" authorId="0">
      <text>
        <r>
          <rPr>
            <sz val="9"/>
            <color rgb="FF000000"/>
            <rFont val="Arial"/>
            <family val="2"/>
          </rPr>
          <t>noc-03312026xearningsrelea.htm | 3M26 cash flow statement: Net proceeds from issuance of long-term debt | 0</t>
        </r>
      </text>
    </comment>
    <comment ref="G232" authorId="0">
      <text>
        <r>
          <rPr>
            <sz val="9"/>
            <color rgb="FF000000"/>
            <rFont val="Arial"/>
            <family val="2"/>
          </rPr>
          <t>noc-06302026xearningsrelea.htm | 6M26 cash flow statement: Net proceeds from issuance of long-term debt | 0</t>
        </r>
      </text>
    </comment>
    <comment ref="C233" authorId="0">
      <text>
        <r>
          <rPr>
            <sz val="9"/>
            <color rgb="FF000000"/>
            <rFont val="Arial"/>
            <family val="2"/>
          </rPr>
          <t>noc-06302026xearningsrelea.htm | 6M25 cash flow statement: Payments of long-term debt | (1,500)</t>
        </r>
      </text>
    </comment>
    <comment ref="D233" authorId="0">
      <text>
        <r>
          <rPr>
            <sz val="9"/>
            <color rgb="FF000000"/>
            <rFont val="Arial"/>
            <family val="2"/>
          </rPr>
          <t>noc-09302025xearningsrelea.htm | 9M25 cash flow statement: Payments of long-term debt | (1,500)</t>
        </r>
      </text>
    </comment>
    <comment ref="E233" authorId="0">
      <text>
        <r>
          <rPr>
            <sz val="9"/>
            <color rgb="FF000000"/>
            <rFont val="Arial"/>
            <family val="2"/>
          </rPr>
          <t>noc-12312025xearningsrelea.htm | FY25 cash flow statement: Payments of long-term debt | (1,500)</t>
        </r>
      </text>
    </comment>
    <comment ref="F233" authorId="0">
      <text>
        <r>
          <rPr>
            <sz val="9"/>
            <color rgb="FF000000"/>
            <rFont val="Arial"/>
            <family val="2"/>
          </rPr>
          <t>noc-03312026xearningsrelea.htm | 3M26 cash flow statement: Payments of long-term debt | (527)</t>
        </r>
      </text>
    </comment>
    <comment ref="G233" authorId="0">
      <text>
        <r>
          <rPr>
            <sz val="9"/>
            <color rgb="FF000000"/>
            <rFont val="Arial"/>
            <family val="2"/>
          </rPr>
          <t>noc-06302026xearningsrelea.htm | 6M26 cash flow statement: Payments of long-term debt | (527)</t>
        </r>
      </text>
    </comment>
    <comment ref="C234" authorId="0">
      <text>
        <r>
          <rPr>
            <sz val="9"/>
            <color rgb="FF000000"/>
            <rFont val="Arial"/>
            <family val="2"/>
          </rPr>
          <t>noc-06302026xearningsrelea.htm | 6M25 cash flow statement: Net borrowings on commercial paper | 566</t>
        </r>
      </text>
    </comment>
    <comment ref="D234" authorId="0">
      <text>
        <r>
          <rPr>
            <sz val="9"/>
            <color rgb="FF000000"/>
            <rFont val="Arial"/>
            <family val="2"/>
          </rPr>
          <t>noc-09302025xearningsrelea.htm | 9M25 cash flow statement: Net borrowings on commercial paper | 0</t>
        </r>
      </text>
    </comment>
    <comment ref="E234" authorId="0">
      <text>
        <r>
          <rPr>
            <sz val="9"/>
            <color rgb="FF000000"/>
            <rFont val="Arial"/>
            <family val="2"/>
          </rPr>
          <t>noc-12312025xearningsrelea.htm | FY25 cash flow statement: Net borrowings on commercial paper | 0</t>
        </r>
      </text>
    </comment>
    <comment ref="F234" authorId="0">
      <text>
        <r>
          <rPr>
            <sz val="9"/>
            <color rgb="FF000000"/>
            <rFont val="Arial"/>
            <family val="2"/>
          </rPr>
          <t>noc-03312026xearningsrelea.htm | 3M26 cash flow statement: Net borrowings on commercial paper | 498</t>
        </r>
      </text>
    </comment>
    <comment ref="G234" authorId="0">
      <text>
        <r>
          <rPr>
            <sz val="9"/>
            <color rgb="FF000000"/>
            <rFont val="Arial"/>
            <family val="2"/>
          </rPr>
          <t>noc-06302026xearningsrelea.htm | 6M26 cash flow statement: Net borrowings on commercial paper | 0</t>
        </r>
      </text>
    </comment>
    <comment ref="C235" authorId="0">
      <text>
        <r>
          <rPr>
            <sz val="9"/>
            <color rgb="FF000000"/>
            <rFont val="Arial"/>
            <family val="2"/>
          </rPr>
          <t>noc-06302026xearningsrelea.htm | 6M25 cash flow statement: Common stock repurchases | (891)</t>
        </r>
      </text>
    </comment>
    <comment ref="D235" authorId="0">
      <text>
        <r>
          <rPr>
            <sz val="9"/>
            <color rgb="FF000000"/>
            <rFont val="Arial"/>
            <family val="2"/>
          </rPr>
          <t>noc-09302025xearningsrelea.htm | 9M25 cash flow statement: Common stock repurchases | (1,168)</t>
        </r>
      </text>
    </comment>
    <comment ref="E235" authorId="0">
      <text>
        <r>
          <rPr>
            <sz val="9"/>
            <color rgb="FF000000"/>
            <rFont val="Arial"/>
            <family val="2"/>
          </rPr>
          <t>noc-12312025xearningsrelea.htm | FY25 cash flow statement: Common stock repurchases | (1,624)</t>
        </r>
      </text>
    </comment>
    <comment ref="F235" authorId="0">
      <text>
        <r>
          <rPr>
            <sz val="9"/>
            <color rgb="FF000000"/>
            <rFont val="Arial"/>
            <family val="2"/>
          </rPr>
          <t>noc-03312026xearningsrelea.htm | 3M26 cash flow statement: Common stock repurchases | (68)</t>
        </r>
      </text>
    </comment>
    <comment ref="G235" authorId="0">
      <text>
        <r>
          <rPr>
            <sz val="9"/>
            <color rgb="FF000000"/>
            <rFont val="Arial"/>
            <family val="2"/>
          </rPr>
          <t>noc-06302026xearningsrelea.htm | 6M26 cash flow statement: Common stock repurchases | (68)</t>
        </r>
      </text>
    </comment>
    <comment ref="C236" authorId="0">
      <text>
        <r>
          <rPr>
            <sz val="9"/>
            <color rgb="FF000000"/>
            <rFont val="Arial"/>
            <family val="2"/>
          </rPr>
          <t>noc-06302026xearningsrelea.htm | 6M25 cash flow statement: Cash dividends paid | (634)</t>
        </r>
      </text>
    </comment>
    <comment ref="D236" authorId="0">
      <text>
        <r>
          <rPr>
            <sz val="9"/>
            <color rgb="FF000000"/>
            <rFont val="Arial"/>
            <family val="2"/>
          </rPr>
          <t>noc-09302025xearningsrelea.htm | 9M25 cash flow statement: Cash dividends paid | (964)</t>
        </r>
      </text>
    </comment>
    <comment ref="E236" authorId="0">
      <text>
        <r>
          <rPr>
            <sz val="9"/>
            <color rgb="FF000000"/>
            <rFont val="Arial"/>
            <family val="2"/>
          </rPr>
          <t>noc-12312025xearningsrelea.htm | FY25 cash flow statement: Cash dividends paid | (1,293)</t>
        </r>
      </text>
    </comment>
    <comment ref="F236" authorId="0">
      <text>
        <r>
          <rPr>
            <sz val="9"/>
            <color rgb="FF000000"/>
            <rFont val="Arial"/>
            <family val="2"/>
          </rPr>
          <t>noc-03312026xearningsrelea.htm | 3M26 cash flow statement: Cash dividends paid | (333)</t>
        </r>
      </text>
    </comment>
    <comment ref="G236" authorId="0">
      <text>
        <r>
          <rPr>
            <sz val="9"/>
            <color rgb="FF000000"/>
            <rFont val="Arial"/>
            <family val="2"/>
          </rPr>
          <t>noc-06302026xearningsrelea.htm | 6M26 cash flow statement: Cash dividends paid | (684)</t>
        </r>
      </text>
    </comment>
    <comment ref="C237" authorId="0">
      <text>
        <r>
          <rPr>
            <sz val="9"/>
            <color rgb="FF000000"/>
            <rFont val="Arial"/>
            <family val="2"/>
          </rPr>
          <t>noc-06302026xearningsrelea.htm | 6M25 cash flow statement: Payments of employee taxes withheld from share-based awards | (38)</t>
        </r>
      </text>
    </comment>
    <comment ref="D237" authorId="0">
      <text>
        <r>
          <rPr>
            <sz val="9"/>
            <color rgb="FF000000"/>
            <rFont val="Arial"/>
            <family val="2"/>
          </rPr>
          <t>noc-09302025xearningsrelea.htm | 9M25 cash flow statement: Payments of employee taxes withheld from share-based awards | (38)</t>
        </r>
      </text>
    </comment>
    <comment ref="E237" authorId="0">
      <text>
        <r>
          <rPr>
            <sz val="9"/>
            <color rgb="FF000000"/>
            <rFont val="Arial"/>
            <family val="2"/>
          </rPr>
          <t>noc-12312025xearningsrelea.htm | FY25 cash flow statement: Payments of employee taxes withheld from share-based awards | (39)</t>
        </r>
      </text>
    </comment>
    <comment ref="F237" authorId="0">
      <text>
        <r>
          <rPr>
            <sz val="9"/>
            <color rgb="FF000000"/>
            <rFont val="Arial"/>
            <family val="2"/>
          </rPr>
          <t>noc-03312026xearningsrelea.htm | 3M26 cash flow statement: Payments of employee taxes withheld from share-based awards | (57)</t>
        </r>
      </text>
    </comment>
    <comment ref="G237" authorId="0">
      <text>
        <r>
          <rPr>
            <sz val="9"/>
            <color rgb="FF000000"/>
            <rFont val="Arial"/>
            <family val="2"/>
          </rPr>
          <t>noc-06302026xearningsrelea.htm | 6M26 cash flow statement: Payments of employee taxes withheld from share-based awards | (58)</t>
        </r>
      </text>
    </comment>
    <comment ref="C238" authorId="0">
      <text>
        <r>
          <rPr>
            <sz val="9"/>
            <color rgb="FF000000"/>
            <rFont val="Arial"/>
            <family val="2"/>
          </rPr>
          <t>noc-06302026xearningsrelea.htm | 6M25 cash flow statement: Other financing activities | (67)</t>
        </r>
      </text>
    </comment>
    <comment ref="D238" authorId="0">
      <text>
        <r>
          <rPr>
            <sz val="9"/>
            <color rgb="FF000000"/>
            <rFont val="Arial"/>
            <family val="2"/>
          </rPr>
          <t>noc-09302025xearningsrelea.htm | 9M25 cash flow statement: Other financing activities | (93)</t>
        </r>
      </text>
    </comment>
    <comment ref="E238" authorId="0">
      <text>
        <r>
          <rPr>
            <sz val="9"/>
            <color rgb="FF000000"/>
            <rFont val="Arial"/>
            <family val="2"/>
          </rPr>
          <t>noc-12312025xearningsrelea.htm | FY25 cash flow statement: Other financing activities | (94)</t>
        </r>
      </text>
    </comment>
    <comment ref="F238" authorId="0">
      <text>
        <r>
          <rPr>
            <sz val="9"/>
            <color rgb="FF000000"/>
            <rFont val="Arial"/>
            <family val="2"/>
          </rPr>
          <t>noc-03312026xearningsrelea.htm | 3M26 cash flow statement: Other financing activities | (2)</t>
        </r>
      </text>
    </comment>
    <comment ref="G238" authorId="0">
      <text>
        <r>
          <rPr>
            <sz val="9"/>
            <color rgb="FF000000"/>
            <rFont val="Arial"/>
            <family val="2"/>
          </rPr>
          <t>noc-06302026xearningsrelea.htm | 6M26 cash flow statement: Other financing activities | (19)</t>
        </r>
      </text>
    </comment>
    <comment ref="C239" authorId="0">
      <text>
        <r>
          <rPr>
            <sz val="9"/>
            <color rgb="FF000000"/>
            <rFont val="Arial"/>
            <family val="2"/>
          </rPr>
          <t>noc-06302026xearningsrelea.htm | 6M25 cash flow statement: Cash and cash equivalents, end of period | 1,899</t>
        </r>
      </text>
    </comment>
    <comment ref="D239" authorId="0">
      <text>
        <r>
          <rPr>
            <sz val="9"/>
            <color rgb="FF000000"/>
            <rFont val="Arial"/>
            <family val="2"/>
          </rPr>
          <t>noc-09302025xearningsrelea.htm | 9M25 cash flow statement: Cash and cash equivalents, end of period | 1,957</t>
        </r>
      </text>
    </comment>
    <comment ref="E239" authorId="0">
      <text>
        <r>
          <rPr>
            <sz val="9"/>
            <color rgb="FF000000"/>
            <rFont val="Arial"/>
            <family val="2"/>
          </rPr>
          <t>noc-12312025xearningsrelea.htm | FY25 cash flow statement: Cash and cash equivalents, end of period | 4,403</t>
        </r>
      </text>
    </comment>
    <comment ref="F239" authorId="0">
      <text>
        <r>
          <rPr>
            <sz val="9"/>
            <color rgb="FF000000"/>
            <rFont val="Arial"/>
            <family val="2"/>
          </rPr>
          <t>noc-03312026xearningsrelea.htm | 3M26 cash flow statement: Cash and cash equivalents, end of period | 2,090</t>
        </r>
      </text>
    </comment>
    <comment ref="G239" authorId="0">
      <text>
        <r>
          <rPr>
            <sz val="9"/>
            <color rgb="FF000000"/>
            <rFont val="Arial"/>
            <family val="2"/>
          </rPr>
          <t>noc-06302026xearningsrelea.htm | 6M26 cash flow statement: Cash and cash equivalents, end of period | 2,307</t>
        </r>
      </text>
    </comment>
    <comment ref="C240" authorId="0">
      <text>
        <r>
          <rPr>
            <sz val="9"/>
            <color rgb="FF000000"/>
            <rFont val="Arial"/>
            <family val="2"/>
          </rPr>
          <t>noc-06302026xearningsrelea.htm | 6M25 cash flow statement: Cash and cash equivalents, beginning of year | 4,353</t>
        </r>
      </text>
    </comment>
    <comment ref="D240" authorId="0">
      <text>
        <r>
          <rPr>
            <sz val="9"/>
            <color rgb="FF000000"/>
            <rFont val="Arial"/>
            <family val="2"/>
          </rPr>
          <t>noc-09302025xearningsrelea.htm | 9M25 cash flow statement: Cash and cash equivalents, beginning of year | 4,353</t>
        </r>
      </text>
    </comment>
    <comment ref="E240" authorId="0">
      <text>
        <r>
          <rPr>
            <sz val="9"/>
            <color rgb="FF000000"/>
            <rFont val="Arial"/>
            <family val="2"/>
          </rPr>
          <t>noc-12312025xearningsrelea.htm | FY25 cash flow statement: Cash and cash equivalents, beginning of year | 4,353</t>
        </r>
      </text>
    </comment>
    <comment ref="F240" authorId="0">
      <text>
        <r>
          <rPr>
            <sz val="9"/>
            <color rgb="FF000000"/>
            <rFont val="Arial"/>
            <family val="2"/>
          </rPr>
          <t>noc-03312026xearningsrelea.htm | 3M26 cash flow statement: Cash and cash equivalents, beginning of year | 4,403</t>
        </r>
      </text>
    </comment>
    <comment ref="G240" authorId="0">
      <text>
        <r>
          <rPr>
            <sz val="9"/>
            <color rgb="FF000000"/>
            <rFont val="Arial"/>
            <family val="2"/>
          </rPr>
          <t>noc-06302026xearningsrelea.htm | 6M26 cash flow statement: Cash and cash equivalents, beginning of year | 4,403</t>
        </r>
      </text>
    </comment>
    <comment ref="D221" authorId="0">
      <text>
        <r>
          <rPr>
            <sz val="9"/>
            <color rgb="FF000000"/>
            <rFont val="Arial"/>
            <family val="2"/>
          </rPr>
          <t>noc-09302025xearningsrelea.htm | 9M25 cash flow statement: Trade AP, advances and other liabilities (combined) | (642)</t>
        </r>
      </text>
    </comment>
    <comment ref="C243" authorId="0">
      <text>
        <r>
          <rPr>
            <sz val="9"/>
            <color rgb="FF000000"/>
            <rFont val="Arial"/>
            <family val="2"/>
          </rPr>
          <t>noc-09302025xearningsrelea.htm | 3Q24 U.S. federal statutory tax rate (issuer MTM reconciliation) | 0.21</t>
        </r>
      </text>
    </comment>
    <comment ref="D247" authorId="0">
      <text>
        <r>
          <rPr>
            <sz val="9"/>
            <color rgb="FF000000"/>
            <rFont val="Arial"/>
            <family val="2"/>
          </rPr>
          <t>NOC_history.csv | period_end_date=2025-03-31 | eps_normalized_consensus=6.26</t>
        </r>
      </text>
    </comment>
    <comment ref="E247" authorId="0">
      <text>
        <r>
          <rPr>
            <sz val="9"/>
            <color rgb="FF000000"/>
            <rFont val="Arial"/>
            <family val="2"/>
          </rPr>
          <t>NOC_history.csv | period_end_date=2025-03-31 | eps_normalized_actual=3.32</t>
        </r>
      </text>
    </comment>
    <comment ref="F247" authorId="0">
      <text>
        <r>
          <rPr>
            <sz val="9"/>
            <color rgb="FF000000"/>
            <rFont val="Arial"/>
            <family val="2"/>
          </rPr>
          <t>NOC_history.csv | period_end_date=2025-03-31 | eps_gaap_consensus=6.23</t>
        </r>
      </text>
    </comment>
    <comment ref="G247" authorId="0">
      <text>
        <r>
          <rPr>
            <sz val="9"/>
            <color rgb="FF000000"/>
            <rFont val="Arial"/>
            <family val="2"/>
          </rPr>
          <t>NOC_history.csv | period_end_date=2025-03-31 | eps_gaap_actual=3.32</t>
        </r>
      </text>
    </comment>
    <comment ref="H247" authorId="0">
      <text>
        <r>
          <rPr>
            <sz val="9"/>
            <color rgb="FF000000"/>
            <rFont val="Arial"/>
            <family val="2"/>
          </rPr>
          <t>NOC_history.csv | period_end_date=2025-03-31 | revenue_m_consensus=9948.17</t>
        </r>
      </text>
    </comment>
    <comment ref="I247" authorId="0">
      <text>
        <r>
          <rPr>
            <sz val="9"/>
            <color rgb="FF000000"/>
            <rFont val="Arial"/>
            <family val="2"/>
          </rPr>
          <t>NOC_history.csv | period_end_date=2025-03-31 | revenue_m_actual=9468.0</t>
        </r>
      </text>
    </comment>
    <comment ref="D248" authorId="0">
      <text>
        <r>
          <rPr>
            <sz val="9"/>
            <color rgb="FF000000"/>
            <rFont val="Arial"/>
            <family val="2"/>
          </rPr>
          <t>NOC_history.csv | period_end_date=2025-06-30 | eps_normalized_consensus=6.8</t>
        </r>
      </text>
    </comment>
    <comment ref="E248" authorId="0">
      <text>
        <r>
          <rPr>
            <sz val="9"/>
            <color rgb="FF000000"/>
            <rFont val="Arial"/>
            <family val="2"/>
          </rPr>
          <t>NOC_history.csv | period_end_date=2025-06-30 | eps_normalized_actual=8.15</t>
        </r>
      </text>
    </comment>
    <comment ref="F248" authorId="0">
      <text>
        <r>
          <rPr>
            <sz val="9"/>
            <color rgb="FF000000"/>
            <rFont val="Arial"/>
            <family val="2"/>
          </rPr>
          <t>NOC_history.csv | period_end_date=2025-06-30 | eps_gaap_consensus=6.81</t>
        </r>
      </text>
    </comment>
    <comment ref="G248" authorId="0">
      <text>
        <r>
          <rPr>
            <sz val="9"/>
            <color rgb="FF000000"/>
            <rFont val="Arial"/>
            <family val="2"/>
          </rPr>
          <t>NOC_history.csv | period_end_date=2025-06-30 | eps_gaap_actual=8.15</t>
        </r>
      </text>
    </comment>
    <comment ref="H248" authorId="0">
      <text>
        <r>
          <rPr>
            <sz val="9"/>
            <color rgb="FF000000"/>
            <rFont val="Arial"/>
            <family val="2"/>
          </rPr>
          <t>NOC_history.csv | period_end_date=2025-06-30 | revenue_m_consensus=10092.32</t>
        </r>
      </text>
    </comment>
    <comment ref="I248" authorId="0">
      <text>
        <r>
          <rPr>
            <sz val="9"/>
            <color rgb="FF000000"/>
            <rFont val="Arial"/>
            <family val="2"/>
          </rPr>
          <t>NOC_history.csv | period_end_date=2025-06-30 | revenue_m_actual=10351.0</t>
        </r>
      </text>
    </comment>
    <comment ref="D249" authorId="0">
      <text>
        <r>
          <rPr>
            <sz val="9"/>
            <color rgb="FF000000"/>
            <rFont val="Arial"/>
            <family val="2"/>
          </rPr>
          <t>NOC_history.csv | period_end_date=2025-09-30 | eps_normalized_consensus=6.46</t>
        </r>
      </text>
    </comment>
    <comment ref="E249" authorId="0">
      <text>
        <r>
          <rPr>
            <sz val="9"/>
            <color rgb="FF000000"/>
            <rFont val="Arial"/>
            <family val="2"/>
          </rPr>
          <t>NOC_history.csv | period_end_date=2025-09-30 | eps_normalized_actual=7.67</t>
        </r>
      </text>
    </comment>
    <comment ref="F249" authorId="0">
      <text>
        <r>
          <rPr>
            <sz val="9"/>
            <color rgb="FF000000"/>
            <rFont val="Arial"/>
            <family val="2"/>
          </rPr>
          <t>NOC_history.csv | period_end_date=2025-09-30 | eps_gaap_consensus=6.46</t>
        </r>
      </text>
    </comment>
    <comment ref="G249" authorId="0">
      <text>
        <r>
          <rPr>
            <sz val="9"/>
            <color rgb="FF000000"/>
            <rFont val="Arial"/>
            <family val="2"/>
          </rPr>
          <t>NOC_history.csv | period_end_date=2025-09-30 | eps_gaap_actual=7.67</t>
        </r>
      </text>
    </comment>
    <comment ref="H249" authorId="0">
      <text>
        <r>
          <rPr>
            <sz val="9"/>
            <color rgb="FF000000"/>
            <rFont val="Arial"/>
            <family val="2"/>
          </rPr>
          <t>NOC_history.csv | period_end_date=2025-09-30 | revenue_m_consensus=10714.2</t>
        </r>
      </text>
    </comment>
    <comment ref="I249" authorId="0">
      <text>
        <r>
          <rPr>
            <sz val="9"/>
            <color rgb="FF000000"/>
            <rFont val="Arial"/>
            <family val="2"/>
          </rPr>
          <t>NOC_history.csv | period_end_date=2025-09-30 | revenue_m_actual=10423.0</t>
        </r>
      </text>
    </comment>
    <comment ref="D250" authorId="0">
      <text>
        <r>
          <rPr>
            <sz val="9"/>
            <color rgb="FF000000"/>
            <rFont val="Arial"/>
            <family val="2"/>
          </rPr>
          <t>NOC_history.csv | period_end_date=2025-12-31 | eps_normalized_consensus=6.96</t>
        </r>
      </text>
    </comment>
    <comment ref="E250" authorId="0">
      <text>
        <r>
          <rPr>
            <sz val="9"/>
            <color rgb="FF000000"/>
            <rFont val="Arial"/>
            <family val="2"/>
          </rPr>
          <t>NOC_history.csv | period_end_date=2025-12-31 | eps_normalized_actual=7.23</t>
        </r>
      </text>
    </comment>
    <comment ref="F250" authorId="0">
      <text>
        <r>
          <rPr>
            <sz val="9"/>
            <color rgb="FF000000"/>
            <rFont val="Arial"/>
            <family val="2"/>
          </rPr>
          <t>NOC_history.csv | period_end_date=2025-12-31 | eps_gaap_consensus=6.96</t>
        </r>
      </text>
    </comment>
    <comment ref="G250" authorId="0">
      <text>
        <r>
          <rPr>
            <sz val="9"/>
            <color rgb="FF000000"/>
            <rFont val="Arial"/>
            <family val="2"/>
          </rPr>
          <t>NOC_history.csv | period_end_date=2025-12-31 | eps_gaap_actual=9.99</t>
        </r>
      </text>
    </comment>
    <comment ref="H250" authorId="0">
      <text>
        <r>
          <rPr>
            <sz val="9"/>
            <color rgb="FF000000"/>
            <rFont val="Arial"/>
            <family val="2"/>
          </rPr>
          <t>NOC_history.csv | period_end_date=2025-12-31 | revenue_m_consensus=11616.54</t>
        </r>
      </text>
    </comment>
    <comment ref="I250" authorId="0">
      <text>
        <r>
          <rPr>
            <sz val="9"/>
            <color rgb="FF000000"/>
            <rFont val="Arial"/>
            <family val="2"/>
          </rPr>
          <t>NOC_history.csv | period_end_date=2025-12-31 | revenue_m_actual=11712.0</t>
        </r>
      </text>
    </comment>
    <comment ref="D251" authorId="0">
      <text>
        <r>
          <rPr>
            <sz val="9"/>
            <color rgb="FF000000"/>
            <rFont val="Arial"/>
            <family val="2"/>
          </rPr>
          <t>NOC_history.csv | period_end_date=2026-03-31 | eps_normalized_consensus=6.06</t>
        </r>
      </text>
    </comment>
    <comment ref="E251" authorId="0">
      <text>
        <r>
          <rPr>
            <sz val="9"/>
            <color rgb="FF000000"/>
            <rFont val="Arial"/>
            <family val="2"/>
          </rPr>
          <t>NOC_history.csv | period_end_date=2026-03-31 | eps_normalized_actual=6.14</t>
        </r>
      </text>
    </comment>
    <comment ref="F251" authorId="0">
      <text>
        <r>
          <rPr>
            <sz val="9"/>
            <color rgb="FF000000"/>
            <rFont val="Arial"/>
            <family val="2"/>
          </rPr>
          <t>NOC_history.csv | period_end_date=2026-03-31 | eps_gaap_consensus=6.08</t>
        </r>
      </text>
    </comment>
    <comment ref="G251" authorId="0">
      <text>
        <r>
          <rPr>
            <sz val="9"/>
            <color rgb="FF000000"/>
            <rFont val="Arial"/>
            <family val="2"/>
          </rPr>
          <t>NOC_history.csv | period_end_date=2026-03-31 | eps_gaap_actual=6.14</t>
        </r>
      </text>
    </comment>
    <comment ref="H251" authorId="0">
      <text>
        <r>
          <rPr>
            <sz val="9"/>
            <color rgb="FF000000"/>
            <rFont val="Arial"/>
            <family val="2"/>
          </rPr>
          <t>NOC_history.csv | period_end_date=2026-03-31 | revenue_m_consensus=9755.58</t>
        </r>
      </text>
    </comment>
    <comment ref="I251" authorId="0">
      <text>
        <r>
          <rPr>
            <sz val="9"/>
            <color rgb="FF000000"/>
            <rFont val="Arial"/>
            <family val="2"/>
          </rPr>
          <t>NOC_history.csv | period_end_date=2026-03-31 | revenue_m_actual=9881.0</t>
        </r>
      </text>
    </comment>
    <comment ref="D252" authorId="0">
      <text>
        <r>
          <rPr>
            <sz val="9"/>
            <color rgb="FF000000"/>
            <rFont val="Arial"/>
            <family val="2"/>
          </rPr>
          <t>NOC_history.csv | period_end_date=2026-06-30 | eps_normalized_consensus=6.82</t>
        </r>
      </text>
    </comment>
    <comment ref="E252" authorId="0">
      <text>
        <r>
          <rPr>
            <sz val="9"/>
            <color rgb="FF000000"/>
            <rFont val="Arial"/>
            <family val="2"/>
          </rPr>
          <t>NOC_history.csv | period_end_date=2026-06-30 | eps_normalized_actual=7.68</t>
        </r>
      </text>
    </comment>
    <comment ref="F252" authorId="0">
      <text>
        <r>
          <rPr>
            <sz val="9"/>
            <color rgb="FF000000"/>
            <rFont val="Arial"/>
            <family val="2"/>
          </rPr>
          <t>NOC_history.csv | period_end_date=2026-06-30 | eps_gaap_consensus=6.82</t>
        </r>
      </text>
    </comment>
    <comment ref="G252" authorId="0">
      <text>
        <r>
          <rPr>
            <sz val="9"/>
            <color rgb="FF000000"/>
            <rFont val="Arial"/>
            <family val="2"/>
          </rPr>
          <t>NOC_history.csv | period_end_date=2026-06-30 | eps_gaap_actual=7.68</t>
        </r>
      </text>
    </comment>
    <comment ref="H252" authorId="0">
      <text>
        <r>
          <rPr>
            <sz val="9"/>
            <color rgb="FF000000"/>
            <rFont val="Arial"/>
            <family val="2"/>
          </rPr>
          <t>NOC_history.csv | period_end_date=2026-06-30 | revenue_m_consensus=10804.59</t>
        </r>
      </text>
    </comment>
    <comment ref="I252" authorId="0">
      <text>
        <r>
          <rPr>
            <sz val="9"/>
            <color rgb="FF000000"/>
            <rFont val="Arial"/>
            <family val="2"/>
          </rPr>
          <t>NOC_history.csv | period_end_date=2026-06-30 | revenue_m_actual=10876.0</t>
        </r>
      </text>
    </comment>
    <comment ref="C262" authorId="0">
      <text>
        <r>
          <rPr>
            <sz val="9"/>
            <color rgb="FF000000"/>
            <rFont val="Arial"/>
            <family val="2"/>
          </rPr>
          <t>NOC_consensus.json | analyst_count | 19</t>
        </r>
      </text>
    </comment>
    <comment ref="C263" authorId="0">
      <text>
        <r>
          <rPr>
            <sz val="9"/>
            <color rgb="FF000000"/>
            <rFont val="Arial"/>
            <family val="2"/>
          </rPr>
          <t>NOC_consensus.json | consensus_eps | 7.18</t>
        </r>
      </text>
    </comment>
    <comment ref="C265" authorId="0">
      <text>
        <r>
          <rPr>
            <sz val="9"/>
            <color rgb="FF000000"/>
            <rFont val="Arial"/>
            <family val="2"/>
          </rPr>
          <t>NOC_consensus.json | consensus_revenue_m | 11123.84</t>
        </r>
      </text>
    </comment>
    <comment ref="C285" authorId="0">
      <text>
        <r>
          <rPr>
            <sz val="9"/>
            <color rgb="FF000000"/>
            <rFont val="Arial"/>
            <family val="2"/>
          </rPr>
          <t>NOC_consensus.json | summary_row.eps_normalized_estimates | 19.0</t>
        </r>
      </text>
    </comment>
    <comment ref="C286" authorId="0">
      <text>
        <r>
          <rPr>
            <sz val="9"/>
            <color rgb="FF000000"/>
            <rFont val="Arial"/>
            <family val="2"/>
          </rPr>
          <t>NOC_consensus.json | summary_row.eps_normalized_contributors | 20.0</t>
        </r>
      </text>
    </comment>
    <comment ref="C288" authorId="0">
      <text>
        <r>
          <rPr>
            <sz val="9"/>
            <color rgb="FF000000"/>
            <rFont val="Arial"/>
            <family val="2"/>
          </rPr>
          <t>NOC_consensus.json | summary_row.eps_normalized_mean | 7.18</t>
        </r>
      </text>
    </comment>
    <comment ref="C289" authorId="0">
      <text>
        <r>
          <rPr>
            <sz val="9"/>
            <color rgb="FF000000"/>
            <rFont val="Arial"/>
            <family val="2"/>
          </rPr>
          <t>NOC_consensus.json | summary_row.eps_normalized_median | 7.22</t>
        </r>
      </text>
    </comment>
    <comment ref="C290" authorId="0">
      <text>
        <r>
          <rPr>
            <sz val="9"/>
            <color rgb="FF000000"/>
            <rFont val="Arial"/>
            <family val="2"/>
          </rPr>
          <t>NOC_consensus.json | summary_row.eps_normalized_high | 7.35</t>
        </r>
      </text>
    </comment>
    <comment ref="C291" authorId="0">
      <text>
        <r>
          <rPr>
            <sz val="9"/>
            <color rgb="FF000000"/>
            <rFont val="Arial"/>
            <family val="2"/>
          </rPr>
          <t>NOC_consensus.json | summary_row.eps_normalized_low | 6.93</t>
        </r>
      </text>
    </comment>
    <comment ref="C292" authorId="0">
      <text>
        <r>
          <rPr>
            <sz val="9"/>
            <color rgb="FF000000"/>
            <rFont val="Arial"/>
            <family val="2"/>
          </rPr>
          <t>NOC_consensus.json | summary_row.eps_normalized_std_dev | 0.11</t>
        </r>
      </text>
    </comment>
    <comment ref="C293" authorId="0">
      <text>
        <r>
          <rPr>
            <sz val="9"/>
            <color rgb="FF000000"/>
            <rFont val="Arial"/>
            <family val="2"/>
          </rPr>
          <t>NOC_consensus.json | summary_row.eps_normalized_n_est | 19.0</t>
        </r>
      </text>
    </comment>
    <comment ref="C297" authorId="0">
      <text>
        <r>
          <rPr>
            <sz val="9"/>
            <color rgb="FF000000"/>
            <rFont val="Arial"/>
            <family val="2"/>
          </rPr>
          <t>NOC_consensus.json | summary_row.eps_gaap_mean | 7.2</t>
        </r>
      </text>
    </comment>
    <comment ref="C298" authorId="0">
      <text>
        <r>
          <rPr>
            <sz val="9"/>
            <color rgb="FF000000"/>
            <rFont val="Arial"/>
            <family val="2"/>
          </rPr>
          <t>NOC_consensus.json | summary_row.eps_gaap_median | 7.21</t>
        </r>
      </text>
    </comment>
    <comment ref="C299" authorId="0">
      <text>
        <r>
          <rPr>
            <sz val="9"/>
            <color rgb="FF000000"/>
            <rFont val="Arial"/>
            <family val="2"/>
          </rPr>
          <t>NOC_consensus.json | summary_row.eps_gaap_high | 7.35</t>
        </r>
      </text>
    </comment>
    <comment ref="C300" authorId="0">
      <text>
        <r>
          <rPr>
            <sz val="9"/>
            <color rgb="FF000000"/>
            <rFont val="Arial"/>
            <family val="2"/>
          </rPr>
          <t>NOC_consensus.json | summary_row.eps_gaap_low | 6.94</t>
        </r>
      </text>
    </comment>
    <comment ref="C301" authorId="0">
      <text>
        <r>
          <rPr>
            <sz val="9"/>
            <color rgb="FF000000"/>
            <rFont val="Arial"/>
            <family val="2"/>
          </rPr>
          <t>NOC_consensus.json | summary_row.eps_gaap_std_dev | 0.1</t>
        </r>
      </text>
    </comment>
    <comment ref="C302" authorId="0">
      <text>
        <r>
          <rPr>
            <sz val="9"/>
            <color rgb="FF000000"/>
            <rFont val="Arial"/>
            <family val="2"/>
          </rPr>
          <t>NOC_consensus.json | summary_row.eps_gaap_n_est | 16.0</t>
        </r>
      </text>
    </comment>
    <comment ref="C306" authorId="0">
      <text>
        <r>
          <rPr>
            <sz val="9"/>
            <color rgb="FF000000"/>
            <rFont val="Arial"/>
            <family val="2"/>
          </rPr>
          <t>NOC_consensus.json | summary_row.revenue_mean | 11123.84</t>
        </r>
      </text>
    </comment>
    <comment ref="C307" authorId="0">
      <text>
        <r>
          <rPr>
            <sz val="9"/>
            <color rgb="FF000000"/>
            <rFont val="Arial"/>
            <family val="2"/>
          </rPr>
          <t>NOC_consensus.json | summary_row.revenue_median | 11165.33</t>
        </r>
      </text>
    </comment>
    <comment ref="C308" authorId="0">
      <text>
        <r>
          <rPr>
            <sz val="9"/>
            <color rgb="FF000000"/>
            <rFont val="Arial"/>
            <family val="2"/>
          </rPr>
          <t>NOC_consensus.json | summary_row.revenue_high | 11379.0</t>
        </r>
      </text>
    </comment>
    <comment ref="C309" authorId="0">
      <text>
        <r>
          <rPr>
            <sz val="9"/>
            <color rgb="FF000000"/>
            <rFont val="Arial"/>
            <family val="2"/>
          </rPr>
          <t>NOC_consensus.json | summary_row.revenue_low | 10883.0</t>
        </r>
      </text>
    </comment>
    <comment ref="C310" authorId="0">
      <text>
        <r>
          <rPr>
            <sz val="9"/>
            <color rgb="FF000000"/>
            <rFont val="Arial"/>
            <family val="2"/>
          </rPr>
          <t>NOC_consensus.json | summary_row.revenue_std_dev | 118.39</t>
        </r>
      </text>
    </comment>
    <comment ref="C311" authorId="0">
      <text>
        <r>
          <rPr>
            <sz val="9"/>
            <color rgb="FF000000"/>
            <rFont val="Arial"/>
            <family val="2"/>
          </rPr>
          <t>NOC_consensus.json | summary_row.revenue_n_est | 20.0</t>
        </r>
      </text>
    </comment>
    <comment ref="C313" authorId="0">
      <text>
        <r>
          <rPr>
            <sz val="9"/>
            <color rgb="FF000000"/>
            <rFont val="Arial"/>
            <family val="2"/>
          </rPr>
          <t>NOC_consensus.json | summary_row.revenue_guidance_low | 10839.92</t>
        </r>
      </text>
    </comment>
    <comment ref="C314" authorId="0">
      <text>
        <r>
          <rPr>
            <sz val="9"/>
            <color rgb="FF000000"/>
            <rFont val="Arial"/>
            <family val="2"/>
          </rPr>
          <t>NOC_consensus.json | summary_row.revenue_guidance_high | 11361.07</t>
        </r>
      </text>
    </comment>
    <comment ref="C315" authorId="0">
      <text>
        <r>
          <rPr>
            <sz val="9"/>
            <color rgb="FF000000"/>
            <rFont val="Arial"/>
            <family val="2"/>
          </rPr>
          <t>NOC_consensus.json | summary_row.ebitda | 1598.1</t>
        </r>
      </text>
    </comment>
    <comment ref="C316" authorId="0">
      <text>
        <r>
          <rPr>
            <sz val="9"/>
            <color rgb="FF000000"/>
            <rFont val="Arial"/>
            <family val="2"/>
          </rPr>
          <t>NOC_consensus.json | summary_row.ebit | 1202.95</t>
        </r>
      </text>
    </comment>
    <comment ref="C317" authorId="0">
      <text>
        <r>
          <rPr>
            <sz val="9"/>
            <color rgb="FF000000"/>
            <rFont val="Arial"/>
            <family val="2"/>
          </rPr>
          <t>NOC_consensus.json | summary_row.ebt_excl_excep | 1248.25</t>
        </r>
      </text>
    </comment>
    <comment ref="C318" authorId="0">
      <text>
        <r>
          <rPr>
            <sz val="9"/>
            <color rgb="FF000000"/>
            <rFont val="Arial"/>
            <family val="2"/>
          </rPr>
          <t>NOC_consensus.json | summary_row.ebt_gaap | 1246.56</t>
        </r>
      </text>
    </comment>
    <comment ref="C319" authorId="0">
      <text>
        <r>
          <rPr>
            <sz val="9"/>
            <color rgb="FF000000"/>
            <rFont val="Arial"/>
            <family val="2"/>
          </rPr>
          <t>NOC_consensus.json | summary_row.net_income_excl_excep | 1023.27</t>
        </r>
      </text>
    </comment>
    <comment ref="C320" authorId="0">
      <text>
        <r>
          <rPr>
            <sz val="9"/>
            <color rgb="FF000000"/>
            <rFont val="Arial"/>
            <family val="2"/>
          </rPr>
          <t>NOC_consensus.json | summary_row.net_income_gaap | 1023.14</t>
        </r>
      </text>
    </comment>
    <comment ref="C323" authorId="0">
      <text>
        <r>
          <rPr>
            <sz val="9"/>
            <color rgb="FF000000"/>
            <rFont val="Arial"/>
            <family val="2"/>
          </rPr>
          <t>NOC_consensus.json | summary_row.d_and_a | 395.0</t>
        </r>
      </text>
    </comment>
    <comment ref="C327" authorId="0">
      <text>
        <r>
          <rPr>
            <sz val="9"/>
            <color rgb="FF000000"/>
            <rFont val="Arial"/>
            <family val="2"/>
          </rPr>
          <t>NOC_consensus.json | summary_row.interest_expense | -150.64</t>
        </r>
      </text>
    </comment>
    <comment ref="C328" authorId="0">
      <text>
        <r>
          <rPr>
            <sz val="9"/>
            <color rgb="FF000000"/>
            <rFont val="Arial"/>
            <family val="2"/>
          </rPr>
          <t>NOC_consensus.json | summary_row.net_debt | 10854.36</t>
        </r>
      </text>
    </comment>
    <comment ref="C331" authorId="0">
      <text>
        <r>
          <rPr>
            <sz val="9"/>
            <color rgb="FF000000"/>
            <rFont val="Arial"/>
            <family val="2"/>
          </rPr>
          <t>NOC_consensus.json | summary_row.target_price_mean | 619.08</t>
        </r>
      </text>
    </comment>
    <comment ref="C332" authorId="0">
      <text>
        <r>
          <rPr>
            <sz val="9"/>
            <color rgb="FF000000"/>
            <rFont val="Arial"/>
            <family val="2"/>
          </rPr>
          <t>NOC_consensus.json | summary_row.target_price_median | 602.5</t>
        </r>
      </text>
    </comment>
    <comment ref="C333" authorId="0">
      <text>
        <r>
          <rPr>
            <sz val="9"/>
            <color rgb="FF000000"/>
            <rFont val="Arial"/>
            <family val="2"/>
          </rPr>
          <t>NOC_consensus.json | summary_row.target_price_high | 815.0</t>
        </r>
      </text>
    </comment>
    <comment ref="C334" authorId="0">
      <text>
        <r>
          <rPr>
            <sz val="9"/>
            <color rgb="FF000000"/>
            <rFont val="Arial"/>
            <family val="2"/>
          </rPr>
          <t>NOC_consensus.json | summary_row.target_price_low | 419.0</t>
        </r>
      </text>
    </comment>
    <comment ref="C335" authorId="0">
      <text>
        <r>
          <rPr>
            <sz val="9"/>
            <color rgb="FF000000"/>
            <rFont val="Arial"/>
            <family val="2"/>
          </rPr>
          <t>NOC_consensus.json | summary_row.target_price_std_dev | 89.57</t>
        </r>
      </text>
    </comment>
    <comment ref="C336" authorId="0">
      <text>
        <r>
          <rPr>
            <sz val="9"/>
            <color rgb="FF000000"/>
            <rFont val="Arial"/>
            <family val="2"/>
          </rPr>
          <t>NOC_consensus.json | summary_row.target_price_n_est | 24.0</t>
        </r>
      </text>
    </comment>
    <comment ref="C338" authorId="0">
      <text>
        <r>
          <rPr>
            <sz val="9"/>
            <color rgb="FF000000"/>
            <rFont val="Arial"/>
            <family val="2"/>
          </rPr>
          <t>NOC_consensus.json | summary_row.recommendation_score | 2.08</t>
        </r>
      </text>
    </comment>
    <comment ref="C339" authorId="0">
      <text>
        <r>
          <rPr>
            <sz val="9"/>
            <color rgb="FF000000"/>
            <rFont val="Arial"/>
            <family val="2"/>
          </rPr>
          <t>NOC_consensus.json | summary_row.last_close_price | 519.86</t>
        </r>
      </text>
    </comment>
  </commentList>
</comments>
</file>

<file path=xl/sharedStrings.xml><?xml version="1.0" encoding="utf-8"?>
<sst xmlns="http://schemas.openxmlformats.org/spreadsheetml/2006/main" count="1048" uniqueCount="1048">
  <si>
    <t>Company Model — built by Shortcut</t>
  </si>
  <si>
    <t>Northrop Grumman Corporation (NYSE: NOC)</t>
  </si>
  <si>
    <t>Cover: 3Q26E earnings forecast (quarter ended 30-Sep-2026)</t>
  </si>
  <si>
    <t>$ millions, except per share</t>
  </si>
  <si>
    <t>Period</t>
  </si>
  <si>
    <t>3Q26E</t>
  </si>
  <si>
    <t>Notes / sources</t>
  </si>
  <si>
    <t>Period end</t>
  </si>
  <si>
    <t>Days in period</t>
  </si>
  <si>
    <t>Company</t>
  </si>
  <si>
    <t>Northrop Grumman Corporation</t>
  </si>
  <si>
    <t>Ticker / exchange</t>
  </si>
  <si>
    <t>NOC / New York Stock Exchange (NYSE:NOC)</t>
  </si>
  <si>
    <t>Fiscal year end</t>
  </si>
  <si>
    <t>31-Dec (calendar quarters). FQ3 2026 - Sep 2026 = quarter ended 2026-09-30 (labels preserved)</t>
  </si>
  <si>
    <t>Reporting currency</t>
  </si>
  <si>
    <t>USD; amounts in $ millions; EPS in USD per diluted common share</t>
  </si>
  <si>
    <t>EPS basis (scored)</t>
  </si>
  <si>
    <t>MTM-adjusted diluted EPS = CapIQ normalized diluted EPS (pension MTM excluded; equals GAAP outside Q4)</t>
  </si>
  <si>
    <t>Information cutoff</t>
  </si>
  <si>
    <t>2026-10-18 21:34:46 UTC</t>
  </si>
  <si>
    <t>Expected report date</t>
  </si>
  <si>
    <t>2026-10-20, before market open (issuer release 17-Sep-2026, S03)</t>
  </si>
  <si>
    <t>CapIQ expected date (raw snapshot)</t>
  </si>
  <si>
    <t>2026-10-29 (retained as supplied; issuer date governs)</t>
  </si>
  <si>
    <t>Consensus capture</t>
  </si>
  <si>
    <t>S&amp;P Capital IQ, 2026-10-18 (date precision); 19 normalized EPS estimates</t>
  </si>
  <si>
    <t>Author</t>
  </si>
  <si>
    <t>Shortcut (Company Model — built by Shortcut)</t>
  </si>
  <si>
    <t>Headline table: 3Q26E</t>
  </si>
  <si>
    <t>Shortcut estimate</t>
  </si>
  <si>
    <t>Consensus (CapIQ cutoff)</t>
  </si>
  <si>
    <t>Variance</t>
  </si>
  <si>
    <t>Variance %</t>
  </si>
  <si>
    <t>Guidance midpoint</t>
  </si>
  <si>
    <t>Est. vs guidance</t>
  </si>
  <si>
    <t>Revenue ($m)</t>
  </si>
  <si>
    <t>Net income, MTM-adjusted ($m)</t>
  </si>
  <si>
    <t>n/a</t>
  </si>
  <si>
    <t>Net income, GAAP ($m)</t>
  </si>
  <si>
    <t>EPS, MTM-adjusted diluted ($) - scored basis</t>
  </si>
  <si>
    <t>EPS, GAAP diluted ($)</t>
  </si>
  <si>
    <t>Overall check result (structural check rows)</t>
  </si>
  <si>
    <t>PASS</t>
  </si>
  <si>
    <t>Structural/arithmetic checks only (not independent financial validation): 31 inline check rows plus Cover tie-out (row 61). Test = sum of absolute values across each row's populated cells &lt; 0.5 (not each cell); any error/text in a referenced cell fails. 3Q26E (H) cells of IS row 109 and CF rows 125/126 are identities by construction (G&amp;A derived, cash linked) and are excluded; their historical C:G checks are retained. IS H28 (service = total - product) is also definitional in 3Q26E and is retained in the aggregate.</t>
  </si>
  <si>
    <t>P(beat consensus EPS)</t>
  </si>
  <si>
    <t>Confidence</t>
  </si>
  <si>
    <t>low</t>
  </si>
  <si>
    <t>Low: estimate sits only +$0.04 above consensus (c.0.4 s.d. of the CapIQ range) and recent quarters carried large unfavourable EACs</t>
  </si>
  <si>
    <t>Beat-probability calibration (playbook v2: size and issuer history)</t>
  </si>
  <si>
    <t>Shares outstanding at 16-Jul-2026 (m)</t>
  </si>
  <si>
    <t>10-Q cover (S05): 142,063,026 shares</t>
  </si>
  <si>
    <t>Last close 16-Oct-2026 ($, CapIQ last_close_price)</t>
  </si>
  <si>
    <t>Market capitalisation ($bn)</t>
  </si>
  <si>
    <t>Last close x shares; cross-check $74.8bn at 21-Sep-2026 (S15)</t>
  </si>
  <si>
    <t>Cross-check market cap 21-Sep-2026 ($bn, S15)</t>
  </si>
  <si>
    <t>Size bucket (small $0.3-2bn / mid $2-10bn / large &gt;$10bn)</t>
  </si>
  <si>
    <t>Large</t>
  </si>
  <si>
    <t>S&amp;P 500 member</t>
  </si>
  <si>
    <t>Yes</t>
  </si>
  <si>
    <t>whichindex.com constituent list as of 2026-10-02 (S16); slickcharts SPY holdings</t>
  </si>
  <si>
    <t>Playbook cohort prior: large-cap or S&amp;P 500</t>
  </si>
  <si>
    <t>Playbook cohort prior: mid-cap</t>
  </si>
  <si>
    <t>Playbook cohort prior: small-cap</t>
  </si>
  <si>
    <t>Cohort prior (applied once)</t>
  </si>
  <si>
    <t>b: strict beats in six CapIQ normalized EPS pairs</t>
  </si>
  <si>
    <t>n: valid pairs</t>
  </si>
  <si>
    <t>All six pairs kept: same CapIQ normalized basis; 1Q25 (B-21 charge) and 2Q25 (divestiture gain) retained as reported</t>
  </si>
  <si>
    <t>Pseudo-count (fixed)</t>
  </si>
  <si>
    <t>Starting probability = (8 x prior + b) / (8 + n)</t>
  </si>
  <si>
    <t>Quarter-specific evidence adjustment (pp)</t>
  </si>
  <si>
    <t>-14pp: 2Q26 beat was tax-driven (UTP release); repeated 1H26 unfavourable EACs (GEM 63XL, SiAW); model EPS only +$0.04 vs consensus</t>
  </si>
  <si>
    <t>Final probability (rounded to 1pp)</t>
  </si>
  <si>
    <t>Average historical surprise, six quarters ($/share)</t>
  </si>
  <si>
    <t>Seasonal comparable: 3Q25 surprise ($/share)</t>
  </si>
  <si>
    <t>Newer consensus observed (recorded separately; not the scoring baseline)</t>
  </si>
  <si>
    <t>Benzinga 14-Oct-2026: EPS ($)</t>
  </si>
  <si>
    <t>S18</t>
  </si>
  <si>
    <t>Benzinga 14-Oct-2026: revenue ($m)</t>
  </si>
  <si>
    <t>S18 ($11.12bn)</t>
  </si>
  <si>
    <t>Key 3Q26E drivers</t>
  </si>
  <si>
    <t>Total sales growth Y/Y</t>
  </si>
  <si>
    <t>Segment operating margin rate</t>
  </si>
  <si>
    <t>Effective tax rate</t>
  </si>
  <si>
    <t>Diluted shares (m)</t>
  </si>
  <si>
    <t>Check: Cover headline - statements (sum of abs. differences)</t>
  </si>
  <si>
    <t>Revenue summary: segment sales, mix and growth decomposition</t>
  </si>
  <si>
    <t>3Q25A</t>
  </si>
  <si>
    <t>4Q25A</t>
  </si>
  <si>
    <t>FY25A</t>
  </si>
  <si>
    <t>1Q26A</t>
  </si>
  <si>
    <t>2Q26A</t>
  </si>
  <si>
    <t>Sales by segment ($m)</t>
  </si>
  <si>
    <t>Aeronautics Systems</t>
  </si>
  <si>
    <t>Linked from Segment - Aeronautics Systems</t>
  </si>
  <si>
    <t>Defense Systems</t>
  </si>
  <si>
    <t>Linked from Segment - Defense Systems</t>
  </si>
  <si>
    <t>Mission Systems</t>
  </si>
  <si>
    <t>Linked from Segment - Mission Systems</t>
  </si>
  <si>
    <t>Space Systems</t>
  </si>
  <si>
    <t>Linked from Segment - Space Systems</t>
  </si>
  <si>
    <t>Intersegment eliminations</t>
  </si>
  <si>
    <t>Equals minus the sum of segment intersegment sales (segment tabs)</t>
  </si>
  <si>
    <t>Total sales</t>
  </si>
  <si>
    <t>Reported total sales (issuer)</t>
  </si>
  <si>
    <t>Consolidated statements of earnings (S11, S09, S07, S04)</t>
  </si>
  <si>
    <t>Check: segments sum to reported total</t>
  </si>
  <si>
    <t>CapIQ reported revenue (NOC_history.csv)</t>
  </si>
  <si>
    <t>Formula link to Inputs CapIQ history rows (revenue_m_actual)</t>
  </si>
  <si>
    <t>Check: model total - CapIQ reported revenue</t>
  </si>
  <si>
    <t>Growth and mix by line</t>
  </si>
  <si>
    <t>% Y/Y</t>
  </si>
  <si>
    <t>% Q/Q</t>
  </si>
  <si>
    <t>% of total sales</t>
  </si>
  <si>
    <t>Y/Y change (bps)</t>
  </si>
  <si>
    <t>Q/Q change (bps)</t>
  </si>
  <si>
    <t>Organic growth (issuer definition)</t>
  </si>
  <si>
    <t>M&amp;A / divestiture (scope) impact</t>
  </si>
  <si>
    <t>FX impact (not disclosed: n/a)</t>
  </si>
  <si>
    <t>Growth, no scope change (model; not issuer organic)</t>
  </si>
  <si>
    <t>Issuer discloses organic sales only for segment/total sales: history n/a (not computed). 3Q26E = model reported Y/Y growth (% Y/Y, row 59), assuming no scope change; not an issuer organic figure.</t>
  </si>
  <si>
    <t>Divested training services sales (total company)</t>
  </si>
  <si>
    <t>Organic sales reconciliation (S11, S09, S07, S04): total sales less training services sales</t>
  </si>
  <si>
    <t>Sales by customer type - total company ($m)</t>
  </si>
  <si>
    <t>U.S. government</t>
  </si>
  <si>
    <t>Issuer discloses organic sales only for segment/total sales: history n/a (not computed). 3Q26E = model reported Y/Y growth (% Y/Y, row 80), assuming no scope change; not an issuer organic figure.</t>
  </si>
  <si>
    <t>U.S. government % of total sales</t>
  </si>
  <si>
    <t>International</t>
  </si>
  <si>
    <t>Issuer discloses organic sales only for segment/total sales: history n/a (not computed). 3Q26E = model reported Y/Y growth (% Y/Y, row 89), assuming no scope change; not an issuer organic figure.</t>
  </si>
  <si>
    <t>International % of total sales</t>
  </si>
  <si>
    <t>Other customers</t>
  </si>
  <si>
    <t>Issuer discloses organic sales only for segment/total sales: history n/a (not computed). 3Q26E = model reported Y/Y growth (% Y/Y, row 98), assuming no scope change; not an issuer organic figure.</t>
  </si>
  <si>
    <t>Other customers % of total sales</t>
  </si>
  <si>
    <t>Check: customer types - total sales</t>
  </si>
  <si>
    <t>Sales by contract type - total company ($m)</t>
  </si>
  <si>
    <t>Cost-type</t>
  </si>
  <si>
    <t>Issuer discloses organic sales only for segment/total sales: history n/a (not computed). 3Q26E = model reported Y/Y growth (% Y/Y, row 110), assuming no scope change; not an issuer organic figure.</t>
  </si>
  <si>
    <t>Cost-type % of total sales</t>
  </si>
  <si>
    <t>Fixed-price</t>
  </si>
  <si>
    <t>Issuer discloses organic sales only for segment/total sales: history n/a (not computed). 3Q26E = model reported Y/Y growth (% Y/Y, row 119), assuming no scope change; not an issuer organic figure.</t>
  </si>
  <si>
    <t>Fixed-price % of total sales</t>
  </si>
  <si>
    <t>Check: contract types - total sales</t>
  </si>
  <si>
    <t>Backlog - total company ($m)</t>
  </si>
  <si>
    <t>Opening total backlog</t>
  </si>
  <si>
    <t>Q/Q change ($m)</t>
  </si>
  <si>
    <t>Net awards</t>
  </si>
  <si>
    <t>Closing total backlog</t>
  </si>
  <si>
    <t>Funded backlog</t>
  </si>
  <si>
    <t>Book-to-bill (net awards / segment sales)</t>
  </si>
  <si>
    <t>Y/Y change (x)</t>
  </si>
  <si>
    <t>Q/Q change (x)</t>
  </si>
  <si>
    <t>Geography: issuer discloses U.S., Asia/Pacific, Europe and Other regions - see Geo tab (U.S. c.86% of sales)</t>
  </si>
  <si>
    <t>Segment - Aeronautics Systems: backlog-driven sales build</t>
  </si>
  <si>
    <t>Backlog ladder ($m)</t>
  </si>
  <si>
    <t>Prior period-end backlog; 3Q25 opening = Jun-30-2025 (S13); FY25 opening = Dec-31-2024 (S09)</t>
  </si>
  <si>
    <t>Net awards (derived: closing - opening + sales)</t>
  </si>
  <si>
    <t>Issuer reports net awards; derived from reported backlog roll. 3Q26E = sales x book-to-bill assumption</t>
  </si>
  <si>
    <t>Less: sales recognised from backlog</t>
  </si>
  <si>
    <t>Net change in backlog</t>
  </si>
  <si>
    <t>Reported backlog by segment (earnings release backlog table); 3Q26E rolled forward</t>
  </si>
  <si>
    <t>Average backlog</t>
  </si>
  <si>
    <t>Funded backlog (closing)</t>
  </si>
  <si>
    <t>Funded = firm orders with authorised and appropriated funding; not forecast for 3Q26E</t>
  </si>
  <si>
    <t>Unfunded backlog (closing)</t>
  </si>
  <si>
    <t>Funded backlog % of total</t>
  </si>
  <si>
    <t>Backlog-driven drivers</t>
  </si>
  <si>
    <t>Backlog conversion rate (sales / opening backlog)</t>
  </si>
  <si>
    <t>KEY DRIVER. 3Q26E assumption (blue) set from 1Q26-2Q26 run-rate and FY26 segment sales guidance (Guidance tab)</t>
  </si>
  <si>
    <t>Book-to-bill (net awards / sales)</t>
  </si>
  <si>
    <t>3Q26E assumption 1.0x (no award guidance); affects closing backlog only, not P&amp;L</t>
  </si>
  <si>
    <t>Backlog coverage (closing backlog / quarterly sales)</t>
  </si>
  <si>
    <t>Quarterly columns only (blank for FY)</t>
  </si>
  <si>
    <t>Sales build ($m)</t>
  </si>
  <si>
    <t>Aeronautics Systems sales</t>
  </si>
  <si>
    <t>Reported segment sales (S11, S09, S07, S04). 3Q26E = opening backlog x conversion rate</t>
  </si>
  <si>
    <t>Divested training services sales in segment</t>
  </si>
  <si>
    <t>No divestiture/acquisition in this segment; issuer organic definition excludes only DS training services</t>
  </si>
  <si>
    <t>Organic growth (issuer definition: excl. divested training services)</t>
  </si>
  <si>
    <t>Not disclosed by issuer; FX is embedded in issuer organic growth, so organic = (1+Y/Y)/((1+M&amp;A)*(1+FX))-1 cannot separate FX</t>
  </si>
  <si>
    <t>Intersegment sales % of segment sales</t>
  </si>
  <si>
    <t>3Q26E assumption (blue); drives intersegment eliminations</t>
  </si>
  <si>
    <t>Intersegment sales</t>
  </si>
  <si>
    <t>Sales by customer type table, 10-Q/10-K segment note</t>
  </si>
  <si>
    <t>Issuer discloses organic sales only for segment/total sales. This row = reported Y/Y growth (% Y/Y, row 60); no divestiture/scope change in this segment; not an issuer organic figure.</t>
  </si>
  <si>
    <t>No acquisitions/divestitures in this scope (issuer organic definition excludes only DS training services): M&amp;A = 0</t>
  </si>
  <si>
    <t>External sales (segment sales less intersegment)</t>
  </si>
  <si>
    <t>Issuer discloses organic sales only for segment/total sales. This row = reported Y/Y growth (% Y/Y, row 66); no divestiture/scope change in this segment; not an issuer organic figure.</t>
  </si>
  <si>
    <t>Sales by customer type ($m)</t>
  </si>
  <si>
    <t>Sales by customer type, segment note (S12/S10/S08/S05); 3Q26E mix = avg 1Q26-2Q26, U.S. gov = residual</t>
  </si>
  <si>
    <t>Issuer discloses organic sales only for segment/total sales. This row = reported Y/Y growth (% Y/Y, row 74); no divestiture/scope change in this segment; not an issuer organic figure.</t>
  </si>
  <si>
    <t>Issuer discloses organic sales only for segment/total sales. This row = reported Y/Y growth (% Y/Y, row 80); no divestiture/scope change in this segment; not an issuer organic figure.</t>
  </si>
  <si>
    <t>Issuer discloses organic sales only for segment/total sales. This row = reported Y/Y growth (% Y/Y, row 86); no divestiture/scope change in this segment; not an issuer organic figure.</t>
  </si>
  <si>
    <t>External sales (sum of components)</t>
  </si>
  <si>
    <t>Check: components - external sales</t>
  </si>
  <si>
    <t>U.S. government % of external sales</t>
  </si>
  <si>
    <t>International % of external sales</t>
  </si>
  <si>
    <t>Other customers % of external sales</t>
  </si>
  <si>
    <t>Sales by contract type ($m)</t>
  </si>
  <si>
    <t>Sales by contract type, segment note; 3Q26E cost-type mix = avg 1Q26-2Q26, fixed-price = residual</t>
  </si>
  <si>
    <t>Issuer discloses organic sales only for segment/total sales. This row = reported Y/Y growth (% Y/Y, row 105); no divestiture/scope change in this segment; not an issuer organic figure.</t>
  </si>
  <si>
    <t>Issuer discloses organic sales only for segment/total sales. This row = reported Y/Y growth (% Y/Y, row 111); no divestiture/scope change in this segment; not an issuer organic figure.</t>
  </si>
  <si>
    <t>Cost-type % of external sales</t>
  </si>
  <si>
    <t>Fixed-price % of external sales</t>
  </si>
  <si>
    <t>Sales by geography ($m)</t>
  </si>
  <si>
    <t>United States</t>
  </si>
  <si>
    <t>Sales by geographic region, segment note; 3Q26E mix = avg 1Q26-2Q26, U.S. = residual</t>
  </si>
  <si>
    <t>Issuer discloses organic sales only for segment/total sales. This row = reported Y/Y growth (% Y/Y, row 127); no divestiture/scope change in this segment; not an issuer organic figure.</t>
  </si>
  <si>
    <t>Asia/Pacific</t>
  </si>
  <si>
    <t>Issuer discloses organic sales only for segment/total sales. This row = reported Y/Y growth (% Y/Y, row 133); no divestiture/scope change in this segment; not an issuer organic figure.</t>
  </si>
  <si>
    <t>Europe</t>
  </si>
  <si>
    <t>Issuer discloses organic sales only for segment/total sales. This row = reported Y/Y growth (% Y/Y, row 139); no divestiture/scope change in this segment; not an issuer organic figure.</t>
  </si>
  <si>
    <t>Other regions (principally Middle East)</t>
  </si>
  <si>
    <t>Issuer discloses organic sales only for segment/total sales. This row = reported Y/Y growth (% Y/Y, row 145); no divestiture/scope change in this segment; not an issuer organic figure.</t>
  </si>
  <si>
    <t>United States % of external sales</t>
  </si>
  <si>
    <t>Asia/Pacific % of external sales</t>
  </si>
  <si>
    <t>Europe % of external sales</t>
  </si>
  <si>
    <t>Other regions (principally Middle East) % of external sales</t>
  </si>
  <si>
    <t>Segment profitability ($m)</t>
  </si>
  <si>
    <t>3Q26E assumption (blue): FY26 OM guidance (Guidance tab) less 1H26 actual implies 2H26 rate</t>
  </si>
  <si>
    <t>Aeronautics Systems operating income</t>
  </si>
  <si>
    <t>Reported segment operating income (S11, S09, S07, S04)</t>
  </si>
  <si>
    <t>Net EAC adjustments (in operating income)</t>
  </si>
  <si>
    <t>Net EAC adjustments by segment, MD&amp;A (S12, S10, S08, S05). Not forecast separately: embedded in 3Q26E margin assumption</t>
  </si>
  <si>
    <t>Net EAC adjustments % of sales</t>
  </si>
  <si>
    <t>Operating income excl. net EAC adjustments</t>
  </si>
  <si>
    <t>Operating margin excl. net EAC adjustments</t>
  </si>
  <si>
    <t>Segment investment ($m)</t>
  </si>
  <si>
    <t>Depreciation and amortisation</t>
  </si>
  <si>
    <t>Capex and D&amp;A by segment, segment note. Not forecast at segment level (company total on Cash Flow Statement)</t>
  </si>
  <si>
    <t>Capital expenditures</t>
  </si>
  <si>
    <t>Capex % of segment sales</t>
  </si>
  <si>
    <t>Segment - Defense Systems: backlog-driven sales build</t>
  </si>
  <si>
    <t>Defense Systems sales</t>
  </si>
  <si>
    <t>Training services (IMS) divested 24-May-2025; organic-sales reconciliation tables S11/S09/S07/S04</t>
  </si>
  <si>
    <t>Issuer discloses organic sales only for segment/total sales: history n/a (not computed). 3Q26E = model reported Y/Y growth (% Y/Y, row 60), assuming no scope change; not an issuer organic figure.</t>
  </si>
  <si>
    <t>Issuer discloses organic sales only for segment/total sales: history n/a (not computed). 3Q26E = model reported Y/Y growth (% Y/Y, row 66), assuming no scope change; not an issuer organic figure.</t>
  </si>
  <si>
    <t>Issuer discloses organic sales only for segment/total sales: history n/a (not computed). 3Q26E = model reported Y/Y growth (% Y/Y, row 74), assuming no scope change; not an issuer organic figure.</t>
  </si>
  <si>
    <t>Issuer discloses organic sales only for segment/total sales: history n/a (not computed). 3Q26E = model reported Y/Y growth (% Y/Y, row 86), assuming no scope change; not an issuer organic figure.</t>
  </si>
  <si>
    <t>Issuer discloses organic sales only for segment/total sales: history n/a (not computed). 3Q26E = model reported Y/Y growth (% Y/Y, row 105), assuming no scope change; not an issuer organic figure.</t>
  </si>
  <si>
    <t>Issuer discloses organic sales only for segment/total sales: history n/a (not computed). 3Q26E = model reported Y/Y growth (% Y/Y, row 111), assuming no scope change; not an issuer organic figure.</t>
  </si>
  <si>
    <t>Issuer discloses organic sales only for segment/total sales: history n/a (not computed). 3Q26E = model reported Y/Y growth (% Y/Y, row 127), assuming no scope change; not an issuer organic figure.</t>
  </si>
  <si>
    <t>Issuer discloses organic sales only for segment/total sales: history n/a (not computed). 3Q26E = model reported Y/Y growth (% Y/Y, row 133), assuming no scope change; not an issuer organic figure.</t>
  </si>
  <si>
    <t>Issuer discloses organic sales only for segment/total sales: history n/a (not computed). 3Q26E = model reported Y/Y growth (% Y/Y, row 139), assuming no scope change; not an issuer organic figure.</t>
  </si>
  <si>
    <t>Issuer discloses organic sales only for segment/total sales: history n/a (not computed). 3Q26E = model reported Y/Y growth (% Y/Y, row 145), assuming no scope change; not an issuer organic figure.</t>
  </si>
  <si>
    <t>Defense Systems operating income</t>
  </si>
  <si>
    <t>Segment - Mission Systems: backlog-driven sales build</t>
  </si>
  <si>
    <t>Mission Systems sales</t>
  </si>
  <si>
    <t>Mission Systems operating income</t>
  </si>
  <si>
    <t>Segment - Space Systems: backlog-driven sales build</t>
  </si>
  <si>
    <t>Space Systems sales</t>
  </si>
  <si>
    <t>Space Systems operating income</t>
  </si>
  <si>
    <t>Income statement: GAAP to MTM-adjusted (consensus-basis) EPS</t>
  </si>
  <si>
    <t>Sales ($m)</t>
  </si>
  <si>
    <t>Product sales</t>
  </si>
  <si>
    <t>Statements of earnings (S11, S09 FY, S07, S04); 4Q25 = FY25 - 9M25. 3Q26E = total sales x product mix</t>
  </si>
  <si>
    <t>Issuer discloses organic sales only for segment/total sales: history n/a (not computed). 3Q26E = model reported Y/Y growth (% Y/Y, row 11), assuming no scope change; not an issuer organic figure.</t>
  </si>
  <si>
    <t>Service sales</t>
  </si>
  <si>
    <t>3Q26E = total sales - product sales</t>
  </si>
  <si>
    <t>Issuer discloses organic sales only for segment/total sales: history n/a (not computed). 3Q26E = model reported Y/Y growth (% Y/Y, row 17), assuming no scope change; not an issuer organic figure.</t>
  </si>
  <si>
    <t>Linked from Revenue summary (segment build)</t>
  </si>
  <si>
    <t>Linked from Revenue summary total-sales decomposition</t>
  </si>
  <si>
    <t>Check: product + service - total sales</t>
  </si>
  <si>
    <t>Product sales % of total sales</t>
  </si>
  <si>
    <t>3Q26E assumption = 2Q26 mix</t>
  </si>
  <si>
    <t>Operating costs and expenses ($m)</t>
  </si>
  <si>
    <t>Product costs</t>
  </si>
  <si>
    <t>Product cost % of product sales</t>
  </si>
  <si>
    <t>3Q26E assumption = average 1Q26-2Q26</t>
  </si>
  <si>
    <t>Service costs</t>
  </si>
  <si>
    <t>Service cost % of service sales</t>
  </si>
  <si>
    <t>General and administrative expenses</t>
  </si>
  <si>
    <t>3Q26E G&amp;A derived so the cost build reconciles to the segment-build operating income below</t>
  </si>
  <si>
    <t>G&amp;A % of sales</t>
  </si>
  <si>
    <t>3Q26E G&amp;A % of sales (H49) is an output of the derived G&amp;A in H46, not an assumption; compare 1Q26/2Q26 actuals in F49:G49. No expense allocation retuned.</t>
  </si>
  <si>
    <t>Total operating costs and expenses</t>
  </si>
  <si>
    <t>Gain on sale of business</t>
  </si>
  <si>
    <t>Training services divestiture gain (2Q25); none expected in 3Q26E</t>
  </si>
  <si>
    <t>Y/Y change ($m)</t>
  </si>
  <si>
    <t>Operating income (cost build)</t>
  </si>
  <si>
    <t>Gross profit (derived; issuer does not report gross profit)</t>
  </si>
  <si>
    <t>Gross profit (sales - product and service costs)</t>
  </si>
  <si>
    <t>Gross margin</t>
  </si>
  <si>
    <t>Segment operating income reconciliation ($m)</t>
  </si>
  <si>
    <t>Consolidated operating results tables (S11, S09, S07, S04); 3Q26E = elimination sales x margin rate</t>
  </si>
  <si>
    <t>Intersegment elimination operating margin rate</t>
  </si>
  <si>
    <t>3Q26E assumption: mid-13% per FY26 guidance (Guidance tab)</t>
  </si>
  <si>
    <t>Segment operating income (non-GAAP)</t>
  </si>
  <si>
    <t>FAS/CAS operating adjustment</t>
  </si>
  <si>
    <t>3Q26E = (FY26 guided $35m [CAS $245m - FAS service $210m] - 1H26 actual) / 2 (S25)</t>
  </si>
  <si>
    <t>Unallocated corporate (expense) income:</t>
  </si>
  <si>
    <t>Training services divestiture - unallowable state taxes and costs</t>
  </si>
  <si>
    <t>Divestiture-related; nil after 2025</t>
  </si>
  <si>
    <t>Intangible asset amortisation and PP&amp;E step-up depreciation</t>
  </si>
  <si>
    <t>3Q26E assumption = 2Q26 run-rate</t>
  </si>
  <si>
    <t>MTM-related deferred state tax expense</t>
  </si>
  <si>
    <t>Arises only with the annual Q4 MTM remeasurement (issuer policy); nil in 3Q26E</t>
  </si>
  <si>
    <t>Other unallocated corporate expense</t>
  </si>
  <si>
    <t>3Q26E assumption = average of last four quarters. Sources: 3Q25 other -81 / training 0 (S11); 4Q25 other -58 / training 0 (S09); FY25 other -223 / training -20 (S09). Summed 2025 quarters give other -224, $1m MORE negative than FY -223, and training -19 vs FY -20; net 0. Unreconciled source precision/non-additivity; cause not known; source values retained.</t>
  </si>
  <si>
    <t>Unallocated corporate (expense) income</t>
  </si>
  <si>
    <t>Operating income (GAAP)</t>
  </si>
  <si>
    <t>issuer_defined_ebitda: not applicable - NOC does not define/report EBITDA in the cached releases/filings (S04-S14); no issuer figure is fabricated. This row is GAAP operating income (EBIT basis). CapIQ EBITDA consensus 1,598.1 (Inputs!C315) is CapIQ-defined, not issuer-defined; CapIQ EBIT consensus 1,202.95 (Inputs!C316).</t>
  </si>
  <si>
    <t>Operating margin rate (GAAP)</t>
  </si>
  <si>
    <t>Check: segment-build OI - cost-build OI</t>
  </si>
  <si>
    <t>3Q26E (H) is an identity by construction: G&amp;A (H46) is derived so cost-build OI equals segment-build OI. Structural linkage check only; excluded from Cover!C27. C:G are genuine historical checks.</t>
  </si>
  <si>
    <t>Below operating income ($m)</t>
  </si>
  <si>
    <t>Interest expense</t>
  </si>
  <si>
    <t>3Q26E assumption = 2Q26 run-rate (no debt maturities or issuance disclosed for 3Q26)</t>
  </si>
  <si>
    <t>Non-operating FAS pension benefit</t>
  </si>
  <si>
    <t>3Q26E = (FY26 guided $665m - 1H26 actual) / 2 (S25)</t>
  </si>
  <si>
    <t>Mark-to-market pension and OPB benefit</t>
  </si>
  <si>
    <t>MTM recognised only at annual Q4 remeasurement (issuer policy); nil in 3Q26E</t>
  </si>
  <si>
    <t>Other, net</t>
  </si>
  <si>
    <t>3Q26E assumption $40m: 1Q26 $37m run-rate; 2Q26 included investment-sale gain; S&amp;P 500 +2.3% and bonds down in 3Q26 (S22) limit rabbi-trust returns</t>
  </si>
  <si>
    <t>Earnings before income taxes</t>
  </si>
  <si>
    <t>Federal and foreign income tax expense</t>
  </si>
  <si>
    <t>Effective income tax rate</t>
  </si>
  <si>
    <t>3Q26E assumption 17.5%: FY26 guided mid-14% ETR with 1H26 at 10.4% implies c.17.9% for 2H26; 3Q25 was 16.9%</t>
  </si>
  <si>
    <t>Net earnings (GAAP)</t>
  </si>
  <si>
    <t>Net margin</t>
  </si>
  <si>
    <t>Reported net earnings (cash flow statement, reported YTD basis)</t>
  </si>
  <si>
    <t>Linked from Cash Flow Statement net earnings (reported YTD figures in Inputs)</t>
  </si>
  <si>
    <t>Check: model net earnings - reported</t>
  </si>
  <si>
    <t>Per share ($)</t>
  </si>
  <si>
    <t>Weighted-average basic shares (m)</t>
  </si>
  <si>
    <t>Linked from Share Count</t>
  </si>
  <si>
    <t>Weighted-average diluted shares (m)</t>
  </si>
  <si>
    <t>Basic EPS (GAAP)</t>
  </si>
  <si>
    <t>Diluted EPS (GAAP)</t>
  </si>
  <si>
    <t>Q/Q change ($)</t>
  </si>
  <si>
    <t>Reported diluted EPS (issuer)</t>
  </si>
  <si>
    <t>Check: EPS = net earnings / diluted shares vs reported (rounded to $0.01)</t>
  </si>
  <si>
    <t>GAAP to MTM-adjusted (consensus basis) bridge</t>
  </si>
  <si>
    <t>Less: MTM pension and OPB benefit</t>
  </si>
  <si>
    <t>Add: MTM-related deferred state tax expense</t>
  </si>
  <si>
    <t>Add: federal tax expense of items above</t>
  </si>
  <si>
    <t>Issuer reconciliation (S09): (MTM - state tax) x 21% federal statutory rate; 3Q26E formula</t>
  </si>
  <si>
    <t>MTM benefit, net of tax</t>
  </si>
  <si>
    <t>MTM-adjusted net earnings (non-GAAP; consensus basis)</t>
  </si>
  <si>
    <t>MTM benefit per share</t>
  </si>
  <si>
    <t>MTM-related deferred state tax per share</t>
  </si>
  <si>
    <t>Federal tax of items above per share</t>
  </si>
  <si>
    <t>MTM-adjusted diluted EPS (non-GAAP; consensus basis)</t>
  </si>
  <si>
    <t>Reported MTM-adjusted diluted EPS (issuer)</t>
  </si>
  <si>
    <t>Issuer MTM-adjusted EPS (S09 reconciliation; equals GAAP EPS in quarters without MTM)</t>
  </si>
  <si>
    <t>CapIQ normalized diluted EPS actual (NOC_history.csv)</t>
  </si>
  <si>
    <t>Formula link to Inputs CapIQ history (eps_normalized_actual)</t>
  </si>
  <si>
    <t>Check: model MTM-adjusted EPS - CapIQ normalized actual</t>
  </si>
  <si>
    <t>Consensus and surprise history (CapIQ, normalized diluted EPS)</t>
  </si>
  <si>
    <t>Consensus normalized EPS</t>
  </si>
  <si>
    <t>Actual / Shortcut estimate (MTM-adjusted EPS)</t>
  </si>
  <si>
    <t>Surprise / variance vs consensus ($)</t>
  </si>
  <si>
    <t>Surprise / variance vs consensus (%)</t>
  </si>
  <si>
    <t>Consensus revenue ($m)</t>
  </si>
  <si>
    <t>Revenue surprise / variance vs consensus (%)</t>
  </si>
  <si>
    <t>FY25 annual reconciliation to quarters (flows)</t>
  </si>
  <si>
    <t>Sales: FY25 - (1Q25+2Q25+3Q25+4Q25)</t>
  </si>
  <si>
    <t>1Q25 and 2Q25 from Inputs prior-period block; tolerance +/-1 for issuer rounding</t>
  </si>
  <si>
    <t>Operating income: FY25 - sum of quarters</t>
  </si>
  <si>
    <t>Net earnings: FY25 - sum of quarters</t>
  </si>
  <si>
    <t>Balance sheet (as reported) with simplified 3Q26E roll-forward</t>
  </si>
  <si>
    <t>Assets ($m)</t>
  </si>
  <si>
    <t>Cash and cash equivalents</t>
  </si>
  <si>
    <t>Statements of financial position (S11, S09, S07, S04)</t>
  </si>
  <si>
    <t>Accounts receivable, net</t>
  </si>
  <si>
    <t>Unbilled receivables, net</t>
  </si>
  <si>
    <t>Inventoried costs, net</t>
  </si>
  <si>
    <t>Prepaid expenses and other current assets</t>
  </si>
  <si>
    <t>Total current assets</t>
  </si>
  <si>
    <t>Property, plant and equipment, net</t>
  </si>
  <si>
    <t>3Q26E approximate aggregate D&amp;A roll: PP&amp;E = prior + capex - total D&amp;A (CF H13, 375), which includes intangible amortisation and PP&amp;E step-up depreciation (IS H93 -17 combined; split not disclosed). Source-limited classification; no split fabricated.</t>
  </si>
  <si>
    <t>Operating lease right-of-use assets</t>
  </si>
  <si>
    <t>Goodwill</t>
  </si>
  <si>
    <t>Intangible assets, net</t>
  </si>
  <si>
    <t>Presented separately at 30-Sep-2025 only; included in Other non-current assets from Dec-2025 (not separately disclosed: blank)</t>
  </si>
  <si>
    <t>Deferred tax assets</t>
  </si>
  <si>
    <t>Pension and other postretirement benefit plan assets</t>
  </si>
  <si>
    <t>Other non-current assets</t>
  </si>
  <si>
    <t>3Q26E held flat (assumption). Includes intangible assets from Dec-2025 (row 19); intangibles held flat because all D&amp;A is deducted from PP&amp;E (J16). Total assets unaffected.</t>
  </si>
  <si>
    <t>Total assets</t>
  </si>
  <si>
    <t>Liabilities ($m)</t>
  </si>
  <si>
    <t>Trade accounts payable</t>
  </si>
  <si>
    <t>Accrued employee compensation</t>
  </si>
  <si>
    <t>Advance payments and billings in excess of costs incurred</t>
  </si>
  <si>
    <t>Other current liabilities</t>
  </si>
  <si>
    <t>Total current liabilities</t>
  </si>
  <si>
    <t>Long-term debt, net of current portion</t>
  </si>
  <si>
    <t>Pension and other postretirement benefit plan liabilities</t>
  </si>
  <si>
    <t>Operating lease liabilities</t>
  </si>
  <si>
    <t>Other non-current liabilities</t>
  </si>
  <si>
    <t>Total liabilities</t>
  </si>
  <si>
    <t>Shareholders' equity ($m)</t>
  </si>
  <si>
    <t>Common stock</t>
  </si>
  <si>
    <t>Paid-in capital</t>
  </si>
  <si>
    <t>Retained earnings</t>
  </si>
  <si>
    <t>Accumulated other comprehensive loss</t>
  </si>
  <si>
    <t>Total shareholders' equity</t>
  </si>
  <si>
    <t>Total liabilities and shareholders' equity</t>
  </si>
  <si>
    <t>Check: total assets - total liabilities - equity</t>
  </si>
  <si>
    <t>3Q26E roll-forward: cash from Cash Flow Statement; unbilled receivables absorb the forecast working-capital change; PP&amp;E + capex - D&amp;A; pension assets + net periodic income + contributions; retained earnings + net earnings - dividends; other lines held at 30-Jun-2026</t>
  </si>
  <si>
    <t>Memo: debt and working capital ($m)</t>
  </si>
  <si>
    <t>Current portion of long-term debt (in other current liabilities)</t>
  </si>
  <si>
    <t>Balance sheet parenthetical (S11, S09, S07, S04)</t>
  </si>
  <si>
    <t>Total debt</t>
  </si>
  <si>
    <t>Net debt (total debt - cash)</t>
  </si>
  <si>
    <t>Trade working capital (AR + unbilled + inventory - AP - advances)</t>
  </si>
  <si>
    <t>Cash flow statement (discrete quarters derived from reported YTD)</t>
  </si>
  <si>
    <t>Operating activities ($m)</t>
  </si>
  <si>
    <t>Net earnings</t>
  </si>
  <si>
    <t>Discrete quarters = reported YTD differences (Inputs YTD block: S13/S04 6M, S12 9M, S09 FY, S07 3M, S04 6M)</t>
  </si>
  <si>
    <t>3Q26E assumption $375m (1Q26 $372m, 2Q26 $367m, rising capex base)</t>
  </si>
  <si>
    <t>Stock-based compensation</t>
  </si>
  <si>
    <t>3Q26E assumption $25m (1H26 $49m)</t>
  </si>
  <si>
    <t>Deferred income taxes</t>
  </si>
  <si>
    <t>3Q26E assumption: nil deferred tax (not forecastable from disclosure)</t>
  </si>
  <si>
    <t>B-21 loss provision</t>
  </si>
  <si>
    <t>Net periodic pension and OPB income</t>
  </si>
  <si>
    <t>Pension and OPB contributions</t>
  </si>
  <si>
    <t>Prepaid expenses and other assets</t>
  </si>
  <si>
    <t>Trade AP, advances and other liabilities (combined)</t>
  </si>
  <si>
    <t>9M25 10-Q presented AP and other liabilities combined; the three-way split is unavailable for 3Q25/4Q25 (blank)</t>
  </si>
  <si>
    <t>of which: trade accounts payable</t>
  </si>
  <si>
    <t>of which: advance payments and billings in excess</t>
  </si>
  <si>
    <t>of which: other liabilities</t>
  </si>
  <si>
    <t>Income taxes payable, net</t>
  </si>
  <si>
    <t>Other operating activities</t>
  </si>
  <si>
    <t>Changes in operating assets and liabilities (subtotal)</t>
  </si>
  <si>
    <t>3Q26E derived: operating cash flow assumption less non-working-capital items</t>
  </si>
  <si>
    <t>Net cash provided by (used in) operating activities</t>
  </si>
  <si>
    <t>Reported net cash from operating activities (issuer)</t>
  </si>
  <si>
    <t>Check: operating cash flow - reported</t>
  </si>
  <si>
    <t>Investing activities ($m)</t>
  </si>
  <si>
    <t>3Q26E = -(FY26 capex guide - 1H26 capex) x 3Q share assumption</t>
  </si>
  <si>
    <t>Proceeds from sale of investment</t>
  </si>
  <si>
    <t>Divestiture of training services business</t>
  </si>
  <si>
    <t>Other investing activities</t>
  </si>
  <si>
    <t>Net cash used in investing activities</t>
  </si>
  <si>
    <t>Financing activities ($m)</t>
  </si>
  <si>
    <t>Net proceeds from issuance of long-term debt</t>
  </si>
  <si>
    <t>Payments of long-term debt</t>
  </si>
  <si>
    <t>Net borrowings on commercial paper</t>
  </si>
  <si>
    <t>9M25 and FY25 statements show no commercial paper line (nil)</t>
  </si>
  <si>
    <t>Common stock repurchases</t>
  </si>
  <si>
    <t>3Q26E assumption: nil repurchases (none in 2Q26; no 3Q26 disclosure before cutoff)</t>
  </si>
  <si>
    <t>Cash dividends paid</t>
  </si>
  <si>
    <t>3Q26E assumption = 2Q26 dividends paid ($351m)</t>
  </si>
  <si>
    <t>Payments of employee taxes withheld from share-based awards</t>
  </si>
  <si>
    <t>Other financing activities</t>
  </si>
  <si>
    <t>Net cash used in financing activities</t>
  </si>
  <si>
    <t>Net change in cash and cash equivalents</t>
  </si>
  <si>
    <t>Cash and cash equivalents, beginning of period</t>
  </si>
  <si>
    <t>Cash and cash equivalents, end of period</t>
  </si>
  <si>
    <t>Cash per Balance Sheet</t>
  </si>
  <si>
    <t>Check: cash flow end cash - Balance Sheet cash</t>
  </si>
  <si>
    <t>3Q26E (H) is an identity by construction: Balance Sheet!H10 links to H123. Structural linkage check only; excluded from Cover!C27. C:G are genuine historical checks.</t>
  </si>
  <si>
    <t>Check: change in cash - change in Balance Sheet cash</t>
  </si>
  <si>
    <t>3Q26E (H) is an identity by construction (Balance Sheet cash linked to cash flow end cash). Structural linkage check only; excluded from Cover!C27. C:G are genuine historical checks.</t>
  </si>
  <si>
    <t>Free cash flow ($m)</t>
  </si>
  <si>
    <t>Free cash flow (operating cash flow + capital expenditures)</t>
  </si>
  <si>
    <t>Add: proceeds from sale of equipment to a customer</t>
  </si>
  <si>
    <t>Issuer adjusted-FCF definition (S04): none received in 2026 YTD; 2025 FCF definition had no such adjustment</t>
  </si>
  <si>
    <t>Add: after-tax discretionary pension contributions</t>
  </si>
  <si>
    <t>Adjusted free cash flow (issuer definition, non-GAAP)</t>
  </si>
  <si>
    <t>Adjusted free cash flow margin</t>
  </si>
  <si>
    <t>Capex % of sales</t>
  </si>
  <si>
    <t>Adjusted FCF / net earnings</t>
  </si>
  <si>
    <t>Memo: D&amp;A and capex reconciliation to segments ($m)</t>
  </si>
  <si>
    <t>Corporate D&amp;A (incl. intangible amortisation, PP&amp;E step-up)</t>
  </si>
  <si>
    <t>Segment note capex and D&amp;A table (S12, S10, S08, S05)</t>
  </si>
  <si>
    <t>Corporate capital expenditures</t>
  </si>
  <si>
    <t>Check: segment + corporate D&amp;A - cash flow D&amp;A</t>
  </si>
  <si>
    <t>Check: segment + corporate capex + cash flow capex</t>
  </si>
  <si>
    <t>3Q26E cash flow assumptions</t>
  </si>
  <si>
    <t>3Q26E share of remaining FY26 adjusted FCF (guidance midpoint less 1H26)</t>
  </si>
  <si>
    <t>Assumption 28.5%: 3Q share of 2H adjusted FCF was 28% in 2025 and 29% in 2024 (S11/S09)</t>
  </si>
  <si>
    <t>3Q26E share of remaining FY26 capex (guided ~$1.85bn less 1H26)</t>
  </si>
  <si>
    <t>Assumption 33%: 3Q share of 2H capex was 31% in 2025 and 2024 (S11/S09); capex ramp for B-21 facilities</t>
  </si>
  <si>
    <t>Geography: sales by ultimate customer location (sum of segments)</t>
  </si>
  <si>
    <t>Sales by geographic region ($m)</t>
  </si>
  <si>
    <t>Sum of segment geography rows (segment tabs)</t>
  </si>
  <si>
    <t>Issuer discloses organic sales only for segment/total sales: history n/a (not computed). 3Q26E = model reported Y/Y growth (% Y/Y, row 23), assuming no scope change; not an issuer organic figure.</t>
  </si>
  <si>
    <t>Issuer discloses organic sales only for segment/total sales: history n/a (not computed). 3Q26E = model reported Y/Y growth (% Y/Y, row 29), assuming no scope change; not an issuer organic figure.</t>
  </si>
  <si>
    <t>Total sales by geography</t>
  </si>
  <si>
    <t>Check: geography total - total sales (Revenue summary)</t>
  </si>
  <si>
    <t>Geographic mix (% of total sales)</t>
  </si>
  <si>
    <t>United States % of total</t>
  </si>
  <si>
    <t>Asia/Pacific % of total</t>
  </si>
  <si>
    <t>Europe % of total</t>
  </si>
  <si>
    <t>Other regions % of total</t>
  </si>
  <si>
    <t>International (non-U.S.) sales</t>
  </si>
  <si>
    <t>Issuer discloses organic sales only for segment/total sales: history n/a (not computed). 3Q26E = model reported Y/Y growth (% Y/Y, row 51), assuming no scope change; not an issuer organic figure.</t>
  </si>
  <si>
    <t>No country other than the U.S. exceeds 10% of sales (10-Q/10-K segment note).</t>
  </si>
  <si>
    <t>Share count: weighted shares, buybacks and forecast share base</t>
  </si>
  <si>
    <t>Weighted-average shares (m)</t>
  </si>
  <si>
    <t>Weighted-average basic shares</t>
  </si>
  <si>
    <t>Statements of earnings; 4Q25 basic shares not disclosed (Q4 release shows diluted only)</t>
  </si>
  <si>
    <t>Q/Q change (m)</t>
  </si>
  <si>
    <t>Weighted-average diluted shares</t>
  </si>
  <si>
    <t>Statements of earnings / consolidated operating results tables</t>
  </si>
  <si>
    <t>Dilutive securities (diluted - basic)</t>
  </si>
  <si>
    <t>Shares outstanding and capital returns</t>
  </si>
  <si>
    <t>Common shares outstanding, period end (m)</t>
  </si>
  <si>
    <t>Balance sheet parenthetical share counts (S12, S09, S07, S04)</t>
  </si>
  <si>
    <t>Share repurchases ($m, cash flow)</t>
  </si>
  <si>
    <t>Cash dividends paid ($m, cash flow)</t>
  </si>
  <si>
    <t>Total cash returned to shareholders ($m)</t>
  </si>
  <si>
    <t>Dividends paid per average basic share ($)</t>
  </si>
  <si>
    <t>Remaining repurchase authorisation at 30-Jun-2026: $2.5bn of $3.0bn programme (10-Q Note 2, S05)</t>
  </si>
  <si>
    <t>Forecast share base (3Q26E)</t>
  </si>
  <si>
    <t>Assumed change in weighted shares vs 2Q26 (m)</t>
  </si>
  <si>
    <t>Assumption: 0.0m. No repurchases in 2Q26 (S04 cash flow) and no 3Q26 buyback disclosure before cutoff</t>
  </si>
  <si>
    <t>Diluted shares behind forecast EPS (m)</t>
  </si>
  <si>
    <t>Guidance register: company guidance vs actual / estimate</t>
  </si>
  <si>
    <t>Forecast period (context only)</t>
  </si>
  <si>
    <t>Forecast period end</t>
  </si>
  <si>
    <t>Forecast days in period</t>
  </si>
  <si>
    <t>Metric</t>
  </si>
  <si>
    <t>Date given</t>
  </si>
  <si>
    <t>Low</t>
  </si>
  <si>
    <t>High</t>
  </si>
  <si>
    <t>Midpoint</t>
  </si>
  <si>
    <t>Actual</t>
  </si>
  <si>
    <t>Result</t>
  </si>
  <si>
    <t>FY2025 guidance (MTM-adjusted EPS is the consensus basis)</t>
  </si>
  <si>
    <t>Sales</t>
  </si>
  <si>
    <t>FY25</t>
  </si>
  <si>
    <t>Miss (below range)</t>
  </si>
  <si>
    <t>S14 guidance table</t>
  </si>
  <si>
    <t>Segment operating income</t>
  </si>
  <si>
    <t>Beat (above range)</t>
  </si>
  <si>
    <t>MTM-adjusted EPS</t>
  </si>
  <si>
    <t>Free cash flow</t>
  </si>
  <si>
    <t>S13 guidance table</t>
  </si>
  <si>
    <t>At/above midpoint</t>
  </si>
  <si>
    <t>S11 guidance table</t>
  </si>
  <si>
    <t>FY2026 guidance</t>
  </si>
  <si>
    <t>FY26</t>
  </si>
  <si>
    <t>Pending</t>
  </si>
  <si>
    <t>S09 guidance table</t>
  </si>
  <si>
    <t>S07 guidance table</t>
  </si>
  <si>
    <t>S04 guidance table</t>
  </si>
  <si>
    <t>Adjusted free cash flow</t>
  </si>
  <si>
    <t>Capital expenditures (~$1.85bn)</t>
  </si>
  <si>
    <t>Q2 2026 call (S06): 'We continue to expect $1.85 billion of CapEx in 2026'</t>
  </si>
  <si>
    <t>Effective tax rate (mid-14%)</t>
  </si>
  <si>
    <t>S06: 'effective tax rate of mid-14%' (interpreted as 14.5%)</t>
  </si>
  <si>
    <t>FAS/CAS operating adjustment (CAS $245m - FAS service $210m)</t>
  </si>
  <si>
    <t>S25 Q2 2026 slides footnote: CAS pension expense $245m, FAS service expense $210m</t>
  </si>
  <si>
    <t>S25 Q2 2026 slides footnote</t>
  </si>
  <si>
    <t>FY2026 segment guidance (as of 21-Jul-2026; qualitative ranges converted as noted)</t>
  </si>
  <si>
    <t>Aeronautics Systems sales (~$14bn)</t>
  </si>
  <si>
    <t>S04 2026 segment guidance table; qualitative words mapped to numeric ranges by Shortcut</t>
  </si>
  <si>
    <t>Defense Systems sales (mid to high $8bn)</t>
  </si>
  <si>
    <t>Mission Systems sales (high $12bn)</t>
  </si>
  <si>
    <t>Space Systems sales (~$11bn)</t>
  </si>
  <si>
    <t>Intersegment eliminations (~$2.7bn)</t>
  </si>
  <si>
    <t>Aeronautics Systems OM rate (mid to high 9%)</t>
  </si>
  <si>
    <t>Defense Systems OM rate (~10%)</t>
  </si>
  <si>
    <t>Mission Systems OM rate (~15%)</t>
  </si>
  <si>
    <t>Space Systems OM rate (low 10%)</t>
  </si>
  <si>
    <t>Intersegment eliminations OM rate (mid 13%)</t>
  </si>
  <si>
    <t>3Q26 guidance</t>
  </si>
  <si>
    <t>Sales: 'mid- to high single-digit Y/Y growth' (CapIQ range)</t>
  </si>
  <si>
    <t>3Q26</t>
  </si>
  <si>
    <t>S06 CFO: 'mid- to high single digit year-over-year sales growth in Q3'; low/high = CapIQ revenue_guidance_low/high (Inputs)</t>
  </si>
  <si>
    <t>MTM-adjusted EPS (no quarterly guidance given)</t>
  </si>
  <si>
    <t>Issuer guides EPS annually only; CapIQ eps_normalized_guidance fields are blank (unavailable)</t>
  </si>
  <si>
    <t>Implied 2H26 / 3Q26 from FY26 guidance midpoint (21-Jul-2026)</t>
  </si>
  <si>
    <t>Implied 2H26 sales (midpoint - 1H26 actual)</t>
  </si>
  <si>
    <t>Implied 2H26 segment operating income</t>
  </si>
  <si>
    <t>Implied 2H26 MTM-adjusted EPS</t>
  </si>
  <si>
    <t>Shortcut 3Q26E MTM-adjusted EPS share of implied 2H26</t>
  </si>
  <si>
    <t>3Q25 was 51% of 2H25 MTM-adjusted EPS (7.67 / 14.90)</t>
  </si>
  <si>
    <t>Shortcut 3Q26E sales share of implied 2H26</t>
  </si>
  <si>
    <t>3Q25 was 47% of 2H25 sales (10,423 / 22,135)</t>
  </si>
  <si>
    <t>Shortcut 3Q26E segment OI share of implied 2H26</t>
  </si>
  <si>
    <t>Shortcut 3Q26E sales vs 3Q26 guided range midpoint</t>
  </si>
  <si>
    <t>Sources: documents, publication dates and model destinations</t>
  </si>
  <si>
    <t>ID / document</t>
  </si>
  <si>
    <t>Published</t>
  </si>
  <si>
    <t>Publisher</t>
  </si>
  <si>
    <t>URL or file</t>
  </si>
  <si>
    <t>Feeds</t>
  </si>
  <si>
    <t>S01 CapIQ six-quarter history (NOC_history.csv)</t>
  </si>
  <si>
    <t>S&amp;P Capital IQ</t>
  </si>
  <si>
    <t>workspace/NOC_history.csv</t>
  </si>
  <si>
    <t>Inputs history; IS consensus/surprise rows; Revenue summary CapIQ check; Cover beat-rate prior</t>
  </si>
  <si>
    <t>S02 CapIQ consensus snapshot (NOC_consensus.json)</t>
  </si>
  <si>
    <t>workspace/NOC_consensus.json</t>
  </si>
  <si>
    <t>Inputs summary row; Cover consensus column; Guidance 3Q26 sales range</t>
  </si>
  <si>
    <t>S03 Q3 2026 results date announcement</t>
  </si>
  <si>
    <t>Northrop Grumman</t>
  </si>
  <si>
    <t>https://investor.northropgrumman.com/node/44316/pdf</t>
  </si>
  <si>
    <t>Cover expected report date (20-Oct-2026, before market open)</t>
  </si>
  <si>
    <t>S04 Q2 2026 earnings release (8-K Ex.99)</t>
  </si>
  <si>
    <t>Northrop Grumman / SEC</t>
  </si>
  <si>
    <t>https://www.sec.gov/Archives/edgar/data/1133421/000113342126000033/noc-06302026xearningsrelea.htm</t>
  </si>
  <si>
    <t>2Q26 IS, segments, BS, 6M26 CF, backlog, FY26 guidance</t>
  </si>
  <si>
    <t>S05 Q2 2026 Form 10-Q</t>
  </si>
  <si>
    <t>SEC EDGAR</t>
  </si>
  <si>
    <t>https://www.sec.gov/Archives/edgar/data/1133421/000113342126000034/noc-20260630.htm</t>
  </si>
  <si>
    <t>2Q26/2Q25 disaggregation, EAC by segment, D&amp;A/capex, buyback authorisation</t>
  </si>
  <si>
    <t>S06 Q2 2026 earnings call transcript</t>
  </si>
  <si>
    <t>S&amp;P Global MI (via NOC IR)</t>
  </si>
  <si>
    <t>https://investor.northropgrumman.com/static-files/a48b12f6-1fae-46a4-890f-973b42c3aac4</t>
  </si>
  <si>
    <t>3Q26 sales growth comment, ETR mid-14%, capex $1.85bn, 2H segment margin commentary</t>
  </si>
  <si>
    <t>S07 Q1 2026 earnings release</t>
  </si>
  <si>
    <t>https://www.sec.gov/Archives/edgar/data/1133421/000113342126000015/noc-03312026xearningsrelea.htm</t>
  </si>
  <si>
    <t>1Q26 IS, segments, BS, 3M26 CF, backlog; 1Q25 comparatives</t>
  </si>
  <si>
    <t>S08 Q1 2026 Form 10-Q</t>
  </si>
  <si>
    <t>https://www.sec.gov/Archives/edgar/data/1133421/000113342126000016/noc-20260331.htm</t>
  </si>
  <si>
    <t>1Q26/1Q25 disaggregation, EAC, D&amp;A/capex</t>
  </si>
  <si>
    <t>S09 Q4 &amp; FY2025 earnings release</t>
  </si>
  <si>
    <t>https://www.sec.gov/Archives/edgar/data/1133421/000113342126000002/noc-12312025xearningsrelea.htm</t>
  </si>
  <si>
    <t>4Q25/FY25 IS, MTM reconciliation, BS Dec-25, FY25 CF, backlog; 4Q24/FY24 comparatives</t>
  </si>
  <si>
    <t>S10 FY2025 Form 10-K (segment note R39)</t>
  </si>
  <si>
    <t>https://www.sec.gov/Archives/edgar/data/1133421/000113342126000003/R39.htm</t>
  </si>
  <si>
    <t>FY25/FY24 disaggregation, D&amp;A/capex, intersegment</t>
  </si>
  <si>
    <t>S11 Q3 2025 earnings release</t>
  </si>
  <si>
    <t>https://www.sec.gov/Archives/edgar/data/1133421/000113342125000052/noc-09302025xearningsrelea.htm</t>
  </si>
  <si>
    <t>3Q25 IS, segments, BS Sep-25, 9M25 CF, backlog, FY25 guidance; 3Q24 comparatives</t>
  </si>
  <si>
    <t>S12 Q3 2025 Form 10-Q</t>
  </si>
  <si>
    <t>https://www.sec.gov/Archives/edgar/data/1133421/000113342125000053/noc-20250930.htm</t>
  </si>
  <si>
    <t>3Q25/9M25/3Q24/9M24 disaggregation, EAC, D&amp;A/capex</t>
  </si>
  <si>
    <t>S13 Q2 2025 earnings release</t>
  </si>
  <si>
    <t>https://www.sec.gov/Archives/edgar/data/1133421/000113342125000047/noc-06302025xearningsrelea.htm</t>
  </si>
  <si>
    <t>Jun-25 backlog (3Q25 opening), Jun-25 cash, FY25 guidance (Jul-25)</t>
  </si>
  <si>
    <t>S14 Q1 2025 earnings release</t>
  </si>
  <si>
    <t>https://www.sec.gov/Archives/edgar/data/1133421/000113342125000022/noc-03312025xearningsrelea.htm</t>
  </si>
  <si>
    <t>Mar-25 backlog, FY25 guidance (Apr-25)</t>
  </si>
  <si>
    <t>S15 Market capitalisation, 21-Sep-2026 ($74.8bn)</t>
  </si>
  <si>
    <t>ad-hoc-news.de</t>
  </si>
  <si>
    <t>https://www.ad-hoc-news.de/boerse/news/corporate-news/northrop-grumman-stock-falls-as-execution-risks-weigh/70166394</t>
  </si>
  <si>
    <t>Cover size bucket (cross-check to CapIQ last close x shares)</t>
  </si>
  <si>
    <t>S16 S&amp;P 500 membership (as of 2-Oct-2026)</t>
  </si>
  <si>
    <t>whichindex.com</t>
  </si>
  <si>
    <t>https://whichindex.com/companies/northrop-grumman/</t>
  </si>
  <si>
    <t>Cover S&amp;P 500 membership / cohort prior</t>
  </si>
  <si>
    <t>S17 FactSet S&amp;P 500 earnings season update (beat rate reference)</t>
  </si>
  <si>
    <t>FactSet</t>
  </si>
  <si>
    <t>https://insight.factset.com/sp-500-earnings-season-update-july-31-2026</t>
  </si>
  <si>
    <t>Playbook reference context for cohort prior</t>
  </si>
  <si>
    <t>S18 Benzinga preview: consensus $7.16 EPS / $11.12bn</t>
  </si>
  <si>
    <t>Benzinga</t>
  </si>
  <si>
    <t>https://www.benzinga.com/analyst-stock-ratings/price-target/26/10/62357009/top-wall-street-forecasters-revamp-northrop-grumman-expectations-ahead-of-q3-earnings</t>
  </si>
  <si>
    <t>Cover 'newer consensus seen' (not the scoring baseline)</t>
  </si>
  <si>
    <t>S19 RBC downgrade to Sector Perform</t>
  </si>
  <si>
    <t>Yahoo Finance</t>
  </si>
  <si>
    <t>https://finance.yahoo.com/markets/stocks/articles/rbc-just-downgraded-northrop-grumman-200114794.html</t>
  </si>
  <si>
    <t>Qualitative sentiment; no EPS change used</t>
  </si>
  <si>
    <t>S20 Navy F/A-XX award to Boeing</t>
  </si>
  <si>
    <t>WSJ</t>
  </si>
  <si>
    <t>https://www.wsj.com/livecoverage/stock-market-today-dow-sp-500-nasdaq-09-30-2026/card/navy-jet-loss-stings-northrop-grumman-QsxxZtDuMq48LlVN97l6</t>
  </si>
  <si>
    <t>Context: no 3Q26 P&amp;L effect assumed</t>
  </si>
  <si>
    <t>S21 Zacks/Yahoo Q3 preview</t>
  </si>
  <si>
    <t>Yahoo Finance (Zacks)</t>
  </si>
  <si>
    <t>https://finance.yahoo.com/markets/stocks/articles/northrop-grumman-release-q3-earnings-122300398.html</t>
  </si>
  <si>
    <t>Corroborates management 3Q sales growth guidance</t>
  </si>
  <si>
    <t>S22 S&amp;P 500 3Q26 total return +2.3%</t>
  </si>
  <si>
    <t>Wealth Signal NYC (S&amp;P DJI dashboard)</t>
  </si>
  <si>
    <t>https://www.wealthsignalnyc.com/stories/sp500-september-2026-nine-of-eleven-sectors-fell/</t>
  </si>
  <si>
    <t>IS Other, net assumption (marketable securities returns)</t>
  </si>
  <si>
    <t>S23 Peer report dates (RTX 20-Oct, LMT 22-Oct, GD 30-Oct)</t>
  </si>
  <si>
    <t>PR Newswire / company IR</t>
  </si>
  <si>
    <t>https://finance.yahoo.com/markets/stocks/articles/lockheed-martin-announces-third-quarter-130000340.html</t>
  </si>
  <si>
    <t>No defense-prime peer had reported 3Q26 before cutoff</t>
  </si>
  <si>
    <t>S24 Tickeron earnings preview</t>
  </si>
  <si>
    <t>Tickeron</t>
  </si>
  <si>
    <t>https://tickeron.com/earnings/NOC/</t>
  </si>
  <si>
    <t>Beat history context (4 consecutive EPS beats)</t>
  </si>
  <si>
    <t>S25 Q2 2026 earnings slides (pension footnote)</t>
  </si>
  <si>
    <t>https://investor.northropgrumman.com/static-files/8820d27b-a4a8-4f60-881c-143b8563171c</t>
  </si>
  <si>
    <t>Guidance FAS/CAS operating adjustment and non-operating FAS pension benefit</t>
  </si>
  <si>
    <t>S26 Market close 16-Oct-2026 $519.86 (also CapIQ last_close_price)</t>
  </si>
  <si>
    <t>stockanalysis.com</t>
  </si>
  <si>
    <t>https://stockanalysis.com/stocks/noc/forecast/</t>
  </si>
  <si>
    <t>Cover market cap (with 10-Q cover share count 142,063,026)</t>
  </si>
  <si>
    <t>S27 Shortcut logo</t>
  </si>
  <si>
    <t>Shortcut</t>
  </si>
  <si>
    <t>workspace/shortcut-logo.png</t>
  </si>
  <si>
    <t>Cover logo</t>
  </si>
  <si>
    <t>Tab coverage: all standard tabs carry content; none omitted. Geo tab included (issuer discloses 4 regions in 10-Q/10-K segment note, S05/S10).</t>
  </si>
  <si>
    <t>Inputs tab appended after Sources: raw CapIQ summary row and six history rows, prior-period comparatives and reported YTD statements.</t>
  </si>
  <si>
    <t>Retrieval: all web sources fetched 19-Oct-2026 05:50-06:30 UTC via web_fetch/web search; every publication date precedes the 18-Oct-2026 21:34 UTC cutoff.</t>
  </si>
  <si>
    <t>Target-period exposure: no NOC 3Q26 results were encountered (release scheduled 20-Oct-2026). Post-cutoff previews seen in search snippets were not used.</t>
  </si>
  <si>
    <t>Inputs: CapIQ raw files, prior-period comparatives, reported YTD statements</t>
  </si>
  <si>
    <t>Section A periods</t>
  </si>
  <si>
    <t>3Q24A</t>
  </si>
  <si>
    <t>9M24A</t>
  </si>
  <si>
    <t>4Q24A</t>
  </si>
  <si>
    <t>FY24A</t>
  </si>
  <si>
    <t>1Q25A</t>
  </si>
  <si>
    <t>2Q25A</t>
  </si>
  <si>
    <t>Section A period end</t>
  </si>
  <si>
    <t>Section A days in period</t>
  </si>
  <si>
    <t>A. Prior-period comparatives (reported; 4Q24 = FY24 - 9M24 where not reported directly)</t>
  </si>
  <si>
    <t>AS: Opening total backlog</t>
  </si>
  <si>
    <t>AS: Closing total backlog</t>
  </si>
  <si>
    <t>AS: Funded backlog (closing)</t>
  </si>
  <si>
    <t>AS: Aeronautics Systems sales</t>
  </si>
  <si>
    <t>AS: Divested training services sales in segment</t>
  </si>
  <si>
    <t>AS: Intersegment sales</t>
  </si>
  <si>
    <t>AS: Aeronautics Systems operating income</t>
  </si>
  <si>
    <t>AS: U.S. government</t>
  </si>
  <si>
    <t>AS: International</t>
  </si>
  <si>
    <t>AS: Other customers</t>
  </si>
  <si>
    <t>AS: Cost-type</t>
  </si>
  <si>
    <t>AS: Fixed-price</t>
  </si>
  <si>
    <t>AS: United States</t>
  </si>
  <si>
    <t>AS: Asia/Pacific</t>
  </si>
  <si>
    <t>AS: Europe</t>
  </si>
  <si>
    <t>AS: Other regions (principally Middle East)</t>
  </si>
  <si>
    <t>AS: Net EAC adjustments (in operating income)</t>
  </si>
  <si>
    <t>AS: Depreciation and amortisation</t>
  </si>
  <si>
    <t>AS: Capital expenditures</t>
  </si>
  <si>
    <t>DS: Opening total backlog</t>
  </si>
  <si>
    <t>DS: Closing total backlog</t>
  </si>
  <si>
    <t>DS: Funded backlog (closing)</t>
  </si>
  <si>
    <t>DS: Defense Systems sales</t>
  </si>
  <si>
    <t>DS: Divested training services sales in segment</t>
  </si>
  <si>
    <t>DS: Intersegment sales</t>
  </si>
  <si>
    <t>DS: Defense Systems operating income</t>
  </si>
  <si>
    <t>DS: U.S. government</t>
  </si>
  <si>
    <t>DS: International</t>
  </si>
  <si>
    <t>DS: Other customers</t>
  </si>
  <si>
    <t>DS: Cost-type</t>
  </si>
  <si>
    <t>DS: Fixed-price</t>
  </si>
  <si>
    <t>DS: United States</t>
  </si>
  <si>
    <t>DS: Asia/Pacific</t>
  </si>
  <si>
    <t>DS: Europe</t>
  </si>
  <si>
    <t>DS: Other regions (principally Middle East)</t>
  </si>
  <si>
    <t>DS: Net EAC adjustments (in operating income)</t>
  </si>
  <si>
    <t>DS: Depreciation and amortisation</t>
  </si>
  <si>
    <t>DS: Capital expenditures</t>
  </si>
  <si>
    <t>MS: Opening total backlog</t>
  </si>
  <si>
    <t>MS: Closing total backlog</t>
  </si>
  <si>
    <t>MS: Funded backlog (closing)</t>
  </si>
  <si>
    <t>MS: Mission Systems sales</t>
  </si>
  <si>
    <t>MS: Divested training services sales in segment</t>
  </si>
  <si>
    <t>MS: Intersegment sales</t>
  </si>
  <si>
    <t>MS: Mission Systems operating income</t>
  </si>
  <si>
    <t>MS: U.S. government</t>
  </si>
  <si>
    <t>MS: International</t>
  </si>
  <si>
    <t>MS: Other customers</t>
  </si>
  <si>
    <t>MS: Cost-type</t>
  </si>
  <si>
    <t>MS: Fixed-price</t>
  </si>
  <si>
    <t>MS: United States</t>
  </si>
  <si>
    <t>MS: Asia/Pacific</t>
  </si>
  <si>
    <t>MS: Europe</t>
  </si>
  <si>
    <t>MS: Other regions (principally Middle East)</t>
  </si>
  <si>
    <t>MS: Net EAC adjustments (in operating income)</t>
  </si>
  <si>
    <t>MS: Depreciation and amortisation</t>
  </si>
  <si>
    <t>MS: Capital expenditures</t>
  </si>
  <si>
    <t>SS: Opening total backlog</t>
  </si>
  <si>
    <t>SS: Closing total backlog</t>
  </si>
  <si>
    <t>SS: Funded backlog (closing)</t>
  </si>
  <si>
    <t>SS: Space Systems sales</t>
  </si>
  <si>
    <t>SS: Divested training services sales in segment</t>
  </si>
  <si>
    <t>SS: Intersegment sales</t>
  </si>
  <si>
    <t>SS: Space Systems operating income</t>
  </si>
  <si>
    <t>SS: U.S. government</t>
  </si>
  <si>
    <t>SS: International</t>
  </si>
  <si>
    <t>SS: Other customers</t>
  </si>
  <si>
    <t>SS: Cost-type</t>
  </si>
  <si>
    <t>SS: Fixed-price</t>
  </si>
  <si>
    <t>SS: United States</t>
  </si>
  <si>
    <t>SS: Asia/Pacific</t>
  </si>
  <si>
    <t>SS: Europe</t>
  </si>
  <si>
    <t>SS: Other regions (principally Middle East)</t>
  </si>
  <si>
    <t>SS: Net EAC adjustments (in operating income)</t>
  </si>
  <si>
    <t>SS: Depreciation and amortisation</t>
  </si>
  <si>
    <t>SS: Capital expenditures</t>
  </si>
  <si>
    <t>SC: Weighted-average basic shares</t>
  </si>
  <si>
    <t>SC: Weighted-average diluted shares</t>
  </si>
  <si>
    <t>SC: Common shares outstanding, period end (m)</t>
  </si>
  <si>
    <t>CF: Common stock repurchases</t>
  </si>
  <si>
    <t>CF: Cash dividends paid</t>
  </si>
  <si>
    <t>IS: Product sales</t>
  </si>
  <si>
    <t>IS: Service sales</t>
  </si>
  <si>
    <t>IS: Product costs</t>
  </si>
  <si>
    <t>IS: Service costs</t>
  </si>
  <si>
    <t>IS: General and administrative expenses</t>
  </si>
  <si>
    <t>IS: Gain on sale of business</t>
  </si>
  <si>
    <t>IS: Intersegment eliminations</t>
  </si>
  <si>
    <t>IS: FAS/CAS operating adjustment</t>
  </si>
  <si>
    <t>IS: Training services divestiture - unallowable state taxes and costs</t>
  </si>
  <si>
    <t>IS: Intangible asset amortisation and PP&amp;E step-up depreciation</t>
  </si>
  <si>
    <t>IS: MTM-related deferred state tax expense</t>
  </si>
  <si>
    <t>IS: Other unallocated corporate expense</t>
  </si>
  <si>
    <t>IS: Interest expense</t>
  </si>
  <si>
    <t>IS: Non-operating FAS pension benefit</t>
  </si>
  <si>
    <t>IS: Mark-to-market pension and OPB benefit</t>
  </si>
  <si>
    <t>IS: Other, net</t>
  </si>
  <si>
    <t>IS: Federal and foreign income tax expense</t>
  </si>
  <si>
    <t>IS: MTM-adjusted net earnings (non-GAAP; consensus basis)</t>
  </si>
  <si>
    <t>IS: MTM-adjusted diluted EPS (non-GAAP; consensus basis)</t>
  </si>
  <si>
    <t>CF: Net earnings</t>
  </si>
  <si>
    <t>CF: Depreciation and amortisation</t>
  </si>
  <si>
    <t>CF: Stock-based compensation</t>
  </si>
  <si>
    <t>CF: Deferred income taxes</t>
  </si>
  <si>
    <t>CF: B-21 loss provision</t>
  </si>
  <si>
    <t>CF: Gain on sale of business</t>
  </si>
  <si>
    <t>CF: Mark-to-market pension and OPB benefit</t>
  </si>
  <si>
    <t>CF: Net periodic pension and OPB income</t>
  </si>
  <si>
    <t>CF: Pension and OPB contributions</t>
  </si>
  <si>
    <t>CF: Accounts receivable, net</t>
  </si>
  <si>
    <t>CF: Unbilled receivables, net</t>
  </si>
  <si>
    <t>CF: Inventoried costs, net</t>
  </si>
  <si>
    <t>CF: Prepaid expenses and other assets</t>
  </si>
  <si>
    <t>CF: Trade AP, advances and other liabilities (combined)</t>
  </si>
  <si>
    <t>CF: of which: trade accounts payable</t>
  </si>
  <si>
    <t>CF: of which: advance payments and billings in excess</t>
  </si>
  <si>
    <t>CF: of which: other liabilities</t>
  </si>
  <si>
    <t>CF: Income taxes payable, net</t>
  </si>
  <si>
    <t>CF: Other operating activities</t>
  </si>
  <si>
    <t>CF: Net cash provided by (used in) operating activities</t>
  </si>
  <si>
    <t>CF: Capital expenditures</t>
  </si>
  <si>
    <t>CF: Proceeds from sale of investment</t>
  </si>
  <si>
    <t>CF: Divestiture of training services business</t>
  </si>
  <si>
    <t>CF: Other investing activities</t>
  </si>
  <si>
    <t>CF: Net proceeds from issuance of long-term debt</t>
  </si>
  <si>
    <t>CF: Payments of long-term debt</t>
  </si>
  <si>
    <t>CF: Net borrowings on commercial paper</t>
  </si>
  <si>
    <t>CF: Payments of employee taxes withheld from share-based awards</t>
  </si>
  <si>
    <t>CF: Other financing activities</t>
  </si>
  <si>
    <t>CF: Add: proceeds from sale of equipment to a customer</t>
  </si>
  <si>
    <t>CF: Add: after-tax discretionary pension contributions</t>
  </si>
  <si>
    <t>CF: Corporate D&amp;A (incl. intangible amortisation, PP&amp;E step-up)</t>
  </si>
  <si>
    <t>CF: Corporate capital expenditures</t>
  </si>
  <si>
    <t>B. Reported year-to-date statements (discrete quarters derived on Cash Flow Statement / 4Q25 = FY25 - 9M25)</t>
  </si>
  <si>
    <t>YTD period</t>
  </si>
  <si>
    <t>6M25A</t>
  </si>
  <si>
    <t>9M25A</t>
  </si>
  <si>
    <t>3M26A</t>
  </si>
  <si>
    <t>6M26A</t>
  </si>
  <si>
    <t>YTD period end</t>
  </si>
  <si>
    <t>YTD days</t>
  </si>
  <si>
    <t>AS: Intersegment sales (9M25 YTD)</t>
  </si>
  <si>
    <t>AS: U.S. government (9M25 YTD)</t>
  </si>
  <si>
    <t>AS: International (9M25 YTD)</t>
  </si>
  <si>
    <t>AS: Other customers (9M25 YTD)</t>
  </si>
  <si>
    <t>AS: Cost-type (9M25 YTD)</t>
  </si>
  <si>
    <t>AS: Fixed-price (9M25 YTD)</t>
  </si>
  <si>
    <t>AS: United States (9M25 YTD)</t>
  </si>
  <si>
    <t>AS: Asia/Pacific (9M25 YTD)</t>
  </si>
  <si>
    <t>AS: Europe (9M25 YTD)</t>
  </si>
  <si>
    <t>AS: Other regions (principally Middle East) (9M25 YTD)</t>
  </si>
  <si>
    <t>AS: Net EAC adjustments (in operating income) (9M25 YTD)</t>
  </si>
  <si>
    <t>AS: Depreciation and amortisation (9M25 YTD)</t>
  </si>
  <si>
    <t>AS: Capital expenditures (9M25 YTD)</t>
  </si>
  <si>
    <t>DS: Intersegment sales (9M25 YTD)</t>
  </si>
  <si>
    <t>DS: U.S. government (9M25 YTD)</t>
  </si>
  <si>
    <t>DS: International (9M25 YTD)</t>
  </si>
  <si>
    <t>DS: Other customers (9M25 YTD)</t>
  </si>
  <si>
    <t>DS: Cost-type (9M25 YTD)</t>
  </si>
  <si>
    <t>DS: Fixed-price (9M25 YTD)</t>
  </si>
  <si>
    <t>DS: United States (9M25 YTD)</t>
  </si>
  <si>
    <t>DS: Asia/Pacific (9M25 YTD)</t>
  </si>
  <si>
    <t>DS: Europe (9M25 YTD)</t>
  </si>
  <si>
    <t>DS: Other regions (principally Middle East) (9M25 YTD)</t>
  </si>
  <si>
    <t>DS: Net EAC adjustments (in operating income) (9M25 YTD)</t>
  </si>
  <si>
    <t>DS: Depreciation and amortisation (9M25 YTD)</t>
  </si>
  <si>
    <t>DS: Capital expenditures (9M25 YTD)</t>
  </si>
  <si>
    <t>MS: Intersegment sales (9M25 YTD)</t>
  </si>
  <si>
    <t>MS: U.S. government (9M25 YTD)</t>
  </si>
  <si>
    <t>MS: International (9M25 YTD)</t>
  </si>
  <si>
    <t>MS: Other customers (9M25 YTD)</t>
  </si>
  <si>
    <t>MS: Cost-type (9M25 YTD)</t>
  </si>
  <si>
    <t>MS: Fixed-price (9M25 YTD)</t>
  </si>
  <si>
    <t>MS: United States (9M25 YTD)</t>
  </si>
  <si>
    <t>MS: Asia/Pacific (9M25 YTD)</t>
  </si>
  <si>
    <t>MS: Europe (9M25 YTD)</t>
  </si>
  <si>
    <t>MS: Other regions (principally Middle East) (9M25 YTD)</t>
  </si>
  <si>
    <t>MS: Net EAC adjustments (in operating income) (9M25 YTD)</t>
  </si>
  <si>
    <t>MS: Depreciation and amortisation (9M25 YTD)</t>
  </si>
  <si>
    <t>MS: Capital expenditures (9M25 YTD)</t>
  </si>
  <si>
    <t>SS: Intersegment sales (9M25 YTD)</t>
  </si>
  <si>
    <t>SS: U.S. government (9M25 YTD)</t>
  </si>
  <si>
    <t>SS: International (9M25 YTD)</t>
  </si>
  <si>
    <t>SS: Other customers (9M25 YTD)</t>
  </si>
  <si>
    <t>SS: Cost-type (9M25 YTD)</t>
  </si>
  <si>
    <t>SS: Fixed-price (9M25 YTD)</t>
  </si>
  <si>
    <t>SS: United States (9M25 YTD)</t>
  </si>
  <si>
    <t>SS: Asia/Pacific (9M25 YTD)</t>
  </si>
  <si>
    <t>SS: Europe (9M25 YTD)</t>
  </si>
  <si>
    <t>SS: Other regions (principally Middle East) (9M25 YTD)</t>
  </si>
  <si>
    <t>SS: Net EAC adjustments (in operating income) (9M25 YTD)</t>
  </si>
  <si>
    <t>SS: Depreciation and amortisation (9M25 YTD)</t>
  </si>
  <si>
    <t>SS: Capital expenditures (9M25 YTD)</t>
  </si>
  <si>
    <t>IS: Product sales (9M25 YTD)</t>
  </si>
  <si>
    <t>IS: Service sales (9M25 YTD)</t>
  </si>
  <si>
    <t>IS: Product costs (9M25 YTD)</t>
  </si>
  <si>
    <t>IS: Service costs (9M25 YTD)</t>
  </si>
  <si>
    <t>IS: General and administrative expenses (9M25 YTD)</t>
  </si>
  <si>
    <t>CF: Corporate D&amp;A (incl. intangible amortisation, PP&amp;E step-up) (9M25 YTD)</t>
  </si>
  <si>
    <t>CF: Corporate capital expenditures (9M25 YTD)</t>
  </si>
  <si>
    <t>CF: Net earnings (YTD)</t>
  </si>
  <si>
    <t>CF: Depreciation and amortisation (YTD)</t>
  </si>
  <si>
    <t>CF: Stock-based compensation (YTD)</t>
  </si>
  <si>
    <t>CF: Deferred income taxes (YTD)</t>
  </si>
  <si>
    <t>CF: B-21 loss provision (YTD)</t>
  </si>
  <si>
    <t>CF: Gain on sale of business (YTD)</t>
  </si>
  <si>
    <t>CF: Mark-to-market pension and OPB benefit (YTD)</t>
  </si>
  <si>
    <t>CF: Net periodic pension and OPB income (YTD)</t>
  </si>
  <si>
    <t>CF: Pension and OPB contributions (YTD)</t>
  </si>
  <si>
    <t>CF: Accounts receivable, net (YTD)</t>
  </si>
  <si>
    <t>CF: Unbilled receivables, net (YTD)</t>
  </si>
  <si>
    <t>CF: Inventoried costs, net (YTD)</t>
  </si>
  <si>
    <t>CF: Prepaid expenses and other assets (YTD)</t>
  </si>
  <si>
    <t>CF: Trade AP, advances and other liabilities (combined) (YTD)</t>
  </si>
  <si>
    <t>9M25 10-Q (S12) reports 'Accounts payable and other liabilities' as one line: (642)</t>
  </si>
  <si>
    <t>CF: of which: trade accounts payable (YTD)</t>
  </si>
  <si>
    <t>CF: of which: advance payments and billings in excess (YTD)</t>
  </si>
  <si>
    <t>CF: of which: other liabilities (YTD)</t>
  </si>
  <si>
    <t>CF: Income taxes payable, net (YTD)</t>
  </si>
  <si>
    <t>CF: Other operating activities (YTD)</t>
  </si>
  <si>
    <t>CF: Reported net cash from operating activities (issuer) (YTD)</t>
  </si>
  <si>
    <t>CF: Capital expenditures (YTD)</t>
  </si>
  <si>
    <t>CF: Proceeds from sale of investment (YTD)</t>
  </si>
  <si>
    <t>CF: Divestiture of training services business (YTD)</t>
  </si>
  <si>
    <t>CF: Other investing activities (YTD)</t>
  </si>
  <si>
    <t>CF: Net proceeds from issuance of long-term debt (YTD)</t>
  </si>
  <si>
    <t>CF: Payments of long-term debt (YTD)</t>
  </si>
  <si>
    <t>CF: Net borrowings on commercial paper (YTD)</t>
  </si>
  <si>
    <t>CF: Common stock repurchases (YTD)</t>
  </si>
  <si>
    <t>CF: Cash dividends paid (YTD)</t>
  </si>
  <si>
    <t>CF: Payments of employee taxes withheld from share-based awards (YTD)</t>
  </si>
  <si>
    <t>CF: Other financing activities (YTD)</t>
  </si>
  <si>
    <t>CF: Cash and cash equivalents, end of period</t>
  </si>
  <si>
    <t>CF: Cash and cash equivalents, beginning of year</t>
  </si>
  <si>
    <t>C. Constants</t>
  </si>
  <si>
    <t>U.S. federal statutory tax rate (issuer MTM reconciliation)</t>
  </si>
  <si>
    <t>S09 MTM reconciliation footnote 3</t>
  </si>
  <si>
    <t>D. S&amp;P Capital IQ six-quarter history (NOC_history.csv, raw, unmodified)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</si>
  <si>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</si>
  <si>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</si>
  <si>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</si>
  <si>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</si>
  <si>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</si>
  <si>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</si>
  <si>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</si>
  <si>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</si>
  <si>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surprise</t>
  </si>
  <si>
    <t>beat</t>
  </si>
  <si>
    <t>K = normalized EPS actual - consensus ($/share); L = 1 if strict beat. Derived columns; raw columns B-I untouched.</t>
  </si>
  <si>
    <t>E. S&amp;P Capital IQ consensus snapshot (NOC_consensus.json): complete raw summary row; blank source values kept blank</t>
  </si>
  <si>
    <t>json.source</t>
  </si>
  <si>
    <t>json.ticker</t>
  </si>
  <si>
    <t>NOC</t>
  </si>
  <si>
    <t>json.company</t>
  </si>
  <si>
    <t>json.fiscal_period</t>
  </si>
  <si>
    <t>FQ3 2026 - Sep 2026</t>
  </si>
  <si>
    <t>json.period_end_date</t>
  </si>
  <si>
    <t>json.as_of_date</t>
  </si>
  <si>
    <t>json.analyst_count</t>
  </si>
  <si>
    <t>json.consensus_eps</t>
  </si>
  <si>
    <t>json.eps_basis</t>
  </si>
  <si>
    <t>Normalized diluted EPS per ordinary/common share, USD; verify issuer adjustments and share identity</t>
  </si>
  <si>
    <t>json.consensus_revenue_m</t>
  </si>
  <si>
    <t>json.currency</t>
  </si>
  <si>
    <t>USD</t>
  </si>
  <si>
    <t>json.summary_sha256</t>
  </si>
  <si>
    <t>e59b846434f90c9b5de8c2ed951fd1b25c1f6d0217c680f72dea41992051a49d</t>
  </si>
  <si>
    <t>json.captured_precision</t>
  </si>
  <si>
    <t>date only, user confirmed</t>
  </si>
  <si>
    <t>json.currency_units_status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</si>
  <si>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</si>
  <si>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</si>
  <si>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</si>
  <si>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</si>
  <si>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</si>
  <si>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</si>
  <si>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</si>
  <si>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</si>
  <si>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summary_row.ticker</t>
  </si>
  <si>
    <t>summary_row.company_name</t>
  </si>
  <si>
    <t>summary_row.exchange_ticker</t>
  </si>
  <si>
    <t>NYSE:NOC</t>
  </si>
  <si>
    <t>summary_row.capiq_company_id</t>
  </si>
  <si>
    <t>summary_row.currency_basis</t>
  </si>
  <si>
    <t>summary_row.fiscal_year_end</t>
  </si>
  <si>
    <t>Dec-31</t>
  </si>
  <si>
    <t>summary_row.fiscal_quarter</t>
  </si>
  <si>
    <t>summary_row.quarter_end_date</t>
  </si>
  <si>
    <t>summary_row.expected_report_date</t>
  </si>
  <si>
    <t>summary_row.eps_basis</t>
  </si>
  <si>
    <t>normalized diluted and GAAP diluted, as labelled</t>
  </si>
  <si>
    <t>summary_row.eps_normalized_estimates</t>
  </si>
  <si>
    <t>summary_row.eps_normalized_contributors</t>
  </si>
  <si>
    <t>summary_row.detail_tab_total_contributors</t>
  </si>
  <si>
    <t>summary_row.eps_normalized_mean</t>
  </si>
  <si>
    <t>summary_row.eps_normalized_median</t>
  </si>
  <si>
    <t>summary_row.eps_normalized_high</t>
  </si>
  <si>
    <t>summary_row.eps_normalized_low</t>
  </si>
  <si>
    <t>summary_row.eps_normalized_std_dev</t>
  </si>
  <si>
    <t>summary_row.eps_normalized_n_est</t>
  </si>
  <si>
    <t>summary_row.eps_normalized_guidance</t>
  </si>
  <si>
    <t>summary_row.eps_normalized_guidance_low</t>
  </si>
  <si>
    <t>summary_row.eps_normalized_guidance_high</t>
  </si>
  <si>
    <t>summary_row.eps_gaap_mean</t>
  </si>
  <si>
    <t>summary_row.eps_gaap_median</t>
  </si>
  <si>
    <t>summary_row.eps_gaap_high</t>
  </si>
  <si>
    <t>summary_row.eps_gaap_low</t>
  </si>
  <si>
    <t>summary_row.eps_gaap_std_dev</t>
  </si>
  <si>
    <t>summary_row.eps_gaap_n_est</t>
  </si>
  <si>
    <t>summary_row.eps_gaap_guidance</t>
  </si>
  <si>
    <t>summary_row.eps_gaap_guidance_low</t>
  </si>
  <si>
    <t>summary_row.eps_gaap_guidance_high</t>
  </si>
  <si>
    <t>summary_row.revenue_mean</t>
  </si>
  <si>
    <t>summary_row.revenue_median</t>
  </si>
  <si>
    <t>summary_row.revenue_high</t>
  </si>
  <si>
    <t>summary_row.revenue_low</t>
  </si>
  <si>
    <t>summary_row.revenue_std_dev</t>
  </si>
  <si>
    <t>summary_row.revenue_n_est</t>
  </si>
  <si>
    <t>summary_row.revenue_guidance</t>
  </si>
  <si>
    <t>summary_row.revenue_guidance_low</t>
  </si>
  <si>
    <t>summary_row.revenue_guidance_high</t>
  </si>
  <si>
    <t>summary_row.ebitda</t>
  </si>
  <si>
    <t>CapIQ-defined EBITDA consensus (not issuer-defined). issuer_defined_ebitda = not applicable: NOC does not disclose EBITDA (see Income Statement!J103).</t>
  </si>
  <si>
    <t>summary_row.ebit</t>
  </si>
  <si>
    <t>summary_row.ebt_excl_excep</t>
  </si>
  <si>
    <t>summary_row.ebt_gaap</t>
  </si>
  <si>
    <t>summary_row.net_income_excl_excep</t>
  </si>
  <si>
    <t>summary_row.net_income_gaap</t>
  </si>
  <si>
    <t>summary_row.gross_margin_pct</t>
  </si>
  <si>
    <t>summary_row.effective_tax_rate_pct</t>
  </si>
  <si>
    <t>summary_row.d_and_a</t>
  </si>
  <si>
    <t>summary_row.capex</t>
  </si>
  <si>
    <t>summary_row.cfo</t>
  </si>
  <si>
    <t>summary_row.fcf</t>
  </si>
  <si>
    <t>summary_row.interest_expense</t>
  </si>
  <si>
    <t>summary_row.net_debt</t>
  </si>
  <si>
    <t>summary_row.nav</t>
  </si>
  <si>
    <t>summary_row.roe_pct</t>
  </si>
  <si>
    <t>summary_row.target_price_mean</t>
  </si>
  <si>
    <t>summary_row.target_price_median</t>
  </si>
  <si>
    <t>summary_row.target_price_high</t>
  </si>
  <si>
    <t>summary_row.target_price_low</t>
  </si>
  <si>
    <t>summary_row.target_price_std_dev</t>
  </si>
  <si>
    <t>summary_row.target_price_n_est</t>
  </si>
  <si>
    <t>summary_row.recommendation</t>
  </si>
  <si>
    <t>Outperform</t>
  </si>
  <si>
    <t>summary_row.recommendation_score</t>
  </si>
  <si>
    <t>summary_row.last_close_price</t>
  </si>
  <si>
    <t>summary_row.wk52_high_low</t>
  </si>
  <si>
    <t>774.00/470.06</t>
  </si>
  <si>
    <t>summary_row.estimates_captured_at</t>
  </si>
  <si>
    <t>summary_row.notes</t>
  </si>
  <si>
    <t>CapIQ expects FQ3 2026 release Oct-29-2026, outside the Oct 19-23 window. Mar-2025 normalized actual 3.32 against 6.26 consensus reflects a B-21 charge, so that quarter is an outlier in the history.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</si>
</sst>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879" formatCode="0.0%_);(0.0%);–_)"/>
    <numFmt numFmtId="17880" formatCode="$0.00_);($0.00);–_)"/>
    <numFmt numFmtId="17881" formatCode="#,##0.0_);(#,##0.0);–_)"/>
    <numFmt numFmtId="17885" formatCode="yyyy-mm-dd"/>
    <numFmt numFmtId="17889" formatCode="0.0%"/>
    <numFmt numFmtId="17897" formatCode="#,##0&quot; bps&quot;_);(#,##0&quot; bps&quot;);–_)"/>
    <numFmt numFmtId="17908" formatCode="0.0x"/>
    <numFmt numFmtId="17910" formatCode="0.0x_);(0.0x);–_)"/>
  </numFmts>
  <fonts count="13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/>
      <i val="0"/>
      <sz val="10"/>
      <color rgb="FF000000"/>
      <name val="Arial"/>
    </font>
    <font>
      <b val="0"/>
      <i/>
      <sz val="10"/>
      <color rgb="FF000000"/>
      <name val="Arial"/>
    </font>
    <font>
      <b val="0"/>
      <i val="0"/>
      <sz val="10"/>
      <color rgb="FF0000FF"/>
      <name val="Arial"/>
    </font>
    <font>
      <b val="0"/>
      <i val="0"/>
      <sz val="10"/>
      <color rgb="FF006100"/>
      <name val="Arial"/>
    </font>
    <font>
      <b/>
      <i val="0"/>
      <sz val="14"/>
      <color rgb="FF000000"/>
      <name val="Arial"/>
    </font>
    <font>
      <b/>
      <i/>
      <sz val="10"/>
      <color rgb="FF000000"/>
      <name val="Arial"/>
    </font>
    <font>
      <b val="0"/>
      <i/>
      <sz val="10"/>
      <color rgb="FF0000FF"/>
      <name val="Arial"/>
    </font>
    <font>
      <b val="0"/>
      <i/>
      <sz val="10"/>
      <color rgb="FF006100"/>
      <name val="Arial"/>
    </font>
    <font>
      <b/>
      <i val="0"/>
      <sz val="10"/>
      <color rgb="FF006100"/>
      <name val="Arial"/>
    </font>
    <font>
      <b/>
      <i val="0"/>
      <sz val="12"/>
      <color rgb="FF000000"/>
      <name val="Arial"/>
    </font>
    <font>
      <b/>
      <i val="0"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10">
    <border>
      <left/>
      <right/>
      <top/>
      <bottom/>
    </border>
    <border>
      <left/>
      <right/>
      <top/>
      <bottom/>
      <diagonal/>
    </border>
    <border>
      <top style="thin">
        <color rgb="FF808080"/>
      </top>
    </border>
    <border>
      <top style="thin">
        <color rgb="FF808080"/>
      </top>
      <bottom style="thin">
        <color rgb="FF808080"/>
      </bottom>
    </border>
    <border>
      <bottom style="thin">
        <color rgb="FF808080"/>
      </bottom>
    </border>
    <border>
      <top style="thin">
        <color rgb="FF000000"/>
      </top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1"/>
  </cellStyleXfs>
  <cellXfs count="83">
    <xf numFmtId="0" fontId="0" fillId="0" borderId="1" xfId="0"/>
    <xf numFmtId="0" fontId="1" fillId="0" borderId="1" xfId="0"/>
    <xf numFmtId="0" fontId="6" fillId="0" borderId="1" xfId="0">
      <alignment vertical="center"/>
    </xf>
    <xf numFmtId="0" fontId="11" fillId="0" borderId="1" xfId="0"/>
    <xf numFmtId="0" fontId="2" fillId="0" borderId="1" xfId="0"/>
    <xf numFmtId="0" fontId="3" fillId="0" borderId="1" xfId="0"/>
    <xf numFmtId="0" fontId="2" fillId="2" borderId="6" xfId="0"/>
    <xf numFmtId="0" fontId="2" fillId="3" borderId="6" xfId="0">
      <alignment horizontal="right" vertical="bottom"/>
    </xf>
    <xf numFmtId="0" fontId="2" fillId="2" borderId="6" xfId="0">
      <alignment horizontal="right" vertical="bottom"/>
    </xf>
    <xf numFmtId="0" fontId="1" fillId="2" borderId="1" xfId="0"/>
    <xf numFmtId="17885" fontId="1" fillId="3" borderId="1" xfId="0">
      <alignment horizontal="right" vertical="bottom"/>
    </xf>
    <xf numFmtId="17885" fontId="1" fillId="2" borderId="1" xfId="0">
      <alignment horizontal="right" vertical="bottom"/>
    </xf>
    <xf numFmtId="0" fontId="2" fillId="2" borderId="1" xfId="0"/>
    <xf numFmtId="0" fontId="1" fillId="2" borderId="7" xfId="0"/>
    <xf numFmtId="1" fontId="1" fillId="3" borderId="7" xfId="0">
      <alignment horizontal="right" vertical="bottom"/>
    </xf>
    <xf numFmtId="1" fontId="1" fillId="2" borderId="7" xfId="0">
      <alignment horizontal="right" vertical="bottom"/>
    </xf>
    <xf numFmtId="0" fontId="2" fillId="2" borderId="7" xfId="0"/>
    <xf numFmtId="0" fontId="1" fillId="0" borderId="1" xfId="0">
      <alignment horizontal="left" vertical="bottom" indent="1"/>
    </xf>
    <xf numFmtId="0" fontId="2" fillId="2" borderId="8" xfId="0">
      <alignment vertical="bottom" wrapText="1"/>
    </xf>
    <xf numFmtId="0" fontId="2" fillId="3" borderId="8" xfId="0">
      <alignment horizontal="right" vertical="bottom" wrapText="1"/>
    </xf>
    <xf numFmtId="0" fontId="2" fillId="2" borderId="8" xfId="0">
      <alignment horizontal="right" vertical="bottom" wrapText="1"/>
    </xf>
    <xf numFmtId="17881" fontId="5" fillId="3" borderId="1" xfId="0">
      <alignment horizontal="right" vertical="bottom"/>
    </xf>
    <xf numFmtId="17881" fontId="5" fillId="0" borderId="1" xfId="0">
      <alignment horizontal="right" vertical="bottom"/>
    </xf>
    <xf numFmtId="17881" fontId="1" fillId="0" borderId="1" xfId="0">
      <alignment horizontal="right" vertical="bottom"/>
    </xf>
    <xf numFmtId="17879" fontId="3" fillId="0" borderId="1" xfId="0">
      <alignment horizontal="right" vertical="bottom"/>
    </xf>
    <xf numFmtId="17880" fontId="5" fillId="3" borderId="1" xfId="0">
      <alignment horizontal="right" vertical="bottom"/>
    </xf>
    <xf numFmtId="17880" fontId="5" fillId="0" borderId="1" xfId="0">
      <alignment horizontal="right" vertical="bottom"/>
    </xf>
    <xf numFmtId="17880" fontId="1" fillId="0" borderId="1" xfId="0">
      <alignment horizontal="right" vertical="bottom"/>
    </xf>
    <xf numFmtId="0" fontId="2" fillId="0" borderId="1" xfId="0">
      <alignment horizontal="left" vertical="bottom" indent="1"/>
    </xf>
    <xf numFmtId="0" fontId="7" fillId="0" borderId="1" xfId="0">
      <alignment horizontal="left" vertical="bottom" indent="1"/>
    </xf>
    <xf numFmtId="17889" fontId="7" fillId="3" borderId="1" xfId="0">
      <alignment horizontal="right" vertical="bottom"/>
    </xf>
    <xf numFmtId="17889" fontId="7" fillId="0" borderId="1" xfId="0">
      <alignment horizontal="right" vertical="bottom"/>
    </xf>
    <xf numFmtId="0" fontId="1" fillId="3" borderId="1" xfId="0">
      <alignment horizontal="right" vertical="bottom"/>
    </xf>
    <xf numFmtId="17881" fontId="4" fillId="0" borderId="1" xfId="0">
      <alignment horizontal="right" vertical="bottom"/>
    </xf>
    <xf numFmtId="0" fontId="1" fillId="0" borderId="1" xfId="0">
      <alignment horizontal="right" vertical="bottom"/>
    </xf>
    <xf numFmtId="0" fontId="3" fillId="0" borderId="1" xfId="0">
      <alignment horizontal="left" vertical="bottom" indent="1"/>
    </xf>
    <xf numFmtId="17879" fontId="8" fillId="0" borderId="1" xfId="0">
      <alignment horizontal="right" vertical="bottom"/>
    </xf>
    <xf numFmtId="1" fontId="5" fillId="0" borderId="1" xfId="0">
      <alignment horizontal="right" vertical="bottom"/>
    </xf>
    <xf numFmtId="1" fontId="1" fillId="0" borderId="1" xfId="0">
      <alignment horizontal="right" vertical="bottom"/>
    </xf>
    <xf numFmtId="1" fontId="4" fillId="0" borderId="1" xfId="0">
      <alignment horizontal="right" vertical="bottom"/>
    </xf>
    <xf numFmtId="17879" fontId="7" fillId="0" borderId="1" xfId="0">
      <alignment horizontal="right" vertical="bottom"/>
    </xf>
    <xf numFmtId="17880" fontId="4" fillId="0" borderId="1" xfId="0">
      <alignment horizontal="right" vertical="bottom"/>
    </xf>
    <xf numFmtId="17879" fontId="9" fillId="0" borderId="1" xfId="0">
      <alignment horizontal="right" vertical="bottom"/>
    </xf>
    <xf numFmtId="17881" fontId="10" fillId="0" borderId="1" xfId="0">
      <alignment horizontal="right" vertical="bottom"/>
    </xf>
    <xf numFmtId="17881" fontId="2" fillId="0" borderId="1" xfId="0">
      <alignment horizontal="right" vertical="bottom"/>
    </xf>
    <xf numFmtId="0" fontId="1" fillId="3" borderId="1" xfId="0"/>
    <xf numFmtId="17881" fontId="2" fillId="0" borderId="9" xfId="0">
      <alignment horizontal="right" vertical="bottom"/>
    </xf>
    <xf numFmtId="17881" fontId="2" fillId="3" borderId="9" xfId="0">
      <alignment horizontal="right" vertical="bottom"/>
    </xf>
    <xf numFmtId="17881" fontId="1" fillId="3" borderId="1" xfId="0">
      <alignment horizontal="right" vertical="bottom"/>
    </xf>
    <xf numFmtId="17879" fontId="3" fillId="3" borderId="1" xfId="0">
      <alignment horizontal="right" vertical="bottom"/>
    </xf>
    <xf numFmtId="0" fontId="3" fillId="0" borderId="1" xfId="0">
      <alignment horizontal="left" vertical="bottom" indent="2"/>
    </xf>
    <xf numFmtId="0" fontId="3" fillId="0" borderId="1" xfId="0">
      <alignment horizontal="left" vertical="bottom" indent="3"/>
    </xf>
    <xf numFmtId="17897" fontId="9" fillId="0" borderId="1" xfId="0">
      <alignment horizontal="right" vertical="bottom"/>
    </xf>
    <xf numFmtId="17897" fontId="3" fillId="3" borderId="1" xfId="0">
      <alignment horizontal="right" vertical="bottom"/>
    </xf>
    <xf numFmtId="17897" fontId="3" fillId="0" borderId="1" xfId="0">
      <alignment horizontal="right" vertical="bottom"/>
    </xf>
    <xf numFmtId="17879" fontId="9" fillId="3" borderId="1" xfId="0">
      <alignment horizontal="right" vertical="bottom"/>
    </xf>
    <xf numFmtId="0" fontId="1" fillId="0" borderId="1" xfId="0">
      <alignment horizontal="left" vertical="bottom" indent="2"/>
    </xf>
    <xf numFmtId="17879" fontId="8" fillId="3" borderId="1" xfId="0">
      <alignment horizontal="right" vertical="bottom"/>
    </xf>
    <xf numFmtId="17881" fontId="10" fillId="0" borderId="9" xfId="0">
      <alignment horizontal="right" vertical="bottom"/>
    </xf>
    <xf numFmtId="17881" fontId="10" fillId="3" borderId="9" xfId="0">
      <alignment horizontal="right" vertical="bottom"/>
    </xf>
    <xf numFmtId="17908" fontId="1" fillId="0" borderId="1" xfId="0">
      <alignment horizontal="right" vertical="bottom"/>
    </xf>
    <xf numFmtId="17908" fontId="1" fillId="3" borderId="1" xfId="0">
      <alignment horizontal="right" vertical="bottom"/>
    </xf>
    <xf numFmtId="17910" fontId="3" fillId="0" borderId="1" xfId="0">
      <alignment horizontal="right" vertical="bottom"/>
    </xf>
    <xf numFmtId="17910" fontId="9" fillId="0" borderId="1" xfId="0">
      <alignment horizontal="right" vertical="bottom"/>
    </xf>
    <xf numFmtId="17910" fontId="3" fillId="3" borderId="1" xfId="0">
      <alignment horizontal="right" vertical="bottom"/>
    </xf>
    <xf numFmtId="17881" fontId="12" fillId="0" borderId="9" xfId="0">
      <alignment horizontal="right" vertical="bottom"/>
    </xf>
    <xf numFmtId="17908" fontId="4" fillId="3" borderId="1" xfId="0">
      <alignment horizontal="right" vertical="bottom"/>
    </xf>
    <xf numFmtId="17881" fontId="12" fillId="0" borderId="1" xfId="0">
      <alignment horizontal="right" vertical="bottom"/>
    </xf>
    <xf numFmtId="17881" fontId="2" fillId="3" borderId="1" xfId="0">
      <alignment horizontal="right" vertical="bottom"/>
    </xf>
    <xf numFmtId="17881" fontId="4" fillId="3" borderId="1" xfId="0">
      <alignment horizontal="right" vertical="bottom"/>
    </xf>
    <xf numFmtId="0" fontId="5" fillId="0" borderId="1" xfId="0">
      <alignment horizontal="right" vertical="bottom"/>
    </xf>
    <xf numFmtId="0" fontId="5" fillId="3" borderId="1" xfId="0">
      <alignment horizontal="right" vertical="bottom"/>
    </xf>
    <xf numFmtId="0" fontId="1" fillId="0" borderId="1" xfId="0">
      <alignment horizontal="left" vertical="bottom" indent="3"/>
    </xf>
    <xf numFmtId="17880" fontId="1" fillId="3" borderId="1" xfId="0">
      <alignment horizontal="right" vertical="bottom"/>
    </xf>
    <xf numFmtId="17880" fontId="2" fillId="0" borderId="1" xfId="0">
      <alignment horizontal="right" vertical="bottom"/>
    </xf>
    <xf numFmtId="17880" fontId="2" fillId="3" borderId="1" xfId="0">
      <alignment horizontal="right" vertical="bottom"/>
    </xf>
    <xf numFmtId="17880" fontId="2" fillId="0" borderId="9" xfId="0">
      <alignment horizontal="right" vertical="bottom"/>
    </xf>
    <xf numFmtId="17880" fontId="2" fillId="3" borderId="9" xfId="0">
      <alignment horizontal="right" vertical="bottom"/>
    </xf>
    <xf numFmtId="17885" fontId="4" fillId="0" borderId="1" xfId="0">
      <alignment horizontal="right" vertical="bottom"/>
    </xf>
    <xf numFmtId="17885" fontId="1" fillId="0" borderId="1" xfId="0">
      <alignment horizontal="right" vertical="bottom"/>
    </xf>
    <xf numFmtId="0" fontId="1" fillId="0" borderId="1" xfId="0">
      <alignment vertical="bottom" wrapText="1"/>
    </xf>
    <xf numFmtId="17885" fontId="12" fillId="2" borderId="8" xfId="0">
      <alignment horizontal="right" vertical="bottom" wrapText="1"/>
    </xf>
    <xf numFmtId="0" fontId="12" fillId="2" borderId="8" xfId="0">
      <alignment horizontal="right" vertical="bottom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476250</xdr:colOff>
      <xdr:row>0</xdr:row>
      <xdr:rowOff>600075</xdr:rowOff>
    </xdr:to>
    <xdr:pic>
      <xdr:nvPicPr>
        <xdr:cNvPr id="2" name="Shortcut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38100" y="28575"/>
          <a:ext cx="575733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9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CD74FF8-C118-08C8-67A8-C5CD7948301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8.421875" customHeight="1"/>
  <cols>
    <col min="1" max="1" width="2.00390625" customWidth="1"/>
    <col min="2" max="2" width="66.00390625" customWidth="1"/>
    <col min="3" max="8" width="12.00390625" customWidth="1"/>
    <col min="9" max="9" width="2.00390625" customWidth="1"/>
    <col min="10" max="10" width="45.00390625" customWidth="1"/>
  </cols>
  <sheetData>
    <row r="1" ht="49.5" customHeight="1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7" t="s">
        <v>5</v>
      </c>
      <c r="D5" s="8"/>
      <c r="E5" s="8"/>
      <c r="F5" s="8"/>
      <c r="G5" s="8"/>
      <c r="H5" s="8"/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0">
        <v>46295</v>
      </c>
      <c r="D6" s="11"/>
      <c r="E6" s="11"/>
      <c r="F6" s="11"/>
      <c r="G6" s="11"/>
      <c r="H6" s="11"/>
      <c r="I6" s="1"/>
      <c r="J6" s="12"/>
      <c r="K6" s="1"/>
      <c r="L6" s="1"/>
    </row>
    <row r="7" ht="15" customHeight="1">
      <c r="A7" s="1"/>
      <c r="B7" s="13" t="s">
        <v>8</v>
      </c>
      <c r="C7" s="14">
        <v>92</v>
      </c>
      <c r="D7" s="15"/>
      <c r="E7" s="15"/>
      <c r="F7" s="15"/>
      <c r="G7" s="15"/>
      <c r="H7" s="15"/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17" t="s">
        <v>9</v>
      </c>
      <c r="C10" s="1" t="s">
        <v>10</v>
      </c>
      <c r="D10" s="1"/>
      <c r="E10" s="1"/>
      <c r="F10" s="1"/>
      <c r="G10" s="1"/>
      <c r="H10" s="1"/>
      <c r="I10" s="1"/>
      <c r="J10" s="1"/>
      <c r="K10" s="1"/>
      <c r="L10" s="1"/>
    </row>
    <row r="11" ht="15" customHeight="1">
      <c r="A11" s="1"/>
      <c r="B11" s="17" t="s">
        <v>11</v>
      </c>
      <c r="C11" s="1" t="s">
        <v>12</v>
      </c>
      <c r="D11" s="1"/>
      <c r="E11" s="1"/>
      <c r="F11" s="1"/>
      <c r="G11" s="1"/>
      <c r="H11" s="1"/>
      <c r="I11" s="1"/>
      <c r="J11" s="1"/>
      <c r="K11" s="1"/>
      <c r="L11" s="1"/>
    </row>
    <row r="12" ht="15" customHeight="1">
      <c r="A12" s="1"/>
      <c r="B12" s="17" t="s">
        <v>13</v>
      </c>
      <c r="C12" s="1" t="s">
        <v>14</v>
      </c>
      <c r="D12" s="1"/>
      <c r="E12" s="1"/>
      <c r="F12" s="1"/>
      <c r="G12" s="1"/>
      <c r="H12" s="1"/>
      <c r="I12" s="1"/>
      <c r="J12" s="1"/>
      <c r="K12" s="1"/>
      <c r="L12" s="1"/>
    </row>
    <row r="13" ht="15" customHeight="1">
      <c r="A13" s="1"/>
      <c r="B13" s="17" t="s">
        <v>15</v>
      </c>
      <c r="C13" s="1" t="s">
        <v>16</v>
      </c>
      <c r="D13" s="1"/>
      <c r="E13" s="1"/>
      <c r="F13" s="1"/>
      <c r="G13" s="1"/>
      <c r="H13" s="1"/>
      <c r="I13" s="1"/>
      <c r="J13" s="1"/>
      <c r="K13" s="1"/>
      <c r="L13" s="1"/>
    </row>
    <row r="14" ht="15" customHeight="1">
      <c r="A14" s="1"/>
      <c r="B14" s="17" t="s">
        <v>17</v>
      </c>
      <c r="C14" s="1" t="s">
        <v>18</v>
      </c>
      <c r="D14" s="1"/>
      <c r="E14" s="1"/>
      <c r="F14" s="1"/>
      <c r="G14" s="1"/>
      <c r="H14" s="1"/>
      <c r="I14" s="1"/>
      <c r="J14" s="1"/>
      <c r="K14" s="1"/>
      <c r="L14" s="1"/>
    </row>
    <row r="15" ht="15" customHeight="1">
      <c r="A15" s="1"/>
      <c r="B15" s="17" t="s">
        <v>19</v>
      </c>
      <c r="C15" s="1" t="s">
        <v>20</v>
      </c>
      <c r="D15" s="1"/>
      <c r="E15" s="1"/>
      <c r="F15" s="1"/>
      <c r="G15" s="1"/>
      <c r="H15" s="1"/>
      <c r="I15" s="1"/>
      <c r="J15" s="1"/>
      <c r="K15" s="1"/>
      <c r="L15" s="1"/>
    </row>
    <row r="16" ht="15" customHeight="1">
      <c r="A16" s="1"/>
      <c r="B16" s="17" t="s">
        <v>21</v>
      </c>
      <c r="C16" s="1" t="s">
        <v>22</v>
      </c>
      <c r="D16" s="1"/>
      <c r="E16" s="1"/>
      <c r="F16" s="1"/>
      <c r="G16" s="1"/>
      <c r="H16" s="1"/>
      <c r="I16" s="1"/>
      <c r="J16" s="1"/>
      <c r="K16" s="1"/>
      <c r="L16" s="1"/>
    </row>
    <row r="17" ht="15" customHeight="1">
      <c r="A17" s="1"/>
      <c r="B17" s="17" t="s">
        <v>23</v>
      </c>
      <c r="C17" s="1" t="s">
        <v>24</v>
      </c>
      <c r="D17" s="1"/>
      <c r="E17" s="1"/>
      <c r="F17" s="1"/>
      <c r="G17" s="1"/>
      <c r="H17" s="1"/>
      <c r="I17" s="1"/>
      <c r="J17" s="1"/>
      <c r="K17" s="1"/>
      <c r="L17" s="1"/>
    </row>
    <row r="18" ht="15" customHeight="1">
      <c r="A18" s="1"/>
      <c r="B18" s="17" t="s">
        <v>25</v>
      </c>
      <c r="C18" s="1" t="s">
        <v>26</v>
      </c>
      <c r="D18" s="1"/>
      <c r="E18" s="1"/>
      <c r="F18" s="1"/>
      <c r="G18" s="1"/>
      <c r="H18" s="1"/>
      <c r="I18" s="1"/>
      <c r="J18" s="1"/>
      <c r="K18" s="1"/>
      <c r="L18" s="1"/>
    </row>
    <row r="19" ht="15" customHeight="1">
      <c r="A19" s="1"/>
      <c r="B19" s="17" t="s">
        <v>27</v>
      </c>
      <c r="C19" s="1" t="s">
        <v>28</v>
      </c>
      <c r="D19" s="1"/>
      <c r="E19" s="1"/>
      <c r="F19" s="1"/>
      <c r="G19" s="1"/>
      <c r="H19" s="1"/>
      <c r="I19" s="1"/>
      <c r="J19" s="1"/>
      <c r="K19" s="1"/>
      <c r="L19" s="1"/>
    </row>
    <row r="20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31.5" customHeight="1">
      <c r="A21" s="1"/>
      <c r="B21" s="18" t="s">
        <v>29</v>
      </c>
      <c r="C21" s="19" t="s">
        <v>30</v>
      </c>
      <c r="D21" s="20" t="s">
        <v>31</v>
      </c>
      <c r="E21" s="20" t="s">
        <v>32</v>
      </c>
      <c r="F21" s="20" t="s">
        <v>33</v>
      </c>
      <c r="G21" s="20" t="s">
        <v>34</v>
      </c>
      <c r="H21" s="20" t="s">
        <v>35</v>
      </c>
      <c r="I21" s="1"/>
      <c r="J21" s="1"/>
      <c r="K21" s="1"/>
      <c r="L21" s="1"/>
    </row>
    <row r="22" ht="15" customHeight="1">
      <c r="A22" s="1"/>
      <c r="B22" s="17" t="s">
        <v>36</v>
      </c>
      <c r="C22" s="21">
        <f>'Income Statement'!H22</f>
        <v>11137.320146</v>
      </c>
      <c r="D22" s="22">
        <f>Inputs!C306</f>
        <v>11123.84</v>
      </c>
      <c r="E22" s="23">
        <f t="shared" si="0" ref="E22:E26">C22-D22</f>
        <v>13.480145999999877</v>
      </c>
      <c r="F22" s="24">
        <f t="shared" si="1" ref="F22:F26">C22/D22-1</f>
        <v>0.0012118248734249715</v>
      </c>
      <c r="G22" s="22">
        <f>Guidance!G55</f>
        <v>11100.494999999999</v>
      </c>
      <c r="H22" s="23">
        <f>C22-G22</f>
        <v>36.82514600000104</v>
      </c>
      <c r="I22" s="1"/>
      <c r="J22" s="1"/>
      <c r="K22" s="1"/>
      <c r="L22" s="1"/>
    </row>
    <row r="23" ht="15" customHeight="1">
      <c r="A23" s="1"/>
      <c r="B23" s="17" t="s">
        <v>37</v>
      </c>
      <c r="C23" s="21">
        <f>'Income Statement'!H158</f>
        <v>1028.07198921075</v>
      </c>
      <c r="D23" s="22">
        <f>Inputs!C319</f>
        <v>1023.27</v>
      </c>
      <c r="E23" s="23">
        <f t="shared" si="0"/>
        <v>4.80198921074998</v>
      </c>
      <c r="F23" s="24">
        <f t="shared" si="1"/>
        <v>0.0046927880332170435</v>
      </c>
      <c r="G23" s="23" t="s">
        <v>38</v>
      </c>
      <c r="H23" s="23" t="s">
        <v>38</v>
      </c>
      <c r="I23" s="1"/>
      <c r="J23" s="1"/>
      <c r="K23" s="1"/>
      <c r="L23" s="1"/>
    </row>
    <row r="24" ht="15" customHeight="1">
      <c r="A24" s="1"/>
      <c r="B24" s="17" t="s">
        <v>39</v>
      </c>
      <c r="C24" s="21">
        <f>'Income Statement'!H133</f>
        <v>1028.07198921075</v>
      </c>
      <c r="D24" s="22">
        <f>Inputs!C320</f>
        <v>1023.14</v>
      </c>
      <c r="E24" s="23">
        <f t="shared" si="0"/>
        <v>4.931989210749975</v>
      </c>
      <c r="F24" s="24">
        <f t="shared" si="1"/>
        <v>0.00482044413350069</v>
      </c>
      <c r="G24" s="23" t="s">
        <v>38</v>
      </c>
      <c r="H24" s="23" t="s">
        <v>38</v>
      </c>
      <c r="I24" s="1"/>
      <c r="J24" s="1"/>
      <c r="K24" s="1"/>
      <c r="L24" s="1"/>
    </row>
    <row r="25" ht="15" customHeight="1">
      <c r="A25" s="1"/>
      <c r="B25" s="17" t="s">
        <v>40</v>
      </c>
      <c r="C25" s="25">
        <f>'Income Statement'!H165</f>
        <v>7.219606665805828</v>
      </c>
      <c r="D25" s="26">
        <f>Inputs!C288</f>
        <v>7.18</v>
      </c>
      <c r="E25" s="27">
        <f t="shared" si="0"/>
        <v>0.03960666580582828</v>
      </c>
      <c r="F25" s="24">
        <f t="shared" si="1"/>
        <v>0.005516248719474648</v>
      </c>
      <c r="G25" s="27" t="s">
        <v>38</v>
      </c>
      <c r="H25" s="27" t="s">
        <v>38</v>
      </c>
      <c r="I25" s="1"/>
      <c r="J25" s="1"/>
      <c r="K25" s="1"/>
      <c r="L25" s="1"/>
    </row>
    <row r="26" ht="15" customHeight="1">
      <c r="A26" s="1"/>
      <c r="B26" s="17" t="s">
        <v>41</v>
      </c>
      <c r="C26" s="25">
        <f>'Income Statement'!H146</f>
        <v>7.219606665805828</v>
      </c>
      <c r="D26" s="26">
        <f>Inputs!C297</f>
        <v>7.2</v>
      </c>
      <c r="E26" s="27">
        <f t="shared" si="0"/>
        <v>0.019606665805827816</v>
      </c>
      <c r="F26" s="24">
        <f t="shared" si="1"/>
        <v>0.0027231480285871967</v>
      </c>
      <c r="G26" s="27" t="s">
        <v>38</v>
      </c>
      <c r="H26" s="27" t="s">
        <v>38</v>
      </c>
      <c r="I26" s="1"/>
      <c r="J26" s="1"/>
      <c r="K26" s="1"/>
      <c r="L26" s="1"/>
    </row>
    <row r="27" ht="15" customHeight="1">
      <c r="A27" s="1"/>
      <c r="B27" s="28" t="s">
        <v>42</v>
      </c>
      <c r="C27" s="21" t="str">
        <f>IF(AND(COUNTA('Segment - Aeronautics Systems'!C92:H92,'Segment - Aeronautics Systems'!C117:H117,'Segment - Aeronautics Systems'!C151:H151,'Segment - Defense Systems'!C92:H92,'Segment - Defense Systems'!C117:H117,'Segment - Defense Systems'!C151:H151,'Segment - Mission Systems'!C92:H92,'Segment - Mission Systems'!C117:H117,'Segment - Mission Systems'!C151:H151,'Segment - Space Systems'!C92:H92,'Segment - Space Systems'!C117:H117,'Segment - Space Systems'!C151:H151,'Revenue summary'!C17:H17,'Revenue summary'!C19:H19,'Revenue summary'!C106:H106,'Revenue summary'!C127:H127,'Income Statement'!C28:H28,'Income Statement'!C109:G109,'Income Statement'!C140:H140,'Income Statement'!C150:H150,'Income Statement'!C170:H170,'Income Statement'!C181:H181,'Income Statement'!C182:H182,'Income Statement'!C183:H183,'Balance Sheet'!C44:H44,'Cash Flow Statement'!C74:H74,'Cash Flow Statement'!C125:G125,'Cash Flow Statement'!C126:G126,'Cash Flow Statement'!C150:H150,'Cash Flow Statement'!C151:H151,Geo!C35:H35)=COUNT('Segment - Aeronautics Systems'!C92:H92,'Segment - Aeronautics Systems'!C117:H117,'Segment - Aeronautics Systems'!C151:H151,'Segment - Defense Systems'!C92:H92,'Segment - Defense Systems'!C117:H117,'Segment - Defense Systems'!C151:H151,'Segment - Mission Systems'!C92:H92,'Segment - Mission Systems'!C117:H117,'Segment - Mission Systems'!C151:H151,'Segment - Space Systems'!C92:H92,'Segment - Space Systems'!C117:H117,'Segment - Space Systems'!C151:H151,'Revenue summary'!C17:H17,'Revenue summary'!C19:H19,'Revenue summary'!C106:H106,'Revenue summary'!C127:H127,'Income Statement'!C28:H28,'Income Statement'!C109:G109,'Income Statement'!C140:H140,'Income Statement'!C150:H150,'Income Statement'!C170:H170,'Income Statement'!C181:H181,'Income Statement'!C182:H182,'Income Statement'!C183:H183,'Balance Sheet'!C44:H44,'Cash Flow Statement'!C74:H74,'Cash Flow Statement'!C125:G125,'Cash Flow Statement'!C126:G126,'Cash Flow Statement'!C150:H150,'Cash Flow Statement'!C151:H151,Geo!C35:H35),(SUMIF('Segment - Aeronautics Systems'!C92:H92,"&gt;0")-SUMIF('Segment - Aeronautics Systems'!C92:H92,"&lt;0"))&lt;0.5,(SUMIF('Segment - Aeronautics Systems'!C117:H117,"&gt;0")-SUMIF('Segment - Aeronautics Systems'!C117:H117,"&lt;0"))&lt;0.5,(SUMIF('Segment - Aeronautics Systems'!C151:H151,"&gt;0")-SUMIF('Segment - Aeronautics Systems'!C151:H151,"&lt;0"))&lt;0.5,(SUMIF('Segment - Defense Systems'!C92:H92,"&gt;0")-SUMIF('Segment - Defense Systems'!C92:H92,"&lt;0"))&lt;0.5,(SUMIF('Segment - Defense Systems'!C117:H117,"&gt;0")-SUMIF('Segment - Defense Systems'!C117:H117,"&lt;0"))&lt;0.5,(SUMIF('Segment - Defense Systems'!C151:H151,"&gt;0")-SUMIF('Segment - Defense Systems'!C151:H151,"&lt;0"))&lt;0.5,(SUMIF('Segment - Mission Systems'!C92:H92,"&gt;0")-SUMIF('Segment - Mission Systems'!C92:H92,"&lt;0"))&lt;0.5,(SUMIF('Segment - Mission Systems'!C117:H117,"&gt;0")-SUMIF('Segment - Mission Systems'!C117:H117,"&lt;0"))&lt;0.5,(SUMIF('Segment - Mission Systems'!C151:H151,"&gt;0")-SUMIF('Segment - Mission Systems'!C151:H151,"&lt;0"))&lt;0.5,(SUMIF('Segment - Space Systems'!C92:H92,"&gt;0")-SUMIF('Segment - Space Systems'!C92:H92,"&lt;0"))&lt;0.5,(SUMIF('Segment - Space Systems'!C117:H117,"&gt;0")-SUMIF('Segment - Space Systems'!C117:H117,"&lt;0"))&lt;0.5,(SUMIF('Segment - Space Systems'!C151:H151,"&gt;0")-SUMIF('Segment - Space Systems'!C151:H151,"&lt;0"))&lt;0.5,(SUMIF('Revenue summary'!C17:H17,"&gt;0")-SUMIF('Revenue summary'!C17:H17,"&lt;0"))&lt;0.5,(SUMIF('Revenue summary'!C19:H19,"&gt;0")-SUMIF('Revenue summary'!C19:H19,"&lt;0"))&lt;0.5,(SUMIF('Revenue summary'!C106:H106,"&gt;0")-SUMIF('Revenue summary'!C106:H106,"&lt;0"))&lt;0.5,(SUMIF('Revenue summary'!C127:H127,"&gt;0")-SUMIF('Revenue summary'!C127:H127,"&lt;0"))&lt;0.5,(SUMIF('Income Statement'!C28:H28,"&gt;0")-SUMIF('Income Statement'!C28:H28,"&lt;0"))&lt;0.5,(SUMIF('Income Statement'!C109:G109,"&gt;0")-SUMIF('Income Statement'!C109:G109,"&lt;0"))&lt;0.5,(SUMIF('Income Statement'!C140:H140,"&gt;0")-SUMIF('Income Statement'!C140:H140,"&lt;0"))&lt;0.5,(SUMIF('Income Statement'!C150:H150,"&gt;0")-SUMIF('Income Statement'!C150:H150,"&lt;0"))&lt;0.5,(SUMIF('Income Statement'!C170:H170,"&gt;0")-SUMIF('Income Statement'!C170:H170,"&lt;0"))&lt;0.5,(SUMIF('Income Statement'!C181:H181,"&gt;0")-SUMIF('Income Statement'!C181:H181,"&lt;0"))&lt;0.5,(SUMIF('Income Statement'!C182:H182,"&gt;0")-SUMIF('Income Statement'!C182:H182,"&lt;0"))&lt;0.5,(SUMIF('Income Statement'!C183:H183,"&gt;0")-SUMIF('Income Statement'!C183:H183,"&lt;0"))&lt;0.5,(SUMIF('Balance Sheet'!C44:H44,"&gt;0")-SUMIF('Balance Sheet'!C44:H44,"&lt;0"))&lt;0.5,(SUMIF('Cash Flow Statement'!C74:H74,"&gt;0")-SUMIF('Cash Flow Statement'!C74:H74,"&lt;0"))&lt;0.5,(SUMIF('Cash Flow Statement'!C125:G125,"&gt;0")-SUMIF('Cash Flow Statement'!C125:G125,"&lt;0"))&lt;0.5,(SUMIF('Cash Flow Statement'!C126:G126,"&gt;0")-SUMIF('Cash Flow Statement'!C126:G126,"&lt;0"))&lt;0.5,(SUMIF('Cash Flow Statement'!C150:H150,"&gt;0")-SUMIF('Cash Flow Statement'!C150:H150,"&lt;0"))&lt;0.5,(SUMIF('Cash Flow Statement'!C151:H151,"&gt;0")-SUMIF('Cash Flow Statement'!C151:H151,"&lt;0"))&lt;0.5,(SUMIF(Geo!C35:H35,"&gt;0")-SUMIF(Geo!C35:H35,"&lt;0"))&lt;0.5,C61&lt;0.000001),"PASS","FAIL")</f>
        <v>PASS</v>
      </c>
      <c r="D27" s="1"/>
      <c r="E27" s="1"/>
      <c r="F27" s="1"/>
      <c r="G27" s="1"/>
      <c r="H27" s="1"/>
      <c r="I27" s="1"/>
      <c r="J27" s="1" t="s">
        <v>44</v>
      </c>
      <c r="K27" s="1"/>
      <c r="L27" s="1"/>
    </row>
    <row r="28" ht="15" customHeight="1">
      <c r="A28" s="1"/>
      <c r="B28" s="29" t="s">
        <v>45</v>
      </c>
      <c r="C28" s="30">
        <f>C47</f>
        <v>0.66</v>
      </c>
      <c r="D28" s="31"/>
      <c r="E28" s="31"/>
      <c r="F28" s="31"/>
      <c r="G28" s="31"/>
      <c r="H28" s="31"/>
      <c r="I28" s="1"/>
      <c r="J28" s="1"/>
      <c r="K28" s="1"/>
      <c r="L28" s="1"/>
    </row>
    <row r="29" ht="15" customHeight="1">
      <c r="A29" s="1"/>
      <c r="B29" s="28" t="s">
        <v>46</v>
      </c>
      <c r="C29" s="32" t="s">
        <v>47</v>
      </c>
      <c r="D29" s="1"/>
      <c r="E29" s="1"/>
      <c r="F29" s="1"/>
      <c r="G29" s="1"/>
      <c r="H29" s="1"/>
      <c r="I29" s="1"/>
      <c r="J29" s="1" t="s">
        <v>48</v>
      </c>
      <c r="K29" s="1"/>
      <c r="L29" s="1"/>
    </row>
    <row r="30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5" customHeight="1">
      <c r="A31" s="1"/>
      <c r="B31" s="4" t="s">
        <v>49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5" customHeight="1">
      <c r="A32" s="1"/>
      <c r="B32" s="17" t="s">
        <v>50</v>
      </c>
      <c r="C32" s="33">
        <v>142.063026</v>
      </c>
      <c r="D32" s="23"/>
      <c r="E32" s="23"/>
      <c r="F32" s="23"/>
      <c r="G32" s="23"/>
      <c r="H32" s="23"/>
      <c r="I32" s="1"/>
      <c r="J32" s="1" t="s">
        <v>51</v>
      </c>
      <c r="K32" s="1"/>
      <c r="L32" s="1"/>
    </row>
    <row r="33" ht="15" customHeight="1">
      <c r="A33" s="1"/>
      <c r="B33" s="17" t="s">
        <v>52</v>
      </c>
      <c r="C33" s="26">
        <f>Inputs!C339</f>
        <v>519.86</v>
      </c>
      <c r="D33" s="27"/>
      <c r="E33" s="27"/>
      <c r="F33" s="27"/>
      <c r="G33" s="27"/>
      <c r="H33" s="27"/>
      <c r="I33" s="1"/>
      <c r="J33" s="1"/>
      <c r="K33" s="1"/>
      <c r="L33" s="1"/>
    </row>
    <row r="34" ht="15" customHeight="1">
      <c r="A34" s="1"/>
      <c r="B34" s="17" t="s">
        <v>53</v>
      </c>
      <c r="C34" s="23">
        <f>C33*C32/1000</f>
        <v>73.85288469636001</v>
      </c>
      <c r="D34" s="23"/>
      <c r="E34" s="23"/>
      <c r="F34" s="23"/>
      <c r="G34" s="23"/>
      <c r="H34" s="23"/>
      <c r="I34" s="1"/>
      <c r="J34" s="1" t="s">
        <v>54</v>
      </c>
      <c r="K34" s="1"/>
      <c r="L34" s="1"/>
    </row>
    <row r="35" ht="15" customHeight="1">
      <c r="A35" s="1"/>
      <c r="B35" s="17" t="s">
        <v>55</v>
      </c>
      <c r="C35" s="33">
        <v>74.815</v>
      </c>
      <c r="D35" s="23"/>
      <c r="E35" s="23"/>
      <c r="F35" s="23"/>
      <c r="G35" s="23"/>
      <c r="H35" s="23"/>
      <c r="I35" s="1"/>
      <c r="J35" s="1"/>
      <c r="K35" s="1"/>
      <c r="L35" s="1"/>
    </row>
    <row r="36" ht="15" customHeight="1">
      <c r="A36" s="1"/>
      <c r="B36" s="17" t="s">
        <v>56</v>
      </c>
      <c r="C36" s="34" t="str">
        <f>IF(C34&gt;10,"Large",IF(C34&gt;=2,"Mid","Small"))</f>
        <v>Large</v>
      </c>
      <c r="D36" s="1"/>
      <c r="E36" s="1"/>
      <c r="F36" s="1"/>
      <c r="G36" s="1"/>
      <c r="H36" s="1"/>
      <c r="I36" s="1"/>
      <c r="J36" s="1"/>
      <c r="K36" s="1"/>
      <c r="L36" s="1"/>
    </row>
    <row r="37" ht="15" customHeight="1">
      <c r="A37" s="1"/>
      <c r="B37" s="17" t="s">
        <v>58</v>
      </c>
      <c r="C37" s="34" t="s">
        <v>59</v>
      </c>
      <c r="D37" s="1"/>
      <c r="E37" s="1"/>
      <c r="F37" s="1"/>
      <c r="G37" s="1"/>
      <c r="H37" s="1"/>
      <c r="I37" s="1"/>
      <c r="J37" s="1" t="s">
        <v>60</v>
      </c>
      <c r="K37" s="1"/>
      <c r="L37" s="1"/>
    </row>
    <row r="38" ht="15" customHeight="1">
      <c r="A38" s="1"/>
      <c r="B38" s="35" t="s">
        <v>61</v>
      </c>
      <c r="C38" s="36">
        <v>0.78</v>
      </c>
      <c r="D38" s="24"/>
      <c r="E38" s="24"/>
      <c r="F38" s="24"/>
      <c r="G38" s="24"/>
      <c r="H38" s="24"/>
      <c r="I38" s="1"/>
      <c r="J38" s="1"/>
      <c r="K38" s="1"/>
      <c r="L38" s="1"/>
    </row>
    <row r="39" ht="15" customHeight="1">
      <c r="A39" s="1"/>
      <c r="B39" s="35" t="s">
        <v>62</v>
      </c>
      <c r="C39" s="36">
        <v>0.7</v>
      </c>
      <c r="D39" s="24"/>
      <c r="E39" s="24"/>
      <c r="F39" s="24"/>
      <c r="G39" s="24"/>
      <c r="H39" s="24"/>
      <c r="I39" s="1"/>
      <c r="J39" s="1"/>
      <c r="K39" s="1"/>
      <c r="L39" s="1"/>
    </row>
    <row r="40" ht="15" customHeight="1">
      <c r="A40" s="1"/>
      <c r="B40" s="35" t="s">
        <v>63</v>
      </c>
      <c r="C40" s="36">
        <v>0.6</v>
      </c>
      <c r="D40" s="24"/>
      <c r="E40" s="24"/>
      <c r="F40" s="24"/>
      <c r="G40" s="24"/>
      <c r="H40" s="24"/>
      <c r="I40" s="1"/>
      <c r="J40" s="1"/>
      <c r="K40" s="1"/>
      <c r="L40" s="1"/>
    </row>
    <row r="41" ht="15" customHeight="1">
      <c r="A41" s="1"/>
      <c r="B41" s="35" t="s">
        <v>64</v>
      </c>
      <c r="C41" s="24">
        <f>IF(OR(C36="Large",C37="Yes"),C38,IF(C36="Mid",C39,C40))</f>
        <v>0.78</v>
      </c>
      <c r="D41" s="24"/>
      <c r="E41" s="24"/>
      <c r="F41" s="24"/>
      <c r="G41" s="24"/>
      <c r="H41" s="24"/>
      <c r="I41" s="1"/>
      <c r="J41" s="1"/>
      <c r="K41" s="1"/>
      <c r="L41" s="1"/>
    </row>
    <row r="42" ht="15" customHeight="1">
      <c r="A42" s="1"/>
      <c r="B42" s="17" t="s">
        <v>65</v>
      </c>
      <c r="C42" s="37">
        <f>SUM(Inputs!L247:L252)</f>
        <v>5</v>
      </c>
      <c r="D42" s="38"/>
      <c r="E42" s="38"/>
      <c r="F42" s="38"/>
      <c r="G42" s="38"/>
      <c r="H42" s="38"/>
      <c r="I42" s="1"/>
      <c r="J42" s="1"/>
      <c r="K42" s="1"/>
      <c r="L42" s="1"/>
    </row>
    <row r="43" ht="15" customHeight="1">
      <c r="A43" s="1"/>
      <c r="B43" s="17" t="s">
        <v>66</v>
      </c>
      <c r="C43" s="37">
        <f>COUNT(Inputs!E247:E252)</f>
        <v>6</v>
      </c>
      <c r="D43" s="38"/>
      <c r="E43" s="38"/>
      <c r="F43" s="38"/>
      <c r="G43" s="38"/>
      <c r="H43" s="38"/>
      <c r="I43" s="1"/>
      <c r="J43" s="1" t="s">
        <v>67</v>
      </c>
      <c r="K43" s="1"/>
      <c r="L43" s="1"/>
    </row>
    <row r="44" ht="15" customHeight="1">
      <c r="A44" s="1"/>
      <c r="B44" s="17" t="s">
        <v>68</v>
      </c>
      <c r="C44" s="39">
        <v>8</v>
      </c>
      <c r="D44" s="38"/>
      <c r="E44" s="38"/>
      <c r="F44" s="38"/>
      <c r="G44" s="38"/>
      <c r="H44" s="38"/>
      <c r="I44" s="1"/>
      <c r="J44" s="1"/>
      <c r="K44" s="1"/>
      <c r="L44" s="1"/>
    </row>
    <row r="45" ht="15" customHeight="1">
      <c r="A45" s="1"/>
      <c r="B45" s="35" t="s">
        <v>69</v>
      </c>
      <c r="C45" s="24">
        <f>(C44*C41+C42)/(C44+C43)</f>
        <v>0.8028571428571428</v>
      </c>
      <c r="D45" s="24"/>
      <c r="E45" s="24"/>
      <c r="F45" s="24"/>
      <c r="G45" s="24"/>
      <c r="H45" s="24"/>
      <c r="I45" s="1"/>
      <c r="J45" s="1"/>
      <c r="K45" s="1"/>
      <c r="L45" s="1"/>
    </row>
    <row r="46" ht="15" customHeight="1">
      <c r="A46" s="1"/>
      <c r="B46" s="35" t="s">
        <v>70</v>
      </c>
      <c r="C46" s="36">
        <v>-0.14</v>
      </c>
      <c r="D46" s="24"/>
      <c r="E46" s="24"/>
      <c r="F46" s="24"/>
      <c r="G46" s="24"/>
      <c r="H46" s="24"/>
      <c r="I46" s="1"/>
      <c r="J46" s="1" t="s">
        <v>71</v>
      </c>
      <c r="K46" s="1"/>
      <c r="L46" s="1"/>
    </row>
    <row r="47" ht="15" customHeight="1">
      <c r="A47" s="1"/>
      <c r="B47" s="29" t="s">
        <v>72</v>
      </c>
      <c r="C47" s="40">
        <f>ROUND(C45+C46,2)</f>
        <v>0.66</v>
      </c>
      <c r="D47" s="40"/>
      <c r="E47" s="40"/>
      <c r="F47" s="40"/>
      <c r="G47" s="40"/>
      <c r="H47" s="40"/>
      <c r="I47" s="1"/>
      <c r="J47" s="1"/>
      <c r="K47" s="1"/>
      <c r="L47" s="1"/>
    </row>
    <row r="48" ht="15" customHeight="1">
      <c r="A48" s="1"/>
      <c r="B48" s="17" t="s">
        <v>73</v>
      </c>
      <c r="C48" s="26">
        <f>AVERAGE(Inputs!K247:K252)</f>
        <v>0.13833333333333342</v>
      </c>
      <c r="D48" s="27"/>
      <c r="E48" s="27"/>
      <c r="F48" s="27"/>
      <c r="G48" s="27"/>
      <c r="H48" s="27"/>
      <c r="I48" s="1"/>
      <c r="J48" s="1"/>
      <c r="K48" s="1"/>
      <c r="L48" s="1"/>
    </row>
    <row r="49" ht="15" customHeight="1">
      <c r="A49" s="1"/>
      <c r="B49" s="17" t="s">
        <v>74</v>
      </c>
      <c r="C49" s="26">
        <f>Inputs!K249</f>
        <v>1.21</v>
      </c>
      <c r="D49" s="27"/>
      <c r="E49" s="27"/>
      <c r="F49" s="27"/>
      <c r="G49" s="27"/>
      <c r="H49" s="27"/>
      <c r="I49" s="1"/>
      <c r="J49" s="1"/>
      <c r="K49" s="1"/>
      <c r="L49" s="1"/>
    </row>
    <row r="50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5" customHeight="1">
      <c r="A51" s="1"/>
      <c r="B51" s="4" t="s">
        <v>75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5" customHeight="1">
      <c r="A52" s="1"/>
      <c r="B52" s="17" t="s">
        <v>76</v>
      </c>
      <c r="C52" s="41">
        <v>7.16</v>
      </c>
      <c r="D52" s="27"/>
      <c r="E52" s="27"/>
      <c r="F52" s="27"/>
      <c r="G52" s="27"/>
      <c r="H52" s="27"/>
      <c r="I52" s="1"/>
      <c r="J52" s="1" t="s">
        <v>77</v>
      </c>
      <c r="K52" s="1"/>
      <c r="L52" s="1"/>
    </row>
    <row r="53" ht="15" customHeight="1">
      <c r="A53" s="1"/>
      <c r="B53" s="17" t="s">
        <v>78</v>
      </c>
      <c r="C53" s="33">
        <v>11120</v>
      </c>
      <c r="D53" s="23"/>
      <c r="E53" s="23"/>
      <c r="F53" s="23"/>
      <c r="G53" s="23"/>
      <c r="H53" s="23"/>
      <c r="I53" s="1"/>
      <c r="J53" s="1" t="s">
        <v>79</v>
      </c>
      <c r="K53" s="1"/>
      <c r="L53" s="1"/>
    </row>
    <row r="54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5" customHeight="1">
      <c r="A55" s="1"/>
      <c r="B55" s="4" t="s">
        <v>80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5" customHeight="1">
      <c r="A56" s="1"/>
      <c r="B56" s="35" t="s">
        <v>81</v>
      </c>
      <c r="C56" s="42">
        <f>'Income Statement'!H22/'Income Statement'!C22-1</f>
        <v>0.06853306591192565</v>
      </c>
      <c r="D56" s="24"/>
      <c r="E56" s="24"/>
      <c r="F56" s="24"/>
      <c r="G56" s="24"/>
      <c r="H56" s="24"/>
      <c r="I56" s="1"/>
      <c r="J56" s="1"/>
      <c r="K56" s="1"/>
      <c r="L56" s="1"/>
    </row>
    <row r="57" ht="15" customHeight="1">
      <c r="A57" s="1"/>
      <c r="B57" s="35" t="s">
        <v>82</v>
      </c>
      <c r="C57" s="42">
        <f>'Income Statement'!H80</f>
        <v>0.1142238751363267</v>
      </c>
      <c r="D57" s="24"/>
      <c r="E57" s="24"/>
      <c r="F57" s="24"/>
      <c r="G57" s="24"/>
      <c r="H57" s="24"/>
      <c r="I57" s="1"/>
      <c r="J57" s="1"/>
      <c r="K57" s="1"/>
      <c r="L57" s="1"/>
    </row>
    <row r="58" ht="15" customHeight="1">
      <c r="A58" s="1"/>
      <c r="B58" s="35" t="s">
        <v>83</v>
      </c>
      <c r="C58" s="42">
        <f>'Income Statement'!H130</f>
        <v>0.175</v>
      </c>
      <c r="D58" s="24"/>
      <c r="E58" s="24"/>
      <c r="F58" s="24"/>
      <c r="G58" s="24"/>
      <c r="H58" s="24"/>
      <c r="I58" s="1"/>
      <c r="J58" s="1"/>
      <c r="K58" s="1"/>
      <c r="L58" s="1"/>
    </row>
    <row r="59" ht="15" customHeight="1">
      <c r="A59" s="1"/>
      <c r="B59" s="17" t="s">
        <v>84</v>
      </c>
      <c r="C59" s="22">
        <f>'Income Statement'!H144</f>
        <v>142.4</v>
      </c>
      <c r="D59" s="23"/>
      <c r="E59" s="23"/>
      <c r="F59" s="23"/>
      <c r="G59" s="23"/>
      <c r="H59" s="23"/>
      <c r="I59" s="1"/>
      <c r="J59" s="1"/>
      <c r="K59" s="1"/>
      <c r="L59" s="1"/>
    </row>
    <row r="60" ht="1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5" customHeight="1">
      <c r="A61" s="1"/>
      <c r="B61" s="4" t="s">
        <v>85</v>
      </c>
      <c r="C61" s="43">
        <f>ABS(C22-'Income Statement'!H22)+ABS(C23-'Income Statement'!H158)+ABS(C24-'Income Statement'!H133)+ABS(C25-'Income Statement'!H165)+ABS(C26-'Income Statement'!H146)</f>
        <v>0</v>
      </c>
      <c r="D61" s="44"/>
      <c r="E61" s="44"/>
      <c r="F61" s="40"/>
      <c r="G61" s="44"/>
      <c r="H61" s="44"/>
      <c r="I61" s="1"/>
      <c r="J61" s="1"/>
      <c r="K61" s="1"/>
      <c r="L61" s="1"/>
    </row>
    <row r="62" ht="1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6B2C5B8-44DB-D64F-A49A-F78D7CABB76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57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86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92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" t="s">
        <v>93</v>
      </c>
      <c r="C10" s="22">
        <f>'Segment - Aeronautics Systems'!C49</f>
        <v>3142</v>
      </c>
      <c r="D10" s="22">
        <f>'Segment - Aeronautics Systems'!D49</f>
        <v>3922</v>
      </c>
      <c r="E10" s="22">
        <f>'Segment - Aeronautics Systems'!E49</f>
        <v>12992</v>
      </c>
      <c r="F10" s="22">
        <f>'Segment - Aeronautics Systems'!F49</f>
        <v>3283</v>
      </c>
      <c r="G10" s="22">
        <f>'Segment - Aeronautics Systems'!G49</f>
        <v>3519</v>
      </c>
      <c r="H10" s="21">
        <f>'Segment - Aeronautics Systems'!H49</f>
        <v>3513.2239999999997</v>
      </c>
      <c r="I10" s="1"/>
      <c r="J10" s="1" t="s">
        <v>94</v>
      </c>
      <c r="K10" s="1"/>
      <c r="L10" s="1"/>
    </row>
    <row r="11" ht="15" customHeight="1">
      <c r="A11" s="1"/>
      <c r="B11" s="1" t="s">
        <v>95</v>
      </c>
      <c r="C11" s="22">
        <f>'Segment - Defense Systems'!C49</f>
        <v>2059</v>
      </c>
      <c r="D11" s="22">
        <f>'Segment - Defense Systems'!D49</f>
        <v>2147</v>
      </c>
      <c r="E11" s="22">
        <f>'Segment - Defense Systems'!E49</f>
        <v>8002</v>
      </c>
      <c r="F11" s="22">
        <f>'Segment - Defense Systems'!F49</f>
        <v>1899</v>
      </c>
      <c r="G11" s="22">
        <f>'Segment - Defense Systems'!G49</f>
        <v>2093</v>
      </c>
      <c r="H11" s="21">
        <f>'Segment - Defense Systems'!H49</f>
        <v>2254.07</v>
      </c>
      <c r="I11" s="1"/>
      <c r="J11" s="1" t="s">
        <v>96</v>
      </c>
      <c r="K11" s="1"/>
      <c r="L11" s="1"/>
    </row>
    <row r="12" ht="15" customHeight="1">
      <c r="A12" s="1"/>
      <c r="B12" s="1" t="s">
        <v>97</v>
      </c>
      <c r="C12" s="22">
        <f>'Segment - Mission Systems'!C49</f>
        <v>3093</v>
      </c>
      <c r="D12" s="22">
        <f>'Segment - Mission Systems'!D49</f>
        <v>3449</v>
      </c>
      <c r="E12" s="22">
        <f>'Segment - Mission Systems'!E49</f>
        <v>12506</v>
      </c>
      <c r="F12" s="22">
        <f>'Segment - Mission Systems'!F49</f>
        <v>2861</v>
      </c>
      <c r="G12" s="22">
        <f>'Segment - Mission Systems'!G49</f>
        <v>3250</v>
      </c>
      <c r="H12" s="21">
        <f>'Segment - Mission Systems'!H49</f>
        <v>3249.8399999999997</v>
      </c>
      <c r="I12" s="1"/>
      <c r="J12" s="1" t="s">
        <v>98</v>
      </c>
      <c r="K12" s="1"/>
      <c r="L12" s="1"/>
    </row>
    <row r="13" ht="15" customHeight="1">
      <c r="A13" s="1"/>
      <c r="B13" s="1" t="s">
        <v>99</v>
      </c>
      <c r="C13" s="22">
        <f>'Segment - Space Systems'!C49</f>
        <v>2698</v>
      </c>
      <c r="D13" s="22">
        <f>'Segment - Space Systems'!D49</f>
        <v>2859</v>
      </c>
      <c r="E13" s="22">
        <f>'Segment - Space Systems'!E49</f>
        <v>10771</v>
      </c>
      <c r="F13" s="22">
        <f>'Segment - Space Systems'!F49</f>
        <v>2480</v>
      </c>
      <c r="G13" s="22">
        <f>'Segment - Space Systems'!G49</f>
        <v>2753</v>
      </c>
      <c r="H13" s="21">
        <f>'Segment - Space Systems'!H49</f>
        <v>2806.024</v>
      </c>
      <c r="I13" s="1"/>
      <c r="J13" s="1" t="s">
        <v>100</v>
      </c>
      <c r="K13" s="1"/>
      <c r="L13" s="1"/>
    </row>
    <row r="14" ht="15" customHeight="1">
      <c r="A14" s="1"/>
      <c r="B14" s="1" t="s">
        <v>101</v>
      </c>
      <c r="C14" s="22">
        <f>-('Segment - Aeronautics Systems'!C59+'Segment - Defense Systems'!C59+'Segment - Mission Systems'!C59+'Segment - Space Systems'!C59)</f>
        <v>-569</v>
      </c>
      <c r="D14" s="22">
        <f>-('Segment - Aeronautics Systems'!D59+'Segment - Defense Systems'!D59+'Segment - Mission Systems'!D59+'Segment - Space Systems'!D59)</f>
        <v>-665</v>
      </c>
      <c r="E14" s="22">
        <f>-('Segment - Aeronautics Systems'!E59+'Segment - Defense Systems'!E59+'Segment - Mission Systems'!E59+'Segment - Space Systems'!E59)</f>
        <v>-2317</v>
      </c>
      <c r="F14" s="22">
        <f>-('Segment - Aeronautics Systems'!F59+'Segment - Defense Systems'!F59+'Segment - Mission Systems'!F59+'Segment - Space Systems'!F59)</f>
        <v>-642</v>
      </c>
      <c r="G14" s="22">
        <f>-('Segment - Aeronautics Systems'!G59+'Segment - Defense Systems'!G59+'Segment - Mission Systems'!G59+'Segment - Space Systems'!G59)</f>
        <v>-739</v>
      </c>
      <c r="H14" s="21">
        <f>-('Segment - Aeronautics Systems'!H59+'Segment - Defense Systems'!H59+'Segment - Mission Systems'!H59+'Segment - Space Systems'!H59)</f>
        <v>-685.837854</v>
      </c>
      <c r="I14" s="1"/>
      <c r="J14" s="1" t="s">
        <v>102</v>
      </c>
      <c r="K14" s="1"/>
      <c r="L14" s="1"/>
    </row>
    <row r="15" ht="15" customHeight="1">
      <c r="A15" s="1"/>
      <c r="B15" s="4" t="s">
        <v>103</v>
      </c>
      <c r="C15" s="46">
        <f t="shared" si="0" ref="C15:H15">C10+C11+C12+C13+C14</f>
        <v>10423</v>
      </c>
      <c r="D15" s="46">
        <f t="shared" si="0"/>
        <v>11712</v>
      </c>
      <c r="E15" s="46">
        <f t="shared" si="0"/>
        <v>41954</v>
      </c>
      <c r="F15" s="46">
        <f t="shared" si="0"/>
        <v>9881</v>
      </c>
      <c r="G15" s="46">
        <f t="shared" si="0"/>
        <v>10876</v>
      </c>
      <c r="H15" s="47">
        <f t="shared" si="0"/>
        <v>11137.320146</v>
      </c>
      <c r="I15" s="1"/>
      <c r="J15" s="1"/>
      <c r="K15" s="1"/>
      <c r="L15" s="1"/>
    </row>
    <row r="16" ht="15" customHeight="1">
      <c r="A16" s="1"/>
      <c r="B16" s="17" t="s">
        <v>104</v>
      </c>
      <c r="C16" s="33">
        <v>10423</v>
      </c>
      <c r="D16" s="33">
        <v>11712</v>
      </c>
      <c r="E16" s="33">
        <v>41954</v>
      </c>
      <c r="F16" s="33">
        <v>9881</v>
      </c>
      <c r="G16" s="33">
        <v>10876</v>
      </c>
      <c r="H16" s="48"/>
      <c r="I16" s="1"/>
      <c r="J16" s="1" t="s">
        <v>105</v>
      </c>
      <c r="K16" s="1"/>
      <c r="L16" s="1"/>
    </row>
    <row r="17" ht="15" customHeight="1">
      <c r="A17" s="1"/>
      <c r="B17" s="17" t="s">
        <v>106</v>
      </c>
      <c r="C17" s="23">
        <f t="shared" si="1" ref="C17:G17">C15-C16</f>
        <v>0</v>
      </c>
      <c r="D17" s="23">
        <f t="shared" si="1"/>
        <v>0</v>
      </c>
      <c r="E17" s="23">
        <f t="shared" si="1"/>
        <v>0</v>
      </c>
      <c r="F17" s="23">
        <f t="shared" si="1"/>
        <v>0</v>
      </c>
      <c r="G17" s="23">
        <f t="shared" si="1"/>
        <v>0</v>
      </c>
      <c r="H17" s="48"/>
      <c r="I17" s="1"/>
      <c r="J17" s="1"/>
      <c r="K17" s="1"/>
      <c r="L17" s="1"/>
    </row>
    <row r="18" ht="15" customHeight="1">
      <c r="A18" s="1"/>
      <c r="B18" s="17" t="s">
        <v>107</v>
      </c>
      <c r="C18" s="22">
        <f>Inputs!I249</f>
        <v>10423</v>
      </c>
      <c r="D18" s="22">
        <f>Inputs!I250</f>
        <v>11712</v>
      </c>
      <c r="E18" s="23"/>
      <c r="F18" s="22">
        <f>Inputs!I251</f>
        <v>9881</v>
      </c>
      <c r="G18" s="22">
        <f>Inputs!I252</f>
        <v>10876</v>
      </c>
      <c r="H18" s="48"/>
      <c r="I18" s="1"/>
      <c r="J18" s="1" t="s">
        <v>108</v>
      </c>
      <c r="K18" s="1"/>
      <c r="L18" s="1"/>
    </row>
    <row r="19" ht="15" customHeight="1">
      <c r="A19" s="1"/>
      <c r="B19" s="17" t="s">
        <v>109</v>
      </c>
      <c r="C19" s="23">
        <f t="shared" si="2" ref="C19:G19">C15-C18</f>
        <v>0</v>
      </c>
      <c r="D19" s="23">
        <f t="shared" si="2"/>
        <v>0</v>
      </c>
      <c r="E19" s="23"/>
      <c r="F19" s="23">
        <f t="shared" si="2"/>
        <v>0</v>
      </c>
      <c r="G19" s="23">
        <f t="shared" si="2"/>
        <v>0</v>
      </c>
      <c r="H19" s="48"/>
      <c r="I19" s="1"/>
      <c r="J19" s="1"/>
      <c r="K19" s="1"/>
      <c r="L19" s="1"/>
    </row>
    <row r="20" ht="15" customHeight="1">
      <c r="A20" s="1"/>
      <c r="B20" s="1"/>
      <c r="C20" s="1"/>
      <c r="D20" s="1"/>
      <c r="E20" s="1"/>
      <c r="F20" s="1"/>
      <c r="G20" s="1"/>
      <c r="H20" s="45"/>
      <c r="I20" s="1"/>
      <c r="J20" s="1"/>
      <c r="K20" s="1"/>
      <c r="L20" s="1"/>
    </row>
    <row r="21" ht="15" customHeight="1">
      <c r="A21" s="1"/>
      <c r="B21" s="4" t="s">
        <v>110</v>
      </c>
      <c r="C21" s="34"/>
      <c r="D21" s="34"/>
      <c r="E21" s="34"/>
      <c r="F21" s="34"/>
      <c r="G21" s="34"/>
      <c r="H21" s="32"/>
      <c r="I21" s="1"/>
      <c r="J21" s="1"/>
      <c r="K21" s="1"/>
      <c r="L21" s="1"/>
    </row>
    <row r="22" ht="15" customHeight="1">
      <c r="A22" s="1"/>
      <c r="B22" s="1" t="s">
        <v>93</v>
      </c>
      <c r="C22" s="34"/>
      <c r="D22" s="34"/>
      <c r="E22" s="34"/>
      <c r="F22" s="34"/>
      <c r="G22" s="34"/>
      <c r="H22" s="32"/>
      <c r="I22" s="1"/>
      <c r="J22" s="1"/>
      <c r="K22" s="1"/>
      <c r="L22" s="1"/>
    </row>
    <row r="23" ht="15" customHeight="1">
      <c r="A23" s="1"/>
      <c r="B23" s="35" t="s">
        <v>111</v>
      </c>
      <c r="C23" s="42">
        <f>C10/(Inputs!C13)-1</f>
        <v>0.06112799729821017</v>
      </c>
      <c r="D23" s="42">
        <f>D10/(Inputs!E13)-1</f>
        <v>0.1774241969378565</v>
      </c>
      <c r="E23" s="42">
        <f>E10/(Inputs!F13)-1</f>
        <v>0.04808002581477888</v>
      </c>
      <c r="F23" s="42">
        <f>F10/(Inputs!G13)-1</f>
        <v>0.16666666666666674</v>
      </c>
      <c r="G23" s="42">
        <f>G10/(Inputs!H13)-1</f>
        <v>0.13005780346820806</v>
      </c>
      <c r="H23" s="49">
        <f>H10/C10-1</f>
        <v>0.11814894971355816</v>
      </c>
      <c r="I23" s="1"/>
      <c r="J23" s="1"/>
      <c r="K23" s="1"/>
      <c r="L23" s="1"/>
    </row>
    <row r="24" ht="15" customHeight="1">
      <c r="A24" s="1"/>
      <c r="B24" s="35" t="s">
        <v>112</v>
      </c>
      <c r="C24" s="42">
        <f>C10/(Inputs!H13)-1</f>
        <v>0.008991650610147728</v>
      </c>
      <c r="D24" s="24">
        <f t="shared" si="3" ref="D24:H24">D10/C10-1</f>
        <v>0.248249522597072</v>
      </c>
      <c r="E24" s="24"/>
      <c r="F24" s="24">
        <f>F10/D10-1</f>
        <v>-0.1629270780214176</v>
      </c>
      <c r="G24" s="24">
        <f t="shared" si="3"/>
        <v>0.07188547060615291</v>
      </c>
      <c r="H24" s="49">
        <f t="shared" si="3"/>
        <v>-0.001641375390736055</v>
      </c>
      <c r="I24" s="1"/>
      <c r="J24" s="1"/>
      <c r="K24" s="1"/>
      <c r="L24" s="1"/>
    </row>
    <row r="25" ht="15" customHeight="1">
      <c r="A25" s="1"/>
      <c r="B25" s="50" t="s">
        <v>113</v>
      </c>
      <c r="C25" s="24">
        <f t="shared" si="4" ref="C25:H25">C10/C15</f>
        <v>0.30144871917873933</v>
      </c>
      <c r="D25" s="24">
        <f t="shared" si="4"/>
        <v>0.334870218579235</v>
      </c>
      <c r="E25" s="24">
        <f t="shared" si="4"/>
        <v>0.30967249845068406</v>
      </c>
      <c r="F25" s="24">
        <f t="shared" si="4"/>
        <v>0.3322538204635158</v>
      </c>
      <c r="G25" s="24">
        <f t="shared" si="4"/>
        <v>0.3235564545788893</v>
      </c>
      <c r="H25" s="49">
        <f t="shared" si="4"/>
        <v>0.3154460816376715</v>
      </c>
      <c r="I25" s="1"/>
      <c r="J25" s="1"/>
      <c r="K25" s="1"/>
      <c r="L25" s="1"/>
    </row>
    <row r="26" ht="15" customHeight="1">
      <c r="A26" s="1"/>
      <c r="B26" s="51" t="s">
        <v>114</v>
      </c>
      <c r="C26" s="52">
        <f>(C25-((Inputs!C13)/((Inputs!C13)+(Inputs!C32)+(Inputs!C51)+(Inputs!C70)+(-(Inputs!C15+Inputs!C34+Inputs!C53+Inputs!C72)))))*10000</f>
        <v>52.302317837813476</v>
      </c>
      <c r="D26" s="52">
        <f>(D25-((Inputs!E13)/((Inputs!E13)+(Inputs!E32)+(Inputs!E51)+(Inputs!E70)+(-(Inputs!E15+Inputs!E34+Inputs!E53+Inputs!E72)))))*10000</f>
        <v>231.53954308226199</v>
      </c>
      <c r="E26" s="52">
        <f>(E25-((Inputs!F13)/((Inputs!F13)+(Inputs!F32)+(Inputs!F51)+(Inputs!F70)+(-(Inputs!F15+Inputs!F34+Inputs!F53+Inputs!F72)))))*10000</f>
        <v>75.74187335240401</v>
      </c>
      <c r="F26" s="52">
        <f>(F25-((Inputs!G13)/((Inputs!G13)+(Inputs!G32)+(Inputs!G51)+(Inputs!G70)+(-(Inputs!G15+Inputs!G34+Inputs!G53+Inputs!G72)))))*10000</f>
        <v>350.42160133984754</v>
      </c>
      <c r="G26" s="52">
        <f>(G25-((Inputs!H13)/((Inputs!H13)+(Inputs!H32)+(Inputs!H51)+(Inputs!H70)+(-(Inputs!H15+Inputs!H34+Inputs!H53+Inputs!H72)))))*10000</f>
        <v>227.15956076329203</v>
      </c>
      <c r="H26" s="53">
        <f t="shared" si="8" ref="H26:H125">(H25-C25)*10000</f>
        <v>139.97362458932184</v>
      </c>
      <c r="I26" s="1"/>
      <c r="J26" s="1"/>
      <c r="K26" s="1"/>
      <c r="L26" s="1"/>
    </row>
    <row r="27" ht="15" customHeight="1">
      <c r="A27" s="1"/>
      <c r="B27" s="51" t="s">
        <v>115</v>
      </c>
      <c r="C27" s="52">
        <f>(C25-((Inputs!H13)/((Inputs!H13)+(Inputs!H32)+(Inputs!H51)+(Inputs!H70)+(-(Inputs!H15+Inputs!H34+Inputs!H53+Inputs!H72)))))*10000</f>
        <v>6.082206761792164</v>
      </c>
      <c r="D27" s="54">
        <f t="shared" si="5" ref="D27:H126">(D25-C25)*10000</f>
        <v>334.21499400495657</v>
      </c>
      <c r="E27" s="54"/>
      <c r="F27" s="54">
        <f t="shared" si="9" ref="F27:F126">(F25-D25)*10000</f>
        <v>-26.163981157191763</v>
      </c>
      <c r="G27" s="54">
        <f t="shared" si="5"/>
        <v>-86.97365884626495</v>
      </c>
      <c r="H27" s="53">
        <f t="shared" si="5"/>
        <v>-81.10372941217803</v>
      </c>
      <c r="I27" s="1"/>
      <c r="J27" s="1"/>
      <c r="K27" s="1"/>
      <c r="L27" s="1"/>
    </row>
    <row r="28" ht="15" customHeight="1">
      <c r="A28" s="1"/>
      <c r="B28" s="50" t="s">
        <v>116</v>
      </c>
      <c r="C28" s="42">
        <f>'Segment - Aeronautics Systems'!C53</f>
        <v>0.06112799729821017</v>
      </c>
      <c r="D28" s="42">
        <f>'Segment - Aeronautics Systems'!D53</f>
        <v>0.1774241969378565</v>
      </c>
      <c r="E28" s="42">
        <f>'Segment - Aeronautics Systems'!E53</f>
        <v>0.04808002581477888</v>
      </c>
      <c r="F28" s="42">
        <f>'Segment - Aeronautics Systems'!F53</f>
        <v>0.16666666666666674</v>
      </c>
      <c r="G28" s="42">
        <f>'Segment - Aeronautics Systems'!G53</f>
        <v>0.13005780346820806</v>
      </c>
      <c r="H28" s="55">
        <f>'Segment - Aeronautics Systems'!H53</f>
        <v>0.11814894971355816</v>
      </c>
      <c r="I28" s="1"/>
      <c r="J28" s="1"/>
      <c r="K28" s="1"/>
      <c r="L28" s="1"/>
    </row>
    <row r="29" ht="15" customHeight="1">
      <c r="A29" s="1"/>
      <c r="B29" s="50" t="s">
        <v>117</v>
      </c>
      <c r="C29" s="42">
        <f>'Segment - Aeronautics Systems'!C54</f>
        <v>0</v>
      </c>
      <c r="D29" s="42">
        <f>'Segment - Aeronautics Systems'!D54</f>
        <v>0</v>
      </c>
      <c r="E29" s="42">
        <f>'Segment - Aeronautics Systems'!E54</f>
        <v>0</v>
      </c>
      <c r="F29" s="42">
        <f>'Segment - Aeronautics Systems'!F54</f>
        <v>0</v>
      </c>
      <c r="G29" s="42">
        <f>'Segment - Aeronautics Systems'!G54</f>
        <v>0</v>
      </c>
      <c r="H29" s="55">
        <f>'Segment - Aeronautics Systems'!H54</f>
        <v>0</v>
      </c>
      <c r="I29" s="1"/>
      <c r="J29" s="1"/>
      <c r="K29" s="1"/>
      <c r="L29" s="1"/>
    </row>
    <row r="30" ht="15" customHeight="1">
      <c r="A30" s="1"/>
      <c r="B30" s="56" t="s">
        <v>118</v>
      </c>
      <c r="C30" s="34" t="s">
        <v>38</v>
      </c>
      <c r="D30" s="34" t="s">
        <v>38</v>
      </c>
      <c r="E30" s="34" t="s">
        <v>38</v>
      </c>
      <c r="F30" s="34" t="s">
        <v>38</v>
      </c>
      <c r="G30" s="34" t="s">
        <v>38</v>
      </c>
      <c r="H30" s="32" t="s">
        <v>38</v>
      </c>
      <c r="I30" s="1"/>
      <c r="J30" s="1"/>
      <c r="K30" s="1"/>
      <c r="L30" s="1"/>
    </row>
    <row r="31" ht="15" customHeight="1">
      <c r="A31" s="1"/>
      <c r="B31" s="1" t="s">
        <v>95</v>
      </c>
      <c r="C31" s="34"/>
      <c r="D31" s="34"/>
      <c r="E31" s="34"/>
      <c r="F31" s="34"/>
      <c r="G31" s="34"/>
      <c r="H31" s="32"/>
      <c r="I31" s="1"/>
      <c r="J31" s="1"/>
      <c r="K31" s="1"/>
      <c r="L31" s="1"/>
    </row>
    <row r="32" ht="15" customHeight="1">
      <c r="A32" s="1"/>
      <c r="B32" s="35" t="s">
        <v>111</v>
      </c>
      <c r="C32" s="42">
        <f>C11/(Inputs!C32)-1</f>
        <v>0.14388888888888896</v>
      </c>
      <c r="D32" s="42">
        <f>D11/(Inputs!E32)-1</f>
        <v>0.07189216175736401</v>
      </c>
      <c r="E32" s="42">
        <f>E11/(Inputs!F32)-1</f>
        <v>0.0814974996621165</v>
      </c>
      <c r="F32" s="42">
        <f>F11/(Inputs!G32)-1</f>
        <v>0.052077562326869886</v>
      </c>
      <c r="G32" s="42">
        <f>G11/(Inputs!H32)-1</f>
        <v>0.05123053741838279</v>
      </c>
      <c r="H32" s="49">
        <f>H11/C11-1</f>
        <v>0.09474016512870342</v>
      </c>
      <c r="I32" s="1"/>
      <c r="J32" s="1"/>
      <c r="K32" s="1"/>
      <c r="L32" s="1"/>
    </row>
    <row r="33" ht="15" customHeight="1">
      <c r="A33" s="1"/>
      <c r="B33" s="35" t="s">
        <v>112</v>
      </c>
      <c r="C33" s="42">
        <f>C11/(Inputs!H32)-1</f>
        <v>0.03415369161225512</v>
      </c>
      <c r="D33" s="24">
        <f t="shared" si="6" ref="D33:H33">D11/C11-1</f>
        <v>0.042739193783390084</v>
      </c>
      <c r="E33" s="24"/>
      <c r="F33" s="24">
        <f>F11/D11-1</f>
        <v>-0.11551001397298555</v>
      </c>
      <c r="G33" s="24">
        <f t="shared" si="6"/>
        <v>0.10215903106898372</v>
      </c>
      <c r="H33" s="49">
        <f t="shared" si="6"/>
        <v>0.07695652173913059</v>
      </c>
      <c r="I33" s="1"/>
      <c r="J33" s="1"/>
      <c r="K33" s="1"/>
      <c r="L33" s="1"/>
    </row>
    <row r="34" ht="15" customHeight="1">
      <c r="A34" s="1"/>
      <c r="B34" s="50" t="s">
        <v>113</v>
      </c>
      <c r="C34" s="24">
        <f t="shared" si="7" ref="C34:H34">C11/C15</f>
        <v>0.1975438933128658</v>
      </c>
      <c r="D34" s="24">
        <f t="shared" si="7"/>
        <v>0.1833162568306011</v>
      </c>
      <c r="E34" s="24">
        <f t="shared" si="7"/>
        <v>0.1907327072507985</v>
      </c>
      <c r="F34" s="24">
        <f t="shared" si="7"/>
        <v>0.1921870256046959</v>
      </c>
      <c r="G34" s="24">
        <f t="shared" si="7"/>
        <v>0.19244207429201912</v>
      </c>
      <c r="H34" s="49">
        <f t="shared" si="7"/>
        <v>0.2023889023976343</v>
      </c>
      <c r="I34" s="1"/>
      <c r="J34" s="1"/>
      <c r="K34" s="1"/>
      <c r="L34" s="1"/>
    </row>
    <row r="35" ht="15" customHeight="1">
      <c r="A35" s="1"/>
      <c r="B35" s="51" t="s">
        <v>114</v>
      </c>
      <c r="C35" s="52">
        <f>(C34-((Inputs!C32)/((Inputs!C13)+(Inputs!C32)+(Inputs!C51)+(Inputs!C70)+(-(Inputs!C15+Inputs!C34+Inputs!C53+Inputs!C72)))))*10000</f>
        <v>174.71864501341167</v>
      </c>
      <c r="D35" s="52">
        <f>(D34-((Inputs!E32)/((Inputs!E13)+(Inputs!E32)+(Inputs!E51)+(Inputs!E70)+(-(Inputs!E15+Inputs!E34+Inputs!E53+Inputs!E72)))))*10000</f>
        <v>-41.25255428429397</v>
      </c>
      <c r="E35" s="52">
        <f>(E34-((Inputs!F32)/((Inputs!F13)+(Inputs!F32)+(Inputs!F51)+(Inputs!F70)+(-(Inputs!F15+Inputs!F34+Inputs!F53+Inputs!F72)))))*10000</f>
        <v>104.14426842346752</v>
      </c>
      <c r="F35" s="52">
        <f>(F34-((Inputs!G32)/((Inputs!G13)+(Inputs!G32)+(Inputs!G51)+(Inputs!G70)+(-(Inputs!G15+Inputs!G34+Inputs!G53+Inputs!G72)))))*10000</f>
        <v>15.44862529072738</v>
      </c>
      <c r="G35" s="52">
        <f>(G34-((Inputs!H32)/((Inputs!H13)+(Inputs!H32)+(Inputs!H51)+(Inputs!H70)+(-(Inputs!H15+Inputs!H34+Inputs!H53+Inputs!H72)))))*10000</f>
        <v>0.9350893601486887</v>
      </c>
      <c r="H35" s="53">
        <f t="shared" si="8"/>
        <v>48.45009084768509</v>
      </c>
      <c r="I35" s="1"/>
      <c r="J35" s="1"/>
      <c r="K35" s="1"/>
      <c r="L35" s="1"/>
    </row>
    <row r="36" ht="15" customHeight="1">
      <c r="A36" s="1"/>
      <c r="B36" s="51" t="s">
        <v>115</v>
      </c>
      <c r="C36" s="52">
        <f>(C34-((Inputs!H32)/((Inputs!H13)+(Inputs!H32)+(Inputs!H51)+(Inputs!H70)+(-(Inputs!H15+Inputs!H34+Inputs!H53+Inputs!H72)))))*10000</f>
        <v>51.95327956861534</v>
      </c>
      <c r="D36" s="54">
        <f t="shared" si="5"/>
        <v>-142.27636482264688</v>
      </c>
      <c r="E36" s="54"/>
      <c r="F36" s="54">
        <f t="shared" si="9"/>
        <v>88.70768774094789</v>
      </c>
      <c r="G36" s="54">
        <f t="shared" si="5"/>
        <v>2.5504868732323382</v>
      </c>
      <c r="H36" s="53">
        <f t="shared" si="5"/>
        <v>99.46828105615174</v>
      </c>
      <c r="I36" s="1"/>
      <c r="J36" s="1"/>
      <c r="K36" s="1"/>
      <c r="L36" s="1"/>
    </row>
    <row r="37" ht="15" customHeight="1">
      <c r="A37" s="1"/>
      <c r="B37" s="50" t="s">
        <v>116</v>
      </c>
      <c r="C37" s="42">
        <f>'Segment - Defense Systems'!C53</f>
        <v>0.1901734104046242</v>
      </c>
      <c r="D37" s="42">
        <f>'Segment - Defense Systems'!D53</f>
        <v>0.11532467532467527</v>
      </c>
      <c r="E37" s="42">
        <f>'Segment - Defense Systems'!E53</f>
        <v>0.11205073995771664</v>
      </c>
      <c r="F37" s="42">
        <f>'Segment - Defense Systems'!F53</f>
        <v>0.09578765147143686</v>
      </c>
      <c r="G37" s="42">
        <f>'Segment - Defense Systems'!G53</f>
        <v>0.07278318810866224</v>
      </c>
      <c r="H37" s="55">
        <f>'Segment - Defense Systems'!H53</f>
        <v>0.09474016512870342</v>
      </c>
      <c r="I37" s="1"/>
      <c r="J37" s="1"/>
      <c r="K37" s="1"/>
      <c r="L37" s="1"/>
    </row>
    <row r="38" ht="15" customHeight="1">
      <c r="A38" s="1"/>
      <c r="B38" s="50" t="s">
        <v>117</v>
      </c>
      <c r="C38" s="42">
        <f>'Segment - Defense Systems'!C54</f>
        <v>-0.03888888888888875</v>
      </c>
      <c r="D38" s="42">
        <f>'Segment - Defense Systems'!D54</f>
        <v>-0.03894158761857203</v>
      </c>
      <c r="E38" s="42">
        <f>'Segment - Defense Systems'!E54</f>
        <v>-0.027474681862773465</v>
      </c>
      <c r="F38" s="42">
        <f>'Segment - Defense Systems'!F54</f>
        <v>-0.039889196675900296</v>
      </c>
      <c r="G38" s="42">
        <f>'Segment - Defense Systems'!G54</f>
        <v>-0.02009040683073826</v>
      </c>
      <c r="H38" s="55">
        <f>'Segment - Defense Systems'!H54</f>
        <v>0</v>
      </c>
      <c r="I38" s="1"/>
      <c r="J38" s="1"/>
      <c r="K38" s="1"/>
      <c r="L38" s="1"/>
    </row>
    <row r="39" ht="15" customHeight="1">
      <c r="A39" s="1"/>
      <c r="B39" s="56" t="s">
        <v>118</v>
      </c>
      <c r="C39" s="34" t="s">
        <v>38</v>
      </c>
      <c r="D39" s="34" t="s">
        <v>38</v>
      </c>
      <c r="E39" s="34" t="s">
        <v>38</v>
      </c>
      <c r="F39" s="34" t="s">
        <v>38</v>
      </c>
      <c r="G39" s="34" t="s">
        <v>38</v>
      </c>
      <c r="H39" s="32" t="s">
        <v>38</v>
      </c>
      <c r="I39" s="1"/>
      <c r="J39" s="1"/>
      <c r="K39" s="1"/>
      <c r="L39" s="1"/>
    </row>
    <row r="40" ht="15" customHeight="1">
      <c r="A40" s="1"/>
      <c r="B40" s="1" t="s">
        <v>97</v>
      </c>
      <c r="C40" s="34"/>
      <c r="D40" s="34"/>
      <c r="E40" s="34"/>
      <c r="F40" s="34"/>
      <c r="G40" s="34"/>
      <c r="H40" s="32"/>
      <c r="I40" s="1"/>
      <c r="J40" s="1"/>
      <c r="K40" s="1"/>
      <c r="L40" s="1"/>
    </row>
    <row r="41" ht="15" customHeight="1">
      <c r="A41" s="1"/>
      <c r="B41" s="35" t="s">
        <v>111</v>
      </c>
      <c r="C41" s="42">
        <f>C12/(Inputs!C51)-1</f>
        <v>0.09564293304994687</v>
      </c>
      <c r="D41" s="42">
        <f>D12/(Inputs!E51)-1</f>
        <v>0.09701017811704826</v>
      </c>
      <c r="E41" s="42">
        <f>E12/(Inputs!F51)-1</f>
        <v>0.09711378191069397</v>
      </c>
      <c r="F41" s="42">
        <f>F12/(Inputs!G51)-1</f>
        <v>0.01923762023512654</v>
      </c>
      <c r="G41" s="42">
        <f>G12/(Inputs!H51)-1</f>
        <v>0.029458346531517243</v>
      </c>
      <c r="H41" s="49">
        <f>H12/C12-1</f>
        <v>0.05070805043646942</v>
      </c>
      <c r="I41" s="1"/>
      <c r="J41" s="1"/>
      <c r="K41" s="1"/>
      <c r="L41" s="1"/>
    </row>
    <row r="42" ht="15" customHeight="1">
      <c r="A42" s="1"/>
      <c r="B42" s="35" t="s">
        <v>112</v>
      </c>
      <c r="C42" s="42">
        <f>C12/(Inputs!H51)-1</f>
        <v>-0.02027241051631301</v>
      </c>
      <c r="D42" s="24">
        <f t="shared" si="10" ref="D42:H42">D12/C12-1</f>
        <v>0.11509860976398323</v>
      </c>
      <c r="E42" s="24"/>
      <c r="F42" s="24">
        <f>F12/D12-1</f>
        <v>-0.17048419831835315</v>
      </c>
      <c r="G42" s="24">
        <f t="shared" si="10"/>
        <v>0.1359664452988465</v>
      </c>
      <c r="H42" s="49">
        <f t="shared" si="10"/>
        <v>-0.00004923076923091241</v>
      </c>
      <c r="I42" s="1"/>
      <c r="J42" s="1"/>
      <c r="K42" s="1"/>
      <c r="L42" s="1"/>
    </row>
    <row r="43" ht="15" customHeight="1">
      <c r="A43" s="1"/>
      <c r="B43" s="50" t="s">
        <v>113</v>
      </c>
      <c r="C43" s="24">
        <f t="shared" si="11" ref="C43:H43">C12/C15</f>
        <v>0.2967475774728965</v>
      </c>
      <c r="D43" s="24">
        <f t="shared" si="11"/>
        <v>0.29448428961748635</v>
      </c>
      <c r="E43" s="24">
        <f t="shared" si="11"/>
        <v>0.2980883825141822</v>
      </c>
      <c r="F43" s="24">
        <f t="shared" si="11"/>
        <v>0.2895455925513612</v>
      </c>
      <c r="G43" s="24">
        <f t="shared" si="11"/>
        <v>0.2988230967267378</v>
      </c>
      <c r="H43" s="49">
        <f t="shared" si="11"/>
        <v>0.29179730468349596</v>
      </c>
      <c r="I43" s="1"/>
      <c r="J43" s="1"/>
      <c r="K43" s="1"/>
      <c r="L43" s="1"/>
    </row>
    <row r="44" ht="15" customHeight="1">
      <c r="A44" s="1"/>
      <c r="B44" s="51" t="s">
        <v>114</v>
      </c>
      <c r="C44" s="52">
        <f>(C43-((Inputs!C51)/((Inputs!C13)+(Inputs!C32)+(Inputs!C51)+(Inputs!C70)+(-(Inputs!C15+Inputs!C34+Inputs!C53+Inputs!C72)))))*10000</f>
        <v>143.34612286822036</v>
      </c>
      <c r="D44" s="52">
        <f>(D43-((Inputs!E51)/((Inputs!E13)+(Inputs!E32)+(Inputs!E51)+(Inputs!E70)+(-(Inputs!E15+Inputs!E34+Inputs!E53+Inputs!E72)))))*10000</f>
        <v>2.6755744454981523</v>
      </c>
      <c r="E44" s="52">
        <f>(E43-((Inputs!F51)/((Inputs!F13)+(Inputs!F32)+(Inputs!F51)+(Inputs!F70)+(-(Inputs!F15+Inputs!F34+Inputs!F53+Inputs!F72)))))*10000</f>
        <v>202.87588031692505</v>
      </c>
      <c r="F44" s="52">
        <f>(F43-((Inputs!G51)/((Inputs!G13)+(Inputs!G32)+(Inputs!G51)+(Inputs!G70)+(-(Inputs!G15+Inputs!G34+Inputs!G53+Inputs!G72)))))*10000</f>
        <v>-69.26735289787933</v>
      </c>
      <c r="G44" s="52">
        <f>(G43-((Inputs!H51)/((Inputs!H13)+(Inputs!H32)+(Inputs!H51)+(Inputs!H70)+(-(Inputs!H15+Inputs!H34+Inputs!H53+Inputs!H72)))))*10000</f>
        <v>-61.715897769816785</v>
      </c>
      <c r="H44" s="53">
        <f t="shared" si="8"/>
        <v>-49.502727894005226</v>
      </c>
      <c r="I44" s="1"/>
      <c r="J44" s="1"/>
      <c r="K44" s="1"/>
      <c r="L44" s="1"/>
    </row>
    <row r="45" ht="15" customHeight="1">
      <c r="A45" s="1"/>
      <c r="B45" s="51" t="s">
        <v>115</v>
      </c>
      <c r="C45" s="52">
        <f>(C43-((Inputs!H51)/((Inputs!H13)+(Inputs!H32)+(Inputs!H51)+(Inputs!H70)+(-(Inputs!H15+Inputs!H34+Inputs!H53+Inputs!H72)))))*10000</f>
        <v>-82.47109030822986</v>
      </c>
      <c r="D45" s="54">
        <f t="shared" si="5"/>
        <v>-22.632878554101342</v>
      </c>
      <c r="E45" s="54"/>
      <c r="F45" s="54">
        <f t="shared" si="9"/>
        <v>-49.386970661251524</v>
      </c>
      <c r="G45" s="54">
        <f t="shared" si="5"/>
        <v>92.77504175376595</v>
      </c>
      <c r="H45" s="53">
        <f t="shared" si="5"/>
        <v>-70.2579204324183</v>
      </c>
      <c r="I45" s="1"/>
      <c r="J45" s="1"/>
      <c r="K45" s="1"/>
      <c r="L45" s="1"/>
    </row>
    <row r="46" ht="15" customHeight="1">
      <c r="A46" s="1"/>
      <c r="B46" s="50" t="s">
        <v>116</v>
      </c>
      <c r="C46" s="42">
        <f>'Segment - Mission Systems'!C53</f>
        <v>0.09564293304994687</v>
      </c>
      <c r="D46" s="42">
        <f>'Segment - Mission Systems'!D53</f>
        <v>0.09701017811704826</v>
      </c>
      <c r="E46" s="42">
        <f>'Segment - Mission Systems'!E53</f>
        <v>0.09711378191069397</v>
      </c>
      <c r="F46" s="42">
        <f>'Segment - Mission Systems'!F53</f>
        <v>0.01923762023512654</v>
      </c>
      <c r="G46" s="42">
        <f>'Segment - Mission Systems'!G53</f>
        <v>0.029458346531517243</v>
      </c>
      <c r="H46" s="55">
        <f>'Segment - Mission Systems'!H53</f>
        <v>0.05070805043646942</v>
      </c>
      <c r="I46" s="1"/>
      <c r="J46" s="1"/>
      <c r="K46" s="1"/>
      <c r="L46" s="1"/>
    </row>
    <row r="47" ht="15" customHeight="1">
      <c r="A47" s="1"/>
      <c r="B47" s="50" t="s">
        <v>117</v>
      </c>
      <c r="C47" s="42">
        <f>'Segment - Mission Systems'!C54</f>
        <v>0</v>
      </c>
      <c r="D47" s="42">
        <f>'Segment - Mission Systems'!D54</f>
        <v>0</v>
      </c>
      <c r="E47" s="42">
        <f>'Segment - Mission Systems'!E54</f>
        <v>0</v>
      </c>
      <c r="F47" s="42">
        <f>'Segment - Mission Systems'!F54</f>
        <v>0</v>
      </c>
      <c r="G47" s="42">
        <f>'Segment - Mission Systems'!G54</f>
        <v>0</v>
      </c>
      <c r="H47" s="55">
        <f>'Segment - Mission Systems'!H54</f>
        <v>0</v>
      </c>
      <c r="I47" s="1"/>
      <c r="J47" s="1"/>
      <c r="K47" s="1"/>
      <c r="L47" s="1"/>
    </row>
    <row r="48" ht="15" customHeight="1">
      <c r="A48" s="1"/>
      <c r="B48" s="56" t="s">
        <v>118</v>
      </c>
      <c r="C48" s="34" t="s">
        <v>38</v>
      </c>
      <c r="D48" s="34" t="s">
        <v>38</v>
      </c>
      <c r="E48" s="34" t="s">
        <v>38</v>
      </c>
      <c r="F48" s="34" t="s">
        <v>38</v>
      </c>
      <c r="G48" s="34" t="s">
        <v>38</v>
      </c>
      <c r="H48" s="32" t="s">
        <v>38</v>
      </c>
      <c r="I48" s="1"/>
      <c r="J48" s="1"/>
      <c r="K48" s="1"/>
      <c r="L48" s="1"/>
    </row>
    <row r="49" ht="15" customHeight="1">
      <c r="A49" s="1"/>
      <c r="B49" s="1" t="s">
        <v>99</v>
      </c>
      <c r="C49" s="34"/>
      <c r="D49" s="34"/>
      <c r="E49" s="34"/>
      <c r="F49" s="34"/>
      <c r="G49" s="34"/>
      <c r="H49" s="32"/>
      <c r="I49" s="1"/>
      <c r="J49" s="1"/>
      <c r="K49" s="1"/>
      <c r="L49" s="1"/>
    </row>
    <row r="50" ht="15" customHeight="1">
      <c r="A50" s="1"/>
      <c r="B50" s="35" t="s">
        <v>111</v>
      </c>
      <c r="C50" s="42">
        <f>C13/(Inputs!C70)-1</f>
        <v>-0.05993031358885015</v>
      </c>
      <c r="D50" s="42">
        <f>D13/(Inputs!E70)-1</f>
        <v>0.05498154981549819</v>
      </c>
      <c r="E50" s="42">
        <f>E13/(Inputs!F70)-1</f>
        <v>-0.08183445571562531</v>
      </c>
      <c r="F50" s="42">
        <f>F13/(Inputs!G70)-1</f>
        <v>-0.034267912772585674</v>
      </c>
      <c r="G50" s="42">
        <f>G13/(Inputs!H70)-1</f>
        <v>0.04043839758125478</v>
      </c>
      <c r="H50" s="49">
        <f>H13/C13-1</f>
        <v>0.04003854707190513</v>
      </c>
      <c r="I50" s="1"/>
      <c r="J50" s="1"/>
      <c r="K50" s="1"/>
      <c r="L50" s="1"/>
    </row>
    <row r="51" ht="15" customHeight="1">
      <c r="A51" s="1"/>
      <c r="B51" s="35" t="s">
        <v>112</v>
      </c>
      <c r="C51" s="42">
        <f>C13/(Inputs!H70)-1</f>
        <v>0.019652305366591127</v>
      </c>
      <c r="D51" s="24">
        <f t="shared" si="12" ref="D51:H51">D13/C13-1</f>
        <v>0.059673832468495114</v>
      </c>
      <c r="E51" s="24"/>
      <c r="F51" s="24">
        <f>F13/D13-1</f>
        <v>-0.13256383350821965</v>
      </c>
      <c r="G51" s="24">
        <f t="shared" si="12"/>
        <v>0.11008064516129035</v>
      </c>
      <c r="H51" s="49">
        <f t="shared" si="12"/>
        <v>0.019260443152923967</v>
      </c>
      <c r="I51" s="1"/>
      <c r="J51" s="1"/>
      <c r="K51" s="1"/>
      <c r="L51" s="1"/>
    </row>
    <row r="52" ht="15" customHeight="1">
      <c r="A52" s="1"/>
      <c r="B52" s="50" t="s">
        <v>113</v>
      </c>
      <c r="C52" s="24">
        <f t="shared" si="13" ref="C52:H52">C13/C15</f>
        <v>0.25885061882375515</v>
      </c>
      <c r="D52" s="24">
        <f t="shared" si="13"/>
        <v>0.24410860655737704</v>
      </c>
      <c r="E52" s="24">
        <f t="shared" si="13"/>
        <v>0.2567335653334605</v>
      </c>
      <c r="F52" s="24">
        <f t="shared" si="13"/>
        <v>0.25098674223256756</v>
      </c>
      <c r="G52" s="24">
        <f t="shared" si="13"/>
        <v>0.2531261493196028</v>
      </c>
      <c r="H52" s="49">
        <f t="shared" si="13"/>
        <v>0.2519478620723488</v>
      </c>
      <c r="I52" s="1"/>
      <c r="J52" s="1"/>
      <c r="K52" s="1"/>
      <c r="L52" s="1"/>
    </row>
    <row r="53" ht="15" customHeight="1">
      <c r="A53" s="1"/>
      <c r="B53" s="51" t="s">
        <v>114</v>
      </c>
      <c r="C53" s="52">
        <f>(C52-((Inputs!C70)/((Inputs!C13)+(Inputs!C32)+(Inputs!C51)+(Inputs!C70)+(-(Inputs!C15+Inputs!C34+Inputs!C53+Inputs!C72)))))*10000</f>
        <v>-282.6422711462018</v>
      </c>
      <c r="D53" s="52">
        <f>(D52-((Inputs!E70)/((Inputs!E13)+(Inputs!E32)+(Inputs!E51)+(Inputs!E70)+(-(Inputs!E15+Inputs!E34+Inputs!E53+Inputs!E72)))))*10000</f>
        <v>-94.94238286343715</v>
      </c>
      <c r="E53" s="52">
        <f>(E52-((Inputs!F70)/((Inputs!F13)+(Inputs!F32)+(Inputs!F51)+(Inputs!F70)+(-(Inputs!F15+Inputs!F34+Inputs!F53+Inputs!F72)))))*10000</f>
        <v>-291.58277817174394</v>
      </c>
      <c r="F53" s="52">
        <f>(F52-((Inputs!G70)/((Inputs!G13)+(Inputs!G32)+(Inputs!G51)+(Inputs!G70)+(-(Inputs!G15+Inputs!G34+Inputs!G53+Inputs!G72)))))*10000</f>
        <v>-202.4266207668468</v>
      </c>
      <c r="G53" s="52">
        <f>(G52-((Inputs!H70)/((Inputs!H13)+(Inputs!H32)+(Inputs!H51)+(Inputs!H70)+(-(Inputs!H15+Inputs!H34+Inputs!H53+Inputs!H72)))))*10000</f>
        <v>-25.0132628661881</v>
      </c>
      <c r="H53" s="53">
        <f t="shared" si="8"/>
        <v>-69.02756751406336</v>
      </c>
      <c r="I53" s="1"/>
      <c r="J53" s="1"/>
      <c r="K53" s="1"/>
      <c r="L53" s="1"/>
    </row>
    <row r="54" ht="15" customHeight="1">
      <c r="A54" s="1"/>
      <c r="B54" s="51" t="s">
        <v>115</v>
      </c>
      <c r="C54" s="52">
        <f>(C52-((Inputs!H70)/((Inputs!H13)+(Inputs!H32)+(Inputs!H51)+(Inputs!H70)+(-(Inputs!H15+Inputs!H34+Inputs!H53+Inputs!H72)))))*10000</f>
        <v>32.23143217533531</v>
      </c>
      <c r="D54" s="54">
        <f t="shared" si="5"/>
        <v>-147.42012266378111</v>
      </c>
      <c r="E54" s="54"/>
      <c r="F54" s="54">
        <f t="shared" si="9"/>
        <v>68.78135675190522</v>
      </c>
      <c r="G54" s="54">
        <f t="shared" si="5"/>
        <v>21.3940708703525</v>
      </c>
      <c r="H54" s="53">
        <f t="shared" si="5"/>
        <v>-11.782872472539951</v>
      </c>
      <c r="I54" s="1"/>
      <c r="J54" s="1"/>
      <c r="K54" s="1"/>
      <c r="L54" s="1"/>
    </row>
    <row r="55" ht="15" customHeight="1">
      <c r="A55" s="1"/>
      <c r="B55" s="50" t="s">
        <v>116</v>
      </c>
      <c r="C55" s="42">
        <f>'Segment - Space Systems'!C53</f>
        <v>-0.05993031358885015</v>
      </c>
      <c r="D55" s="42">
        <f>'Segment - Space Systems'!D53</f>
        <v>0.05498154981549819</v>
      </c>
      <c r="E55" s="42">
        <f>'Segment - Space Systems'!E53</f>
        <v>-0.08183445571562531</v>
      </c>
      <c r="F55" s="42">
        <f>'Segment - Space Systems'!F53</f>
        <v>-0.034267912772585674</v>
      </c>
      <c r="G55" s="42">
        <f>'Segment - Space Systems'!G53</f>
        <v>0.04043839758125478</v>
      </c>
      <c r="H55" s="55">
        <f>'Segment - Space Systems'!H53</f>
        <v>0.04003854707190513</v>
      </c>
      <c r="I55" s="1"/>
      <c r="J55" s="1"/>
      <c r="K55" s="1"/>
      <c r="L55" s="1"/>
    </row>
    <row r="56" ht="15" customHeight="1">
      <c r="A56" s="1"/>
      <c r="B56" s="50" t="s">
        <v>117</v>
      </c>
      <c r="C56" s="42">
        <f>'Segment - Space Systems'!C54</f>
        <v>0</v>
      </c>
      <c r="D56" s="42">
        <f>'Segment - Space Systems'!D54</f>
        <v>0</v>
      </c>
      <c r="E56" s="42">
        <f>'Segment - Space Systems'!E54</f>
        <v>0</v>
      </c>
      <c r="F56" s="42">
        <f>'Segment - Space Systems'!F54</f>
        <v>0</v>
      </c>
      <c r="G56" s="42">
        <f>'Segment - Space Systems'!G54</f>
        <v>0</v>
      </c>
      <c r="H56" s="55">
        <f>'Segment - Space Systems'!H54</f>
        <v>0</v>
      </c>
      <c r="I56" s="1"/>
      <c r="J56" s="1"/>
      <c r="K56" s="1"/>
      <c r="L56" s="1"/>
    </row>
    <row r="57" ht="15" customHeight="1">
      <c r="A57" s="1"/>
      <c r="B57" s="56" t="s">
        <v>118</v>
      </c>
      <c r="C57" s="34" t="s">
        <v>38</v>
      </c>
      <c r="D57" s="34" t="s">
        <v>38</v>
      </c>
      <c r="E57" s="34" t="s">
        <v>38</v>
      </c>
      <c r="F57" s="34" t="s">
        <v>38</v>
      </c>
      <c r="G57" s="34" t="s">
        <v>38</v>
      </c>
      <c r="H57" s="32" t="s">
        <v>38</v>
      </c>
      <c r="I57" s="1"/>
      <c r="J57" s="1"/>
      <c r="K57" s="1"/>
      <c r="L57" s="1"/>
    </row>
    <row r="58" ht="15" customHeight="1">
      <c r="A58" s="1"/>
      <c r="B58" s="1" t="s">
        <v>101</v>
      </c>
      <c r="C58" s="34"/>
      <c r="D58" s="34"/>
      <c r="E58" s="34"/>
      <c r="F58" s="34"/>
      <c r="G58" s="34"/>
      <c r="H58" s="32"/>
      <c r="I58" s="1"/>
      <c r="J58" s="1"/>
      <c r="K58" s="1"/>
      <c r="L58" s="1"/>
    </row>
    <row r="59" ht="15" customHeight="1">
      <c r="A59" s="1"/>
      <c r="B59" s="35" t="s">
        <v>111</v>
      </c>
      <c r="C59" s="42">
        <f>C14/(-(Inputs!C15+Inputs!C34+Inputs!C53+Inputs!C72))-1</f>
        <v>0.24235807860262004</v>
      </c>
      <c r="D59" s="42">
        <f>D14/(-(Inputs!E15+Inputs!E34+Inputs!E53+Inputs!E72))-1</f>
        <v>0.32470119521912344</v>
      </c>
      <c r="E59" s="42">
        <f>E14/(-(Inputs!F15+Inputs!F34+Inputs!F53+Inputs!F72))-1</f>
        <v>0.22463002114164898</v>
      </c>
      <c r="F59" s="42">
        <f>F14/(-(Inputs!G15+Inputs!G34+Inputs!G53+Inputs!G72))-1</f>
        <v>0.2205323193916351</v>
      </c>
      <c r="G59" s="42">
        <f>G14/(-(Inputs!H15+Inputs!H34+Inputs!H53+Inputs!H72))-1</f>
        <v>0.32675044883303417</v>
      </c>
      <c r="H59" s="49">
        <f>H14/C14-1</f>
        <v>0.20533893497363787</v>
      </c>
      <c r="I59" s="1"/>
      <c r="J59" s="1"/>
      <c r="K59" s="1"/>
      <c r="L59" s="1"/>
    </row>
    <row r="60" ht="15" customHeight="1">
      <c r="A60" s="1"/>
      <c r="B60" s="35" t="s">
        <v>112</v>
      </c>
      <c r="C60" s="42">
        <f>C14/(-(Inputs!H15+Inputs!H34+Inputs!H53+Inputs!H72))-1</f>
        <v>0.021543985637342944</v>
      </c>
      <c r="D60" s="24">
        <f t="shared" si="14" ref="D60:H60">D14/C14-1</f>
        <v>0.1687170474516695</v>
      </c>
      <c r="E60" s="24"/>
      <c r="F60" s="24">
        <f>F14/D14-1</f>
        <v>-0.0345864661654135</v>
      </c>
      <c r="G60" s="24">
        <f t="shared" si="14"/>
        <v>0.1510903426791277</v>
      </c>
      <c r="H60" s="49">
        <f t="shared" si="14"/>
        <v>-0.07193795128552094</v>
      </c>
      <c r="I60" s="1"/>
      <c r="J60" s="1"/>
      <c r="K60" s="1"/>
      <c r="L60" s="1"/>
    </row>
    <row r="61" ht="15" customHeight="1">
      <c r="A61" s="1"/>
      <c r="B61" s="50" t="s">
        <v>119</v>
      </c>
      <c r="C61" s="24" t="s">
        <v>38</v>
      </c>
      <c r="D61" s="24" t="s">
        <v>38</v>
      </c>
      <c r="E61" s="24" t="s">
        <v>38</v>
      </c>
      <c r="F61" s="24" t="s">
        <v>38</v>
      </c>
      <c r="G61" s="24" t="s">
        <v>38</v>
      </c>
      <c r="H61" s="49">
        <f t="shared" si="19" ref="H61:H121">H59</f>
        <v>0.20533893497363787</v>
      </c>
      <c r="I61" s="1"/>
      <c r="J61" s="1" t="s">
        <v>120</v>
      </c>
      <c r="K61" s="1"/>
      <c r="L61" s="1"/>
    </row>
    <row r="62" ht="15" customHeight="1">
      <c r="A62" s="1"/>
      <c r="B62" s="50" t="s">
        <v>117</v>
      </c>
      <c r="C62" s="24" t="s">
        <v>38</v>
      </c>
      <c r="D62" s="24" t="s">
        <v>38</v>
      </c>
      <c r="E62" s="24" t="s">
        <v>38</v>
      </c>
      <c r="F62" s="24" t="s">
        <v>38</v>
      </c>
      <c r="G62" s="24" t="s">
        <v>38</v>
      </c>
      <c r="H62" s="57">
        <v>0</v>
      </c>
      <c r="I62" s="1"/>
      <c r="J62" s="1"/>
      <c r="K62" s="1"/>
      <c r="L62" s="1"/>
    </row>
    <row r="63" ht="15" customHeight="1">
      <c r="A63" s="1"/>
      <c r="B63" s="56" t="s">
        <v>118</v>
      </c>
      <c r="C63" s="34" t="s">
        <v>38</v>
      </c>
      <c r="D63" s="34" t="s">
        <v>38</v>
      </c>
      <c r="E63" s="34" t="s">
        <v>38</v>
      </c>
      <c r="F63" s="34" t="s">
        <v>38</v>
      </c>
      <c r="G63" s="34" t="s">
        <v>38</v>
      </c>
      <c r="H63" s="32" t="s">
        <v>38</v>
      </c>
      <c r="I63" s="1"/>
      <c r="J63" s="1"/>
      <c r="K63" s="1"/>
      <c r="L63" s="1"/>
    </row>
    <row r="64" ht="15" customHeight="1">
      <c r="A64" s="1"/>
      <c r="B64" s="50" t="s">
        <v>113</v>
      </c>
      <c r="C64" s="24">
        <f t="shared" si="15" ref="C64:H64">C14/C15</f>
        <v>-0.05459080878825674</v>
      </c>
      <c r="D64" s="24">
        <f t="shared" si="15"/>
        <v>-0.05677937158469945</v>
      </c>
      <c r="E64" s="24">
        <f t="shared" si="15"/>
        <v>-0.05522715354912523</v>
      </c>
      <c r="F64" s="24">
        <f t="shared" si="15"/>
        <v>-0.06497318085214047</v>
      </c>
      <c r="G64" s="24">
        <f t="shared" si="15"/>
        <v>-0.06794777491724899</v>
      </c>
      <c r="H64" s="49">
        <f t="shared" si="15"/>
        <v>-0.06158015079115065</v>
      </c>
      <c r="I64" s="1"/>
      <c r="J64" s="1"/>
      <c r="K64" s="1"/>
      <c r="L64" s="1"/>
    </row>
    <row r="65" ht="15" customHeight="1">
      <c r="A65" s="1"/>
      <c r="B65" s="51" t="s">
        <v>114</v>
      </c>
      <c r="C65" s="52">
        <f>(C64-((-(Inputs!C15+Inputs!C34+Inputs!C53+Inputs!C72))/((Inputs!C13)+(Inputs!C32)+(Inputs!C51)+(Inputs!C70)+(-(Inputs!C15+Inputs!C34+Inputs!C53+Inputs!C72)))))*10000</f>
        <v>-87.72481457324372</v>
      </c>
      <c r="D65" s="52">
        <f>(D64-((-(Inputs!E15+Inputs!E34+Inputs!E53+Inputs!E72))/((Inputs!E13)+(Inputs!E32)+(Inputs!E51)+(Inputs!E70)+(-(Inputs!E15+Inputs!E34+Inputs!E53+Inputs!E72)))))*10000</f>
        <v>-98.02018038002839</v>
      </c>
      <c r="E65" s="52">
        <f>(E64-((-(Inputs!F15+Inputs!F34+Inputs!F53+Inputs!F72))/((Inputs!F13)+(Inputs!F32)+(Inputs!F51)+(Inputs!F70)+(-(Inputs!F15+Inputs!F34+Inputs!F53+Inputs!F72)))))*10000</f>
        <v>-91.17924392105272</v>
      </c>
      <c r="F65" s="52">
        <f>(F64-((-(Inputs!G15+Inputs!G34+Inputs!G53+Inputs!G72))/((Inputs!G13)+(Inputs!G32)+(Inputs!G51)+(Inputs!G70)+(-(Inputs!G15+Inputs!G34+Inputs!G53+Inputs!G72)))))*10000</f>
        <v>-94.17625296584922</v>
      </c>
      <c r="G65" s="52">
        <f>(G64-((-(Inputs!H15+Inputs!H34+Inputs!H53+Inputs!H72))/((Inputs!H13)+(Inputs!H32)+(Inputs!H51)+(Inputs!H70)+(-(Inputs!H15+Inputs!H34+Inputs!H53+Inputs!H72)))))*10000</f>
        <v>-141.36548948743527</v>
      </c>
      <c r="H65" s="53">
        <f t="shared" si="8"/>
        <v>-69.8934200289391</v>
      </c>
      <c r="I65" s="1"/>
      <c r="J65" s="1"/>
      <c r="K65" s="1"/>
      <c r="L65" s="1"/>
    </row>
    <row r="66" ht="15" customHeight="1">
      <c r="A66" s="1"/>
      <c r="B66" s="51" t="s">
        <v>115</v>
      </c>
      <c r="C66" s="52">
        <f>(C64-((-(Inputs!H15+Inputs!H34+Inputs!H53+Inputs!H72))/((Inputs!H13)+(Inputs!H32)+(Inputs!H51)+(Inputs!H70)+(-(Inputs!H15+Inputs!H34+Inputs!H53+Inputs!H72)))))*10000</f>
        <v>-7.795828197512816</v>
      </c>
      <c r="D66" s="54">
        <f t="shared" si="5"/>
        <v>-21.885627964427083</v>
      </c>
      <c r="E66" s="54"/>
      <c r="F66" s="54">
        <f t="shared" si="9"/>
        <v>-81.93809267441024</v>
      </c>
      <c r="G66" s="54">
        <f t="shared" si="5"/>
        <v>-29.745940651085128</v>
      </c>
      <c r="H66" s="53">
        <f t="shared" si="5"/>
        <v>63.67624126098335</v>
      </c>
      <c r="I66" s="1"/>
      <c r="J66" s="1"/>
      <c r="K66" s="1"/>
      <c r="L66" s="1"/>
    </row>
    <row r="67" ht="15" customHeight="1">
      <c r="A67" s="1"/>
      <c r="B67" s="4" t="s">
        <v>103</v>
      </c>
      <c r="C67" s="34"/>
      <c r="D67" s="34"/>
      <c r="E67" s="34"/>
      <c r="F67" s="34"/>
      <c r="G67" s="34"/>
      <c r="H67" s="32"/>
      <c r="I67" s="1"/>
      <c r="J67" s="1"/>
      <c r="K67" s="1"/>
      <c r="L67" s="1"/>
    </row>
    <row r="68" ht="15" customHeight="1">
      <c r="A68" s="1"/>
      <c r="B68" s="35" t="s">
        <v>111</v>
      </c>
      <c r="C68" s="42">
        <f>C15/((Inputs!C13)+(Inputs!C32)+(Inputs!C51)+(Inputs!C70)+(-(Inputs!C15+Inputs!C34+Inputs!C53+Inputs!C72)))-1</f>
        <v>0.042717086834733964</v>
      </c>
      <c r="D68" s="42">
        <f>D15/((Inputs!E13)+(Inputs!E32)+(Inputs!E51)+(Inputs!E70)+(-(Inputs!E15+Inputs!E34+Inputs!E53+Inputs!E72)))-1</f>
        <v>0.09601347557551931</v>
      </c>
      <c r="E68" s="42">
        <f>E15/((Inputs!F13)+(Inputs!F32)+(Inputs!F51)+(Inputs!F70)+(-(Inputs!F15+Inputs!F34+Inputs!F53+Inputs!F72)))-1</f>
        <v>0.022445348865547166</v>
      </c>
      <c r="F68" s="42">
        <f>F15/((Inputs!G13)+(Inputs!G32)+(Inputs!G51)+(Inputs!G70)+(-(Inputs!G15+Inputs!G34+Inputs!G53+Inputs!G72)))-1</f>
        <v>0.04362061681453322</v>
      </c>
      <c r="G68" s="42">
        <f>G15/((Inputs!H13)+(Inputs!H32)+(Inputs!H51)+(Inputs!H70)+(-(Inputs!H15+Inputs!H34+Inputs!H53+Inputs!H72)))-1</f>
        <v>0.050719737223456685</v>
      </c>
      <c r="H68" s="49">
        <f>H15/C15-1</f>
        <v>0.06853306591192565</v>
      </c>
      <c r="I68" s="1"/>
      <c r="J68" s="1"/>
      <c r="K68" s="1"/>
      <c r="L68" s="1"/>
    </row>
    <row r="69" ht="15" customHeight="1">
      <c r="A69" s="1"/>
      <c r="B69" s="35" t="s">
        <v>112</v>
      </c>
      <c r="C69" s="42">
        <f>C15/((Inputs!H13)+(Inputs!H32)+(Inputs!H51)+(Inputs!H70)+(-(Inputs!H15+Inputs!H34+Inputs!H53+Inputs!H72)))-1</f>
        <v>0.00695584967635976</v>
      </c>
      <c r="D69" s="24">
        <f t="shared" si="16" ref="D69:H69">D15/C15-1</f>
        <v>0.12366880936390667</v>
      </c>
      <c r="E69" s="24"/>
      <c r="F69" s="24">
        <f>F15/D15-1</f>
        <v>-0.1563353825136612</v>
      </c>
      <c r="G69" s="24">
        <f t="shared" si="16"/>
        <v>0.10069830988766326</v>
      </c>
      <c r="H69" s="49">
        <f t="shared" si="16"/>
        <v>0.02402722931224721</v>
      </c>
      <c r="I69" s="1"/>
      <c r="J69" s="1"/>
      <c r="K69" s="1"/>
      <c r="L69" s="1"/>
    </row>
    <row r="70" ht="15" customHeight="1">
      <c r="A70" s="1"/>
      <c r="B70" s="50" t="s">
        <v>113</v>
      </c>
      <c r="C70" s="24">
        <f t="shared" si="17" ref="C70:H70">C15/C15</f>
        <v>1</v>
      </c>
      <c r="D70" s="24">
        <f t="shared" si="17"/>
        <v>1</v>
      </c>
      <c r="E70" s="24">
        <f t="shared" si="17"/>
        <v>1</v>
      </c>
      <c r="F70" s="24">
        <f t="shared" si="17"/>
        <v>1</v>
      </c>
      <c r="G70" s="24">
        <f t="shared" si="17"/>
        <v>1</v>
      </c>
      <c r="H70" s="49">
        <f t="shared" si="17"/>
        <v>1</v>
      </c>
      <c r="I70" s="1"/>
      <c r="J70" s="1"/>
      <c r="K70" s="1"/>
      <c r="L70" s="1"/>
    </row>
    <row r="71" ht="15" customHeight="1">
      <c r="A71" s="1"/>
      <c r="B71" s="51" t="s">
        <v>114</v>
      </c>
      <c r="C71" s="52">
        <f>(C70-(((Inputs!C13)+(Inputs!C32)+(Inputs!C51)+(Inputs!C70)+(-(Inputs!C15+Inputs!C34+Inputs!C53+Inputs!C72)))/((Inputs!C13)+(Inputs!C32)+(Inputs!C51)+(Inputs!C70)+(-(Inputs!C15+Inputs!C34+Inputs!C53+Inputs!C72)))))*10000</f>
        <v>0</v>
      </c>
      <c r="D71" s="52">
        <f>(D70-(((Inputs!E13)+(Inputs!E32)+(Inputs!E51)+(Inputs!E70)+(-(Inputs!E15+Inputs!E34+Inputs!E53+Inputs!E72)))/((Inputs!E13)+(Inputs!E32)+(Inputs!E51)+(Inputs!E70)+(-(Inputs!E15+Inputs!E34+Inputs!E53+Inputs!E72)))))*10000</f>
        <v>0</v>
      </c>
      <c r="E71" s="52">
        <f>(E70-(((Inputs!F13)+(Inputs!F32)+(Inputs!F51)+(Inputs!F70)+(-(Inputs!F15+Inputs!F34+Inputs!F53+Inputs!F72)))/((Inputs!F13)+(Inputs!F32)+(Inputs!F51)+(Inputs!F70)+(-(Inputs!F15+Inputs!F34+Inputs!F53+Inputs!F72)))))*10000</f>
        <v>0</v>
      </c>
      <c r="F71" s="52">
        <f>(F70-(((Inputs!G13)+(Inputs!G32)+(Inputs!G51)+(Inputs!G70)+(-(Inputs!G15+Inputs!G34+Inputs!G53+Inputs!G72)))/((Inputs!G13)+(Inputs!G32)+(Inputs!G51)+(Inputs!G70)+(-(Inputs!G15+Inputs!G34+Inputs!G53+Inputs!G72)))))*10000</f>
        <v>0</v>
      </c>
      <c r="G71" s="52">
        <f>(G70-(((Inputs!H13)+(Inputs!H32)+(Inputs!H51)+(Inputs!H70)+(-(Inputs!H15+Inputs!H34+Inputs!H53+Inputs!H72)))/((Inputs!H13)+(Inputs!H32)+(Inputs!H51)+(Inputs!H70)+(-(Inputs!H15+Inputs!H34+Inputs!H53+Inputs!H72)))))*10000</f>
        <v>0</v>
      </c>
      <c r="H71" s="53">
        <f t="shared" si="8"/>
        <v>0</v>
      </c>
      <c r="I71" s="1"/>
      <c r="J71" s="1"/>
      <c r="K71" s="1"/>
      <c r="L71" s="1"/>
    </row>
    <row r="72" ht="15" customHeight="1">
      <c r="A72" s="1"/>
      <c r="B72" s="51" t="s">
        <v>115</v>
      </c>
      <c r="C72" s="52">
        <f>(C70-(((Inputs!H13)+(Inputs!H32)+(Inputs!H51)+(Inputs!H70)+(-(Inputs!H15+Inputs!H34+Inputs!H53+Inputs!H72)))/((Inputs!H13)+(Inputs!H32)+(Inputs!H51)+(Inputs!H70)+(-(Inputs!H15+Inputs!H34+Inputs!H53+Inputs!H72)))))*10000</f>
        <v>0</v>
      </c>
      <c r="D72" s="54">
        <f t="shared" si="5"/>
        <v>0</v>
      </c>
      <c r="E72" s="54"/>
      <c r="F72" s="54">
        <f t="shared" si="9"/>
        <v>0</v>
      </c>
      <c r="G72" s="54">
        <f t="shared" si="5"/>
        <v>0</v>
      </c>
      <c r="H72" s="53">
        <f t="shared" si="5"/>
        <v>0</v>
      </c>
      <c r="I72" s="1"/>
      <c r="J72" s="1"/>
      <c r="K72" s="1"/>
      <c r="L72" s="1"/>
    </row>
    <row r="73" ht="15" customHeight="1">
      <c r="A73" s="1"/>
      <c r="B73" s="56" t="s">
        <v>121</v>
      </c>
      <c r="C73" s="22">
        <f>'Segment - Defense Systems'!C52</f>
        <v>0</v>
      </c>
      <c r="D73" s="22">
        <f>'Segment - Defense Systems'!D52</f>
        <v>0</v>
      </c>
      <c r="E73" s="22">
        <f>'Segment - Defense Systems'!E52</f>
        <v>112</v>
      </c>
      <c r="F73" s="22">
        <f>'Segment - Defense Systems'!F52</f>
        <v>0</v>
      </c>
      <c r="G73" s="22">
        <f>'Segment - Defense Systems'!G52</f>
        <v>0</v>
      </c>
      <c r="H73" s="21">
        <f>'Segment - Defense Systems'!H52</f>
        <v>0</v>
      </c>
      <c r="I73" s="1"/>
      <c r="J73" s="1" t="s">
        <v>122</v>
      </c>
      <c r="K73" s="1"/>
      <c r="L73" s="1"/>
    </row>
    <row r="74" ht="15" customHeight="1">
      <c r="A74" s="1"/>
      <c r="B74" s="50" t="s">
        <v>116</v>
      </c>
      <c r="C74" s="42">
        <f>(C15-C73)/(((Inputs!C13)+(Inputs!C32)+(Inputs!C51)+(Inputs!C70)+(-(Inputs!C15+Inputs!C34+Inputs!C53+Inputs!C72)))-(Inputs!C33))-1</f>
        <v>0.050070521861777184</v>
      </c>
      <c r="D74" s="42">
        <f>(D15-D73)/(((Inputs!E13)+(Inputs!E32)+(Inputs!E51)+(Inputs!E70)+(-(Inputs!E15+Inputs!E34+Inputs!E53+Inputs!E72)))-(Inputs!E33))-1</f>
        <v>0.10407239819004532</v>
      </c>
      <c r="E74" s="42">
        <f>(E15-E73)/(((Inputs!F13)+(Inputs!F32)+(Inputs!F51)+(Inputs!F70)+(-(Inputs!F15+Inputs!F34+Inputs!F53+Inputs!F72)))-(Inputs!F33))-1</f>
        <v>0.027326966043850875</v>
      </c>
      <c r="F74" s="42">
        <f>(F15-F73)/(((Inputs!G13)+(Inputs!G32)+(Inputs!G51)+(Inputs!G70)+(-(Inputs!G15+Inputs!G34+Inputs!G53+Inputs!G72)))-(Inputs!G33))-1</f>
        <v>0.05161770966368673</v>
      </c>
      <c r="G74" s="42">
        <f>(G15-G73)/(((Inputs!H13)+(Inputs!H32)+(Inputs!H51)+(Inputs!H70)+(-(Inputs!H15+Inputs!H34+Inputs!H53+Inputs!H72)))-(Inputs!H33))-1</f>
        <v>0.054795849093201454</v>
      </c>
      <c r="H74" s="49">
        <f>(H15-H73)/(C15-C73)-1</f>
        <v>0.06853306591192565</v>
      </c>
      <c r="I74" s="1"/>
      <c r="J74" s="1"/>
      <c r="K74" s="1"/>
      <c r="L74" s="1"/>
    </row>
    <row r="75" ht="15" customHeight="1">
      <c r="A75" s="1"/>
      <c r="B75" s="50" t="s">
        <v>117</v>
      </c>
      <c r="C75" s="42">
        <f>(1+(C15/((Inputs!C13)+(Inputs!C32)+(Inputs!C51)+(Inputs!C70)+(-(Inputs!C15+Inputs!C34+Inputs!C53+Inputs!C72)))-1))/(1+C74)-1</f>
        <v>-0.007002801120448154</v>
      </c>
      <c r="D75" s="42">
        <f>(1+(D15/((Inputs!E13)+(Inputs!E32)+(Inputs!E51)+(Inputs!E70)+(-(Inputs!E15+Inputs!E34+Inputs!E53+Inputs!E72)))-1))/(1+D74)-1</f>
        <v>-0.007299270072992803</v>
      </c>
      <c r="E75" s="42">
        <f>(1+(E15/((Inputs!F13)+(Inputs!F32)+(Inputs!F51)+(Inputs!F70)+(-(Inputs!F15+Inputs!F34+Inputs!F53+Inputs!F72)))-1))/(1+E74)-1</f>
        <v>-0.004751765834690835</v>
      </c>
      <c r="F75" s="42">
        <f>(1+(F15/((Inputs!G13)+(Inputs!G32)+(Inputs!G51)+(Inputs!G70)+(-(Inputs!G15+Inputs!G34+Inputs!G53+Inputs!G72)))-1))/(1+F74)-1</f>
        <v>-0.0076045627376425395</v>
      </c>
      <c r="G75" s="42">
        <f>(1+(G15/((Inputs!H13)+(Inputs!H32)+(Inputs!H51)+(Inputs!H70)+(-(Inputs!H15+Inputs!H34+Inputs!H53+Inputs!H72)))-1))/(1+G74)-1</f>
        <v>-0.0038643609313110394</v>
      </c>
      <c r="H75" s="49">
        <f>(1+(H15/C15-1))/(1+H74)-1</f>
        <v>0</v>
      </c>
      <c r="I75" s="1"/>
      <c r="J75" s="1"/>
      <c r="K75" s="1"/>
      <c r="L75" s="1"/>
    </row>
    <row r="76" ht="15" customHeight="1">
      <c r="A76" s="1"/>
      <c r="B76" s="56" t="s">
        <v>118</v>
      </c>
      <c r="C76" s="34" t="s">
        <v>38</v>
      </c>
      <c r="D76" s="34" t="s">
        <v>38</v>
      </c>
      <c r="E76" s="34" t="s">
        <v>38</v>
      </c>
      <c r="F76" s="34" t="s">
        <v>38</v>
      </c>
      <c r="G76" s="34" t="s">
        <v>38</v>
      </c>
      <c r="H76" s="32" t="s">
        <v>38</v>
      </c>
      <c r="I76" s="1"/>
      <c r="J76" s="1"/>
      <c r="K76" s="1"/>
      <c r="L76" s="1"/>
    </row>
    <row r="77" ht="15" customHeight="1">
      <c r="A77" s="1"/>
      <c r="B77" s="1"/>
      <c r="C77" s="1"/>
      <c r="D77" s="1"/>
      <c r="E77" s="1"/>
      <c r="F77" s="1"/>
      <c r="G77" s="1"/>
      <c r="H77" s="45"/>
      <c r="I77" s="1"/>
      <c r="J77" s="1"/>
      <c r="K77" s="1"/>
      <c r="L77" s="1"/>
    </row>
    <row r="78" ht="15" customHeight="1">
      <c r="A78" s="1"/>
      <c r="B78" s="4" t="s">
        <v>123</v>
      </c>
      <c r="C78" s="34"/>
      <c r="D78" s="34"/>
      <c r="E78" s="34"/>
      <c r="F78" s="34"/>
      <c r="G78" s="34"/>
      <c r="H78" s="32"/>
      <c r="I78" s="1"/>
      <c r="J78" s="1"/>
      <c r="K78" s="1"/>
      <c r="L78" s="1"/>
    </row>
    <row r="79" ht="15" customHeight="1">
      <c r="A79" s="1"/>
      <c r="B79" s="17" t="s">
        <v>124</v>
      </c>
      <c r="C79" s="22">
        <f>'Segment - Aeronautics Systems'!C73+'Segment - Defense Systems'!C73+'Segment - Mission Systems'!C73+'Segment - Space Systems'!C73</f>
        <v>8632</v>
      </c>
      <c r="D79" s="22">
        <f>'Segment - Aeronautics Systems'!D73+'Segment - Defense Systems'!D73+'Segment - Mission Systems'!D73+'Segment - Space Systems'!D73</f>
        <v>9760</v>
      </c>
      <c r="E79" s="22">
        <f>'Segment - Aeronautics Systems'!E73+'Segment - Defense Systems'!E73+'Segment - Mission Systems'!E73+'Segment - Space Systems'!E73</f>
        <v>35183</v>
      </c>
      <c r="F79" s="22">
        <f>'Segment - Aeronautics Systems'!F73+'Segment - Defense Systems'!F73+'Segment - Mission Systems'!F73+'Segment - Space Systems'!F73</f>
        <v>8464</v>
      </c>
      <c r="G79" s="22">
        <f>'Segment - Aeronautics Systems'!G73+'Segment - Defense Systems'!G73+'Segment - Mission Systems'!G73+'Segment - Space Systems'!G73</f>
        <v>9227</v>
      </c>
      <c r="H79" s="21">
        <f>'Segment - Aeronautics Systems'!H73+'Segment - Defense Systems'!H73+'Segment - Mission Systems'!H73+'Segment - Space Systems'!H73</f>
        <v>9500.886750840278</v>
      </c>
      <c r="I79" s="1"/>
      <c r="J79" s="1"/>
      <c r="K79" s="1"/>
      <c r="L79" s="1"/>
    </row>
    <row r="80" ht="15" customHeight="1">
      <c r="A80" s="1"/>
      <c r="B80" s="50" t="s">
        <v>111</v>
      </c>
      <c r="C80" s="42">
        <f>C79/(Inputs!C17+Inputs!C36+Inputs!C55+Inputs!C74)-1</f>
        <v>0.001159823706796459</v>
      </c>
      <c r="D80" s="42">
        <f>D79/(Inputs!E17+Inputs!E36+Inputs!E55+Inputs!E74)-1</f>
        <v>0.07465316009689493</v>
      </c>
      <c r="E80" s="42">
        <f>E79/(Inputs!F17+Inputs!F36+Inputs!F55+Inputs!F74)-1</f>
        <v>-0.0071396320126425605</v>
      </c>
      <c r="F80" s="42">
        <f>F79/(Inputs!G17+Inputs!G36+Inputs!G55+Inputs!G74)-1</f>
        <v>0.05496696996136108</v>
      </c>
      <c r="G80" s="42">
        <f>G79/(Inputs!H17+Inputs!H36+Inputs!H55+Inputs!H74)-1</f>
        <v>0.05234945255474455</v>
      </c>
      <c r="H80" s="49">
        <f t="shared" si="21" ref="H80:H137">H79/C79-1</f>
        <v>0.1006587987535077</v>
      </c>
      <c r="I80" s="1"/>
      <c r="J80" s="1"/>
      <c r="K80" s="1"/>
      <c r="L80" s="1"/>
    </row>
    <row r="81" ht="15" customHeight="1">
      <c r="A81" s="1"/>
      <c r="B81" s="50" t="s">
        <v>112</v>
      </c>
      <c r="C81" s="42">
        <f>C79/(Inputs!H17+Inputs!H36+Inputs!H55+Inputs!H74)-1</f>
        <v>-0.015510948905109512</v>
      </c>
      <c r="D81" s="24">
        <f t="shared" si="18" ref="D81:H120">D79/C79-1</f>
        <v>0.13067655236329934</v>
      </c>
      <c r="E81" s="24"/>
      <c r="F81" s="24">
        <f t="shared" si="22" ref="F81:F120">F79/D79-1</f>
        <v>-0.13278688524590165</v>
      </c>
      <c r="G81" s="24">
        <f t="shared" si="18"/>
        <v>0.09014650283553882</v>
      </c>
      <c r="H81" s="49">
        <f t="shared" si="18"/>
        <v>0.029683185308364335</v>
      </c>
      <c r="I81" s="1"/>
      <c r="J81" s="1"/>
      <c r="K81" s="1"/>
      <c r="L81" s="1"/>
    </row>
    <row r="82" ht="15" customHeight="1">
      <c r="A82" s="1"/>
      <c r="B82" s="50" t="s">
        <v>119</v>
      </c>
      <c r="C82" s="24" t="s">
        <v>38</v>
      </c>
      <c r="D82" s="24" t="s">
        <v>38</v>
      </c>
      <c r="E82" s="24" t="s">
        <v>38</v>
      </c>
      <c r="F82" s="24" t="s">
        <v>38</v>
      </c>
      <c r="G82" s="24" t="s">
        <v>38</v>
      </c>
      <c r="H82" s="49">
        <f t="shared" si="19"/>
        <v>0.1006587987535077</v>
      </c>
      <c r="I82" s="1"/>
      <c r="J82" s="1" t="s">
        <v>125</v>
      </c>
      <c r="K82" s="1"/>
      <c r="L82" s="1"/>
    </row>
    <row r="83" ht="15" customHeight="1">
      <c r="A83" s="1"/>
      <c r="B83" s="50" t="s">
        <v>117</v>
      </c>
      <c r="C83" s="24" t="s">
        <v>38</v>
      </c>
      <c r="D83" s="24" t="s">
        <v>38</v>
      </c>
      <c r="E83" s="24" t="s">
        <v>38</v>
      </c>
      <c r="F83" s="24" t="s">
        <v>38</v>
      </c>
      <c r="G83" s="24" t="s">
        <v>38</v>
      </c>
      <c r="H83" s="57">
        <v>0</v>
      </c>
      <c r="I83" s="1"/>
      <c r="J83" s="1"/>
      <c r="K83" s="1"/>
      <c r="L83" s="1"/>
    </row>
    <row r="84" ht="15" customHeight="1">
      <c r="A84" s="1"/>
      <c r="B84" s="56" t="s">
        <v>118</v>
      </c>
      <c r="C84" s="34" t="s">
        <v>38</v>
      </c>
      <c r="D84" s="34" t="s">
        <v>38</v>
      </c>
      <c r="E84" s="34" t="s">
        <v>38</v>
      </c>
      <c r="F84" s="34" t="s">
        <v>38</v>
      </c>
      <c r="G84" s="34" t="s">
        <v>38</v>
      </c>
      <c r="H84" s="32" t="s">
        <v>38</v>
      </c>
      <c r="I84" s="1"/>
      <c r="J84" s="1"/>
      <c r="K84" s="1"/>
      <c r="L84" s="1"/>
    </row>
    <row r="85" ht="15" customHeight="1">
      <c r="A85" s="1"/>
      <c r="B85" s="50" t="s">
        <v>126</v>
      </c>
      <c r="C85" s="24">
        <f t="shared" si="20" ref="C85:H85">C79/C15</f>
        <v>0.8281684735680707</v>
      </c>
      <c r="D85" s="24">
        <f t="shared" si="20"/>
        <v>0.8333333333333334</v>
      </c>
      <c r="E85" s="24">
        <f t="shared" si="20"/>
        <v>0.8386089526624398</v>
      </c>
      <c r="F85" s="24">
        <f t="shared" si="20"/>
        <v>0.8565934622001822</v>
      </c>
      <c r="G85" s="24">
        <f t="shared" si="20"/>
        <v>0.8483817579992644</v>
      </c>
      <c r="H85" s="49">
        <f t="shared" si="20"/>
        <v>0.8530675805572985</v>
      </c>
      <c r="I85" s="1"/>
      <c r="J85" s="1"/>
      <c r="K85" s="1"/>
      <c r="L85" s="1"/>
    </row>
    <row r="86" ht="15" customHeight="1">
      <c r="A86" s="1"/>
      <c r="B86" s="51" t="s">
        <v>114</v>
      </c>
      <c r="C86" s="52">
        <f>(C85-((Inputs!C17+Inputs!C36+Inputs!C55+Inputs!C74)/((Inputs!C13)+(Inputs!C32)+(Inputs!C51)+(Inputs!C70)+(-(Inputs!C15+Inputs!C34+Inputs!C53+Inputs!C72)))))*10000</f>
        <v>-343.76544439132186</v>
      </c>
      <c r="D86" s="52">
        <f>(D85-((Inputs!E17+Inputs!E36+Inputs!E55+Inputs!E74)/((Inputs!E13)+(Inputs!E32)+(Inputs!E51)+(Inputs!E70)+(-(Inputs!E15+Inputs!E34+Inputs!E53+Inputs!E72)))))*10000</f>
        <v>-165.63728242560362</v>
      </c>
      <c r="E86" s="52">
        <f>(E85-((Inputs!F17+Inputs!F36+Inputs!F55+Inputs!F74)/((Inputs!F13)+(Inputs!F32)+(Inputs!F51)+(Inputs!F70)+(-(Inputs!F15+Inputs!F34+Inputs!F53+Inputs!F72)))))*10000</f>
        <v>-249.88639519462507</v>
      </c>
      <c r="F86" s="52">
        <f>(F85-((Inputs!G17+Inputs!G36+Inputs!G55+Inputs!G74)/((Inputs!G13)+(Inputs!G32)+(Inputs!G51)+(Inputs!G70)+(-(Inputs!G15+Inputs!G34+Inputs!G53+Inputs!G72)))))*10000</f>
        <v>92.12811587592351</v>
      </c>
      <c r="G86" s="52">
        <f>(G85-((Inputs!H17+Inputs!H36+Inputs!H55+Inputs!H74)/((Inputs!H13)+(Inputs!H32)+(Inputs!H51)+(Inputs!H70)+(-(Inputs!H15+Inputs!H34+Inputs!H53+Inputs!H72)))))*10000</f>
        <v>13.138418558966691</v>
      </c>
      <c r="H86" s="53">
        <f t="shared" si="8"/>
        <v>248.99106989227815</v>
      </c>
      <c r="I86" s="1"/>
      <c r="J86" s="1"/>
      <c r="K86" s="1"/>
      <c r="L86" s="1"/>
    </row>
    <row r="87" ht="15" customHeight="1">
      <c r="A87" s="1"/>
      <c r="B87" s="51" t="s">
        <v>115</v>
      </c>
      <c r="C87" s="52">
        <f>(C85-((Inputs!H17+Inputs!H36+Inputs!H55+Inputs!H74)/((Inputs!H13)+(Inputs!H32)+(Inputs!H51)+(Inputs!H70)+(-(Inputs!H15+Inputs!H34+Inputs!H53+Inputs!H72)))))*10000</f>
        <v>-188.99442575297076</v>
      </c>
      <c r="D87" s="54">
        <f t="shared" si="5"/>
        <v>51.64859765262708</v>
      </c>
      <c r="E87" s="54"/>
      <c r="F87" s="54">
        <f t="shared" si="9"/>
        <v>232.60128866848805</v>
      </c>
      <c r="G87" s="54">
        <f t="shared" si="5"/>
        <v>-82.11704200917768</v>
      </c>
      <c r="H87" s="53">
        <f t="shared" si="5"/>
        <v>46.858225580340694</v>
      </c>
      <c r="I87" s="1"/>
      <c r="J87" s="1"/>
      <c r="K87" s="1"/>
      <c r="L87" s="1"/>
    </row>
    <row r="88" ht="15" customHeight="1">
      <c r="A88" s="1"/>
      <c r="B88" s="17" t="s">
        <v>127</v>
      </c>
      <c r="C88" s="22">
        <f>'Segment - Aeronautics Systems'!C79+'Segment - Defense Systems'!C79+'Segment - Mission Systems'!C79+'Segment - Space Systems'!C79</f>
        <v>1603</v>
      </c>
      <c r="D88" s="22">
        <f>'Segment - Aeronautics Systems'!D79+'Segment - Defense Systems'!D79+'Segment - Mission Systems'!D79+'Segment - Space Systems'!D79</f>
        <v>1700</v>
      </c>
      <c r="E88" s="22">
        <f>'Segment - Aeronautics Systems'!E79+'Segment - Defense Systems'!E79+'Segment - Mission Systems'!E79+'Segment - Space Systems'!E79</f>
        <v>5990</v>
      </c>
      <c r="F88" s="22">
        <f>'Segment - Aeronautics Systems'!F79+'Segment - Defense Systems'!F79+'Segment - Mission Systems'!F79+'Segment - Space Systems'!F79</f>
        <v>1281</v>
      </c>
      <c r="G88" s="22">
        <f>'Segment - Aeronautics Systems'!G79+'Segment - Defense Systems'!G79+'Segment - Mission Systems'!G79+'Segment - Space Systems'!G79</f>
        <v>1543</v>
      </c>
      <c r="H88" s="21">
        <f>'Segment - Aeronautics Systems'!H79+'Segment - Defense Systems'!H79+'Segment - Mission Systems'!H79+'Segment - Space Systems'!H79</f>
        <v>1504.3661572640463</v>
      </c>
      <c r="I88" s="1"/>
      <c r="J88" s="1"/>
      <c r="K88" s="1"/>
      <c r="L88" s="1"/>
    </row>
    <row r="89" ht="15" customHeight="1">
      <c r="A89" s="1"/>
      <c r="B89" s="50" t="s">
        <v>111</v>
      </c>
      <c r="C89" s="42">
        <f>C88/(Inputs!C18+Inputs!C37+Inputs!C56+Inputs!C75)-1</f>
        <v>0.3160919540229885</v>
      </c>
      <c r="D89" s="42">
        <f>D88/(Inputs!E18+Inputs!E37+Inputs!E56+Inputs!E75)-1</f>
        <v>0.18466898954703836</v>
      </c>
      <c r="E89" s="42">
        <f>E88/(Inputs!F18+Inputs!F37+Inputs!F56+Inputs!F75)-1</f>
        <v>0.19799999999999995</v>
      </c>
      <c r="F89" s="42">
        <f>F88/(Inputs!G18+Inputs!G37+Inputs!G56+Inputs!G75)-1</f>
        <v>-0.0038880248833592645</v>
      </c>
      <c r="G89" s="42">
        <f>G88/(Inputs!H18+Inputs!H37+Inputs!H56+Inputs!H75)-1</f>
        <v>0.10135617416131337</v>
      </c>
      <c r="H89" s="49">
        <f t="shared" si="21"/>
        <v>-0.06153078149466862</v>
      </c>
      <c r="I89" s="1"/>
      <c r="J89" s="1"/>
      <c r="K89" s="1"/>
      <c r="L89" s="1"/>
    </row>
    <row r="90" ht="15" customHeight="1">
      <c r="A90" s="1"/>
      <c r="B90" s="50" t="s">
        <v>112</v>
      </c>
      <c r="C90" s="42">
        <f>C88/(Inputs!H18+Inputs!H37+Inputs!H56+Inputs!H75)-1</f>
        <v>0.14418272662384002</v>
      </c>
      <c r="D90" s="24">
        <f t="shared" si="18"/>
        <v>0.06051154086088584</v>
      </c>
      <c r="E90" s="24"/>
      <c r="F90" s="24">
        <f t="shared" si="22"/>
        <v>-0.2464705882352941</v>
      </c>
      <c r="G90" s="24">
        <f t="shared" si="18"/>
        <v>0.20452771272443404</v>
      </c>
      <c r="H90" s="49">
        <f t="shared" si="18"/>
        <v>-0.025038135279295992</v>
      </c>
      <c r="I90" s="1"/>
      <c r="J90" s="1"/>
      <c r="K90" s="1"/>
      <c r="L90" s="1"/>
    </row>
    <row r="91" ht="15" customHeight="1">
      <c r="A91" s="1"/>
      <c r="B91" s="50" t="s">
        <v>119</v>
      </c>
      <c r="C91" s="24" t="s">
        <v>38</v>
      </c>
      <c r="D91" s="24" t="s">
        <v>38</v>
      </c>
      <c r="E91" s="24" t="s">
        <v>38</v>
      </c>
      <c r="F91" s="24" t="s">
        <v>38</v>
      </c>
      <c r="G91" s="24" t="s">
        <v>38</v>
      </c>
      <c r="H91" s="49">
        <f t="shared" si="19"/>
        <v>-0.06153078149466862</v>
      </c>
      <c r="I91" s="1"/>
      <c r="J91" s="1" t="s">
        <v>128</v>
      </c>
      <c r="K91" s="1"/>
      <c r="L91" s="1"/>
    </row>
    <row r="92" ht="15" customHeight="1">
      <c r="A92" s="1"/>
      <c r="B92" s="50" t="s">
        <v>117</v>
      </c>
      <c r="C92" s="24" t="s">
        <v>38</v>
      </c>
      <c r="D92" s="24" t="s">
        <v>38</v>
      </c>
      <c r="E92" s="24" t="s">
        <v>38</v>
      </c>
      <c r="F92" s="24" t="s">
        <v>38</v>
      </c>
      <c r="G92" s="24" t="s">
        <v>38</v>
      </c>
      <c r="H92" s="57">
        <v>0</v>
      </c>
      <c r="I92" s="1"/>
      <c r="J92" s="1"/>
      <c r="K92" s="1"/>
      <c r="L92" s="1"/>
    </row>
    <row r="93" ht="15" customHeight="1">
      <c r="A93" s="1"/>
      <c r="B93" s="56" t="s">
        <v>118</v>
      </c>
      <c r="C93" s="34" t="s">
        <v>38</v>
      </c>
      <c r="D93" s="34" t="s">
        <v>38</v>
      </c>
      <c r="E93" s="34" t="s">
        <v>38</v>
      </c>
      <c r="F93" s="34" t="s">
        <v>38</v>
      </c>
      <c r="G93" s="34" t="s">
        <v>38</v>
      </c>
      <c r="H93" s="32" t="s">
        <v>38</v>
      </c>
      <c r="I93" s="1"/>
      <c r="J93" s="1"/>
      <c r="K93" s="1"/>
      <c r="L93" s="1"/>
    </row>
    <row r="94" ht="15" customHeight="1">
      <c r="A94" s="1"/>
      <c r="B94" s="50" t="s">
        <v>129</v>
      </c>
      <c r="C94" s="24">
        <f t="shared" si="23" ref="C94:H94">C88/C15</f>
        <v>0.15379449294828745</v>
      </c>
      <c r="D94" s="24">
        <f t="shared" si="23"/>
        <v>0.14515027322404372</v>
      </c>
      <c r="E94" s="24">
        <f t="shared" si="23"/>
        <v>0.14277542069886065</v>
      </c>
      <c r="F94" s="24">
        <f t="shared" si="23"/>
        <v>0.12964274870964476</v>
      </c>
      <c r="G94" s="24">
        <f t="shared" si="23"/>
        <v>0.14187201176903275</v>
      </c>
      <c r="H94" s="49">
        <f t="shared" si="23"/>
        <v>0.13507433902798813</v>
      </c>
      <c r="I94" s="1"/>
      <c r="J94" s="1"/>
      <c r="K94" s="1"/>
      <c r="L94" s="1"/>
    </row>
    <row r="95" ht="15" customHeight="1">
      <c r="A95" s="1"/>
      <c r="B95" s="51" t="s">
        <v>114</v>
      </c>
      <c r="C95" s="52">
        <f>(C94-((Inputs!C18+Inputs!C37+Inputs!C56+Inputs!C75)/((Inputs!C13)+(Inputs!C32)+(Inputs!C51)+(Inputs!C70)+(-(Inputs!C15+Inputs!C34+Inputs!C53+Inputs!C72)))))*10000</f>
        <v>319.45753452489134</v>
      </c>
      <c r="D95" s="52">
        <f>(D94-((Inputs!E18+Inputs!E37+Inputs!E56+Inputs!E75)/((Inputs!E13)+(Inputs!E32)+(Inputs!E51)+(Inputs!E70)+(-(Inputs!E15+Inputs!E34+Inputs!E53+Inputs!E72)))))*10000</f>
        <v>108.6241995808826</v>
      </c>
      <c r="E95" s="52">
        <f>(E94-((Inputs!F18+Inputs!F37+Inputs!F56+Inputs!F75)/((Inputs!F13)+(Inputs!F32)+(Inputs!F51)+(Inputs!F70)+(-(Inputs!F15+Inputs!F34+Inputs!F53+Inputs!F72)))))*10000</f>
        <v>209.22278106313183</v>
      </c>
      <c r="F95" s="52">
        <f>(F94-((Inputs!G18+Inputs!G37+Inputs!G56+Inputs!G75)/((Inputs!G13)+(Inputs!G32)+(Inputs!G51)+(Inputs!G70)+(-(Inputs!G15+Inputs!G34+Inputs!G53+Inputs!G72)))))*10000</f>
        <v>-61.831912988047634</v>
      </c>
      <c r="G95" s="52">
        <f>(G94-((Inputs!H18+Inputs!H37+Inputs!H56+Inputs!H75)/((Inputs!H13)+(Inputs!H32)+(Inputs!H51)+(Inputs!H70)+(-(Inputs!H15+Inputs!H34+Inputs!H53+Inputs!H72)))))*10000</f>
        <v>65.2277014986552</v>
      </c>
      <c r="H95" s="53">
        <f t="shared" si="8"/>
        <v>-187.20153920299327</v>
      </c>
      <c r="I95" s="1"/>
      <c r="J95" s="1"/>
      <c r="K95" s="1"/>
      <c r="L95" s="1"/>
    </row>
    <row r="96" ht="15" customHeight="1">
      <c r="A96" s="1"/>
      <c r="B96" s="51" t="s">
        <v>115</v>
      </c>
      <c r="C96" s="52">
        <f>(C94-((Inputs!H18+Inputs!H37+Inputs!H56+Inputs!H75)/((Inputs!H13)+(Inputs!H32)+(Inputs!H51)+(Inputs!H70)+(-(Inputs!H15+Inputs!H34+Inputs!H53+Inputs!H72)))))*10000</f>
        <v>184.45251329120228</v>
      </c>
      <c r="D96" s="54">
        <f t="shared" si="5"/>
        <v>-86.44219724243729</v>
      </c>
      <c r="E96" s="54"/>
      <c r="F96" s="54">
        <f t="shared" si="9"/>
        <v>-155.07524514398963</v>
      </c>
      <c r="G96" s="54">
        <f t="shared" si="5"/>
        <v>122.29263059387985</v>
      </c>
      <c r="H96" s="53">
        <f t="shared" si="5"/>
        <v>-67.97672741044619</v>
      </c>
      <c r="I96" s="1"/>
      <c r="J96" s="1"/>
      <c r="K96" s="1"/>
      <c r="L96" s="1"/>
    </row>
    <row r="97" ht="15" customHeight="1">
      <c r="A97" s="1"/>
      <c r="B97" s="17" t="s">
        <v>130</v>
      </c>
      <c r="C97" s="22">
        <f>'Segment - Aeronautics Systems'!C85+'Segment - Defense Systems'!C85+'Segment - Mission Systems'!C85+'Segment - Space Systems'!C85</f>
        <v>188</v>
      </c>
      <c r="D97" s="22">
        <f>'Segment - Aeronautics Systems'!D85+'Segment - Defense Systems'!D85+'Segment - Mission Systems'!D85+'Segment - Space Systems'!D85</f>
        <v>252</v>
      </c>
      <c r="E97" s="22">
        <f>'Segment - Aeronautics Systems'!E85+'Segment - Defense Systems'!E85+'Segment - Mission Systems'!E85+'Segment - Space Systems'!E85</f>
        <v>781</v>
      </c>
      <c r="F97" s="22">
        <f>'Segment - Aeronautics Systems'!F85+'Segment - Defense Systems'!F85+'Segment - Mission Systems'!F85+'Segment - Space Systems'!F85</f>
        <v>136</v>
      </c>
      <c r="G97" s="22">
        <f>'Segment - Aeronautics Systems'!G85+'Segment - Defense Systems'!G85+'Segment - Mission Systems'!G85+'Segment - Space Systems'!G85</f>
        <v>106</v>
      </c>
      <c r="H97" s="21">
        <f>'Segment - Aeronautics Systems'!H85+'Segment - Defense Systems'!H85+'Segment - Mission Systems'!H85+'Segment - Space Systems'!H85</f>
        <v>132.06723789567366</v>
      </c>
      <c r="I97" s="1"/>
      <c r="J97" s="1"/>
      <c r="K97" s="1"/>
      <c r="L97" s="1"/>
    </row>
    <row r="98" ht="15" customHeight="1">
      <c r="A98" s="1"/>
      <c r="B98" s="50" t="s">
        <v>111</v>
      </c>
      <c r="C98" s="42">
        <f>C97/(Inputs!C19+Inputs!C38+Inputs!C57+Inputs!C76)-1</f>
        <v>0.20512820512820507</v>
      </c>
      <c r="D98" s="42">
        <f>D97/(Inputs!E19+Inputs!E38+Inputs!E57+Inputs!E76)-1</f>
        <v>0.49112426035502965</v>
      </c>
      <c r="E98" s="42">
        <f>E97/(Inputs!F19+Inputs!F38+Inputs!F57+Inputs!F76)-1</f>
        <v>0.30820770519262974</v>
      </c>
      <c r="F98" s="42">
        <f>F97/(Inputs!G19+Inputs!G38+Inputs!G57+Inputs!G76)-1</f>
        <v>-0.14465408805031443</v>
      </c>
      <c r="G98" s="42">
        <f>G97/(Inputs!H19+Inputs!H38+Inputs!H57+Inputs!H76)-1</f>
        <v>-0.41758241758241754</v>
      </c>
      <c r="H98" s="49">
        <f t="shared" si="21"/>
        <v>-0.29751469204428904</v>
      </c>
      <c r="I98" s="1"/>
      <c r="J98" s="1"/>
      <c r="K98" s="1"/>
      <c r="L98" s="1"/>
    </row>
    <row r="99" ht="15" customHeight="1">
      <c r="A99" s="1"/>
      <c r="B99" s="50" t="s">
        <v>112</v>
      </c>
      <c r="C99" s="42">
        <f>C97/(Inputs!H19+Inputs!H38+Inputs!H57+Inputs!H76)-1</f>
        <v>0.03296703296703307</v>
      </c>
      <c r="D99" s="24">
        <f t="shared" si="18"/>
        <v>0.34042553191489366</v>
      </c>
      <c r="E99" s="24"/>
      <c r="F99" s="24">
        <f t="shared" si="22"/>
        <v>-0.46031746031746035</v>
      </c>
      <c r="G99" s="24">
        <f t="shared" si="18"/>
        <v>-0.22058823529411764</v>
      </c>
      <c r="H99" s="49">
        <f t="shared" si="18"/>
        <v>0.2459173386384308</v>
      </c>
      <c r="I99" s="1"/>
      <c r="J99" s="1"/>
      <c r="K99" s="1"/>
      <c r="L99" s="1"/>
    </row>
    <row r="100" ht="15" customHeight="1">
      <c r="A100" s="1"/>
      <c r="B100" s="50" t="s">
        <v>119</v>
      </c>
      <c r="C100" s="24" t="s">
        <v>38</v>
      </c>
      <c r="D100" s="24" t="s">
        <v>38</v>
      </c>
      <c r="E100" s="24" t="s">
        <v>38</v>
      </c>
      <c r="F100" s="24" t="s">
        <v>38</v>
      </c>
      <c r="G100" s="24" t="s">
        <v>38</v>
      </c>
      <c r="H100" s="49">
        <f t="shared" si="19"/>
        <v>-0.29751469204428904</v>
      </c>
      <c r="I100" s="1"/>
      <c r="J100" s="1" t="s">
        <v>131</v>
      </c>
      <c r="K100" s="1"/>
      <c r="L100" s="1"/>
    </row>
    <row r="101" ht="15" customHeight="1">
      <c r="A101" s="1"/>
      <c r="B101" s="50" t="s">
        <v>117</v>
      </c>
      <c r="C101" s="24" t="s">
        <v>38</v>
      </c>
      <c r="D101" s="24" t="s">
        <v>38</v>
      </c>
      <c r="E101" s="24" t="s">
        <v>38</v>
      </c>
      <c r="F101" s="24" t="s">
        <v>38</v>
      </c>
      <c r="G101" s="24" t="s">
        <v>38</v>
      </c>
      <c r="H101" s="57">
        <v>0</v>
      </c>
      <c r="I101" s="1"/>
      <c r="J101" s="1"/>
      <c r="K101" s="1"/>
      <c r="L101" s="1"/>
    </row>
    <row r="102" ht="15" customHeight="1">
      <c r="A102" s="1"/>
      <c r="B102" s="56" t="s">
        <v>118</v>
      </c>
      <c r="C102" s="34" t="s">
        <v>38</v>
      </c>
      <c r="D102" s="34" t="s">
        <v>38</v>
      </c>
      <c r="E102" s="34" t="s">
        <v>38</v>
      </c>
      <c r="F102" s="34" t="s">
        <v>38</v>
      </c>
      <c r="G102" s="34" t="s">
        <v>38</v>
      </c>
      <c r="H102" s="32" t="s">
        <v>38</v>
      </c>
      <c r="I102" s="1"/>
      <c r="J102" s="1"/>
      <c r="K102" s="1"/>
      <c r="L102" s="1"/>
    </row>
    <row r="103" ht="15" customHeight="1">
      <c r="A103" s="1"/>
      <c r="B103" s="50" t="s">
        <v>132</v>
      </c>
      <c r="C103" s="24">
        <f t="shared" si="24" ref="C103:H103">C97/C15</f>
        <v>0.018037033483641947</v>
      </c>
      <c r="D103" s="24">
        <f t="shared" si="24"/>
        <v>0.02151639344262295</v>
      </c>
      <c r="E103" s="24">
        <f t="shared" si="24"/>
        <v>0.018615626638699527</v>
      </c>
      <c r="F103" s="24">
        <f t="shared" si="24"/>
        <v>0.01376378909017306</v>
      </c>
      <c r="G103" s="24">
        <f t="shared" si="24"/>
        <v>0.009746230231702832</v>
      </c>
      <c r="H103" s="49">
        <f t="shared" si="24"/>
        <v>0.011858080414713227</v>
      </c>
      <c r="I103" s="1"/>
      <c r="J103" s="1"/>
      <c r="K103" s="1"/>
      <c r="L103" s="1"/>
    </row>
    <row r="104" ht="15" customHeight="1">
      <c r="A104" s="1"/>
      <c r="B104" s="51" t="s">
        <v>114</v>
      </c>
      <c r="C104" s="52">
        <f>(C103-((Inputs!C19+Inputs!C38+Inputs!C57+Inputs!C76)/((Inputs!C13)+(Inputs!C32)+(Inputs!C51)+(Inputs!C70)+(-(Inputs!C15+Inputs!C34+Inputs!C53+Inputs!C72)))))*10000</f>
        <v>24.307909866431476</v>
      </c>
      <c r="D104" s="52">
        <f>(D103-((Inputs!E19+Inputs!E38+Inputs!E57+Inputs!E76)/((Inputs!E13)+(Inputs!E32)+(Inputs!E51)+(Inputs!E70)+(-(Inputs!E15+Inputs!E34+Inputs!E53+Inputs!E72)))))*10000</f>
        <v>57.01308284472098</v>
      </c>
      <c r="E104" s="52">
        <f>(E103-((Inputs!F19+Inputs!F38+Inputs!F57+Inputs!F76)/((Inputs!F13)+(Inputs!F32)+(Inputs!F51)+(Inputs!F70)+(-(Inputs!F15+Inputs!F34+Inputs!F53+Inputs!F72)))))*10000</f>
        <v>40.663614131493595</v>
      </c>
      <c r="F104" s="52">
        <f>(F103-((Inputs!G19+Inputs!G38+Inputs!G57+Inputs!G76)/((Inputs!G13)+(Inputs!G32)+(Inputs!G51)+(Inputs!G70)+(-(Inputs!G15+Inputs!G34+Inputs!G53+Inputs!G72)))))*10000</f>
        <v>-30.296202887876486</v>
      </c>
      <c r="G104" s="52">
        <f>(G103-((Inputs!H19+Inputs!H38+Inputs!H57+Inputs!H76)/((Inputs!H13)+(Inputs!H32)+(Inputs!H51)+(Inputs!H70)+(-(Inputs!H15+Inputs!H34+Inputs!H53+Inputs!H72)))))*10000</f>
        <v>-78.36612005762147</v>
      </c>
      <c r="H104" s="53">
        <f t="shared" si="8"/>
        <v>-61.7895306892872</v>
      </c>
      <c r="I104" s="1"/>
      <c r="J104" s="1"/>
      <c r="K104" s="1"/>
      <c r="L104" s="1"/>
    </row>
    <row r="105" ht="15" customHeight="1">
      <c r="A105" s="1"/>
      <c r="B105" s="51" t="s">
        <v>115</v>
      </c>
      <c r="C105" s="52">
        <f>(C103-((Inputs!H19+Inputs!H38+Inputs!H57+Inputs!H76)/((Inputs!H13)+(Inputs!H32)+(Inputs!H51)+(Inputs!H70)+(-(Inputs!H15+Inputs!H34+Inputs!H53+Inputs!H72)))))*10000</f>
        <v>4.541912461769673</v>
      </c>
      <c r="D105" s="54">
        <f t="shared" si="5"/>
        <v>34.793599589810036</v>
      </c>
      <c r="E105" s="54"/>
      <c r="F105" s="54">
        <f t="shared" si="9"/>
        <v>-77.5260435244989</v>
      </c>
      <c r="G105" s="54">
        <f t="shared" si="5"/>
        <v>-40.17558858470228</v>
      </c>
      <c r="H105" s="53">
        <f t="shared" si="5"/>
        <v>21.118501830103952</v>
      </c>
      <c r="I105" s="1"/>
      <c r="J105" s="1"/>
      <c r="K105" s="1"/>
      <c r="L105" s="1"/>
    </row>
    <row r="106" ht="15" customHeight="1">
      <c r="A106" s="1"/>
      <c r="B106" s="17" t="s">
        <v>133</v>
      </c>
      <c r="C106" s="23">
        <f t="shared" si="25" ref="C106:H106">C79+C88+C97-C15</f>
        <v>0</v>
      </c>
      <c r="D106" s="23">
        <f t="shared" si="25"/>
        <v>0</v>
      </c>
      <c r="E106" s="23">
        <f t="shared" si="25"/>
        <v>0</v>
      </c>
      <c r="F106" s="23">
        <f t="shared" si="25"/>
        <v>0</v>
      </c>
      <c r="G106" s="23">
        <f t="shared" si="25"/>
        <v>0</v>
      </c>
      <c r="H106" s="48">
        <f t="shared" si="25"/>
        <v>0</v>
      </c>
      <c r="I106" s="1"/>
      <c r="J106" s="1"/>
      <c r="K106" s="1"/>
      <c r="L106" s="1"/>
    </row>
    <row r="107" ht="15" customHeight="1">
      <c r="A107" s="1"/>
      <c r="B107" s="1"/>
      <c r="C107" s="1"/>
      <c r="D107" s="1"/>
      <c r="E107" s="1"/>
      <c r="F107" s="1"/>
      <c r="G107" s="1"/>
      <c r="H107" s="45"/>
      <c r="I107" s="1"/>
      <c r="J107" s="1"/>
      <c r="K107" s="1"/>
      <c r="L107" s="1"/>
    </row>
    <row r="108" ht="15" customHeight="1">
      <c r="A108" s="1"/>
      <c r="B108" s="4" t="s">
        <v>134</v>
      </c>
      <c r="C108" s="34"/>
      <c r="D108" s="34"/>
      <c r="E108" s="34"/>
      <c r="F108" s="34"/>
      <c r="G108" s="34"/>
      <c r="H108" s="32"/>
      <c r="I108" s="1"/>
      <c r="J108" s="1"/>
      <c r="K108" s="1"/>
      <c r="L108" s="1"/>
    </row>
    <row r="109" ht="15" customHeight="1">
      <c r="A109" s="1"/>
      <c r="B109" s="17" t="s">
        <v>135</v>
      </c>
      <c r="C109" s="22">
        <f>'Segment - Aeronautics Systems'!C104+'Segment - Defense Systems'!C104+'Segment - Mission Systems'!C104+'Segment - Space Systems'!C104</f>
        <v>5052</v>
      </c>
      <c r="D109" s="22">
        <f>'Segment - Aeronautics Systems'!D104+'Segment - Defense Systems'!D104+'Segment - Mission Systems'!D104+'Segment - Space Systems'!D104</f>
        <v>5372</v>
      </c>
      <c r="E109" s="22">
        <f>'Segment - Aeronautics Systems'!E104+'Segment - Defense Systems'!E104+'Segment - Mission Systems'!E104+'Segment - Space Systems'!E104</f>
        <v>20944</v>
      </c>
      <c r="F109" s="22">
        <f>'Segment - Aeronautics Systems'!F104+'Segment - Defense Systems'!F104+'Segment - Mission Systems'!F104+'Segment - Space Systems'!F104</f>
        <v>4936</v>
      </c>
      <c r="G109" s="22">
        <f>'Segment - Aeronautics Systems'!G104+'Segment - Defense Systems'!G104+'Segment - Mission Systems'!G104+'Segment - Space Systems'!G104</f>
        <v>5237</v>
      </c>
      <c r="H109" s="21">
        <f>'Segment - Aeronautics Systems'!H104+'Segment - Defense Systems'!H104+'Segment - Mission Systems'!H104+'Segment - Space Systems'!H104</f>
        <v>5483.260440591642</v>
      </c>
      <c r="I109" s="1"/>
      <c r="J109" s="1"/>
      <c r="K109" s="1"/>
      <c r="L109" s="1"/>
    </row>
    <row r="110" ht="15" customHeight="1">
      <c r="A110" s="1"/>
      <c r="B110" s="50" t="s">
        <v>111</v>
      </c>
      <c r="C110" s="42">
        <f>C109/(Inputs!C20+Inputs!C39+Inputs!C58+Inputs!C77)-1</f>
        <v>-0.03808073115003807</v>
      </c>
      <c r="D110" s="42">
        <f>D109/(Inputs!E20+Inputs!E39+Inputs!E58+Inputs!E77)-1</f>
        <v>0.028724626579854418</v>
      </c>
      <c r="E110" s="42">
        <f>E109/(Inputs!F20+Inputs!F39+Inputs!F58+Inputs!F77)-1</f>
        <v>-0.0009540164090822145</v>
      </c>
      <c r="F110" s="42">
        <f>F109/(Inputs!G20+Inputs!G39+Inputs!G58+Inputs!G77)-1</f>
        <v>-0.014180147793089626</v>
      </c>
      <c r="G110" s="42">
        <f>G109/(Inputs!H20+Inputs!H39+Inputs!H58+Inputs!H77)-1</f>
        <v>-0.05006348630509705</v>
      </c>
      <c r="H110" s="49">
        <f t="shared" si="21"/>
        <v>0.0853642994045214</v>
      </c>
      <c r="I110" s="1"/>
      <c r="J110" s="1"/>
      <c r="K110" s="1"/>
      <c r="L110" s="1"/>
    </row>
    <row r="111" ht="15" customHeight="1">
      <c r="A111" s="1"/>
      <c r="B111" s="50" t="s">
        <v>112</v>
      </c>
      <c r="C111" s="42">
        <f>C109/(Inputs!H20+Inputs!H39+Inputs!H58+Inputs!H77)-1</f>
        <v>-0.08362053328496277</v>
      </c>
      <c r="D111" s="24">
        <f t="shared" si="18"/>
        <v>0.06334125098970711</v>
      </c>
      <c r="E111" s="24"/>
      <c r="F111" s="24">
        <f t="shared" si="22"/>
        <v>-0.08116157855547279</v>
      </c>
      <c r="G111" s="24">
        <f t="shared" si="18"/>
        <v>0.060980551053484655</v>
      </c>
      <c r="H111" s="49">
        <f t="shared" si="18"/>
        <v>0.04702318896155089</v>
      </c>
      <c r="I111" s="1"/>
      <c r="J111" s="1"/>
      <c r="K111" s="1"/>
      <c r="L111" s="1"/>
    </row>
    <row r="112" ht="15" customHeight="1">
      <c r="A112" s="1"/>
      <c r="B112" s="50" t="s">
        <v>119</v>
      </c>
      <c r="C112" s="24" t="s">
        <v>38</v>
      </c>
      <c r="D112" s="24" t="s">
        <v>38</v>
      </c>
      <c r="E112" s="24" t="s">
        <v>38</v>
      </c>
      <c r="F112" s="24" t="s">
        <v>38</v>
      </c>
      <c r="G112" s="24" t="s">
        <v>38</v>
      </c>
      <c r="H112" s="49">
        <f t="shared" si="19"/>
        <v>0.0853642994045214</v>
      </c>
      <c r="I112" s="1"/>
      <c r="J112" s="1" t="s">
        <v>136</v>
      </c>
      <c r="K112" s="1"/>
      <c r="L112" s="1"/>
    </row>
    <row r="113" ht="15" customHeight="1">
      <c r="A113" s="1"/>
      <c r="B113" s="50" t="s">
        <v>117</v>
      </c>
      <c r="C113" s="24" t="s">
        <v>38</v>
      </c>
      <c r="D113" s="24" t="s">
        <v>38</v>
      </c>
      <c r="E113" s="24" t="s">
        <v>38</v>
      </c>
      <c r="F113" s="24" t="s">
        <v>38</v>
      </c>
      <c r="G113" s="24" t="s">
        <v>38</v>
      </c>
      <c r="H113" s="57">
        <v>0</v>
      </c>
      <c r="I113" s="1"/>
      <c r="J113" s="1"/>
      <c r="K113" s="1"/>
      <c r="L113" s="1"/>
    </row>
    <row r="114" ht="15" customHeight="1">
      <c r="A114" s="1"/>
      <c r="B114" s="56" t="s">
        <v>118</v>
      </c>
      <c r="C114" s="34" t="s">
        <v>38</v>
      </c>
      <c r="D114" s="34" t="s">
        <v>38</v>
      </c>
      <c r="E114" s="34" t="s">
        <v>38</v>
      </c>
      <c r="F114" s="34" t="s">
        <v>38</v>
      </c>
      <c r="G114" s="34" t="s">
        <v>38</v>
      </c>
      <c r="H114" s="32" t="s">
        <v>38</v>
      </c>
      <c r="I114" s="1"/>
      <c r="J114" s="1"/>
      <c r="K114" s="1"/>
      <c r="L114" s="1"/>
    </row>
    <row r="115" ht="15" customHeight="1">
      <c r="A115" s="1"/>
      <c r="B115" s="50" t="s">
        <v>137</v>
      </c>
      <c r="C115" s="24">
        <f t="shared" si="26" ref="C115:H115">C109/C15</f>
        <v>0.4846973040391442</v>
      </c>
      <c r="D115" s="24">
        <f t="shared" si="26"/>
        <v>0.45867486338797814</v>
      </c>
      <c r="E115" s="24">
        <f t="shared" si="26"/>
        <v>0.4992134242265338</v>
      </c>
      <c r="F115" s="24">
        <f t="shared" si="26"/>
        <v>0.49954458050804573</v>
      </c>
      <c r="G115" s="24">
        <f t="shared" si="26"/>
        <v>0.48151894078705404</v>
      </c>
      <c r="H115" s="49">
        <f t="shared" si="26"/>
        <v>0.49233212017892564</v>
      </c>
      <c r="I115" s="1"/>
      <c r="J115" s="1"/>
      <c r="K115" s="1"/>
      <c r="L115" s="1"/>
    </row>
    <row r="116" ht="15" customHeight="1">
      <c r="A116" s="1"/>
      <c r="B116" s="51" t="s">
        <v>114</v>
      </c>
      <c r="C116" s="52">
        <f>(C115-((Inputs!C20+Inputs!C39+Inputs!C58+Inputs!C77)/((Inputs!C13)+(Inputs!C32)+(Inputs!C51)+(Inputs!C70)+(-(Inputs!C15+Inputs!C34+Inputs!C53+Inputs!C72)))))*10000</f>
        <v>-407.12860026482053</v>
      </c>
      <c r="D116" s="52">
        <f>(D115-((Inputs!E20+Inputs!E39+Inputs!E58+Inputs!E77)/((Inputs!E13)+(Inputs!E32)+(Inputs!E51)+(Inputs!E70)+(-(Inputs!E15+Inputs!E34+Inputs!E53+Inputs!E72)))))*10000</f>
        <v>-300.0190996032803</v>
      </c>
      <c r="E116" s="52">
        <f>(E115-((Inputs!F20+Inputs!F39+Inputs!F58+Inputs!F77)/((Inputs!F13)+(Inputs!F32)+(Inputs!F51)+(Inputs!F70)+(-(Inputs!F15+Inputs!F34+Inputs!F53+Inputs!F72)))))*10000</f>
        <v>-116.92432035499189</v>
      </c>
      <c r="F116" s="52">
        <f>(F115-((Inputs!G20+Inputs!G39+Inputs!G58+Inputs!G77)/((Inputs!G13)+(Inputs!G32)+(Inputs!G51)+(Inputs!G70)+(-(Inputs!G15+Inputs!G34+Inputs!G53+Inputs!G72)))))*10000</f>
        <v>-292.8938653884905</v>
      </c>
      <c r="G116" s="52">
        <f>(G115-((Inputs!H20+Inputs!H39+Inputs!H58+Inputs!H77)/((Inputs!H13)+(Inputs!H32)+(Inputs!H51)+(Inputs!H70)+(-(Inputs!H15+Inputs!H34+Inputs!H53+Inputs!H72)))))*10000</f>
        <v>-510.86604570882434</v>
      </c>
      <c r="H116" s="53">
        <f t="shared" si="8"/>
        <v>76.34816139781452</v>
      </c>
      <c r="I116" s="1"/>
      <c r="J116" s="1"/>
      <c r="K116" s="1"/>
      <c r="L116" s="1"/>
    </row>
    <row r="117" ht="15" customHeight="1">
      <c r="A117" s="1"/>
      <c r="B117" s="51" t="s">
        <v>115</v>
      </c>
      <c r="C117" s="52">
        <f>(C115-((Inputs!H20+Inputs!H39+Inputs!H58+Inputs!H77)/((Inputs!H13)+(Inputs!H32)+(Inputs!H51)+(Inputs!H70)+(-(Inputs!H15+Inputs!H34+Inputs!H53+Inputs!H72)))))*10000</f>
        <v>-479.0824131879229</v>
      </c>
      <c r="D117" s="54">
        <f t="shared" si="5"/>
        <v>-260.22440651166045</v>
      </c>
      <c r="E117" s="54"/>
      <c r="F117" s="54">
        <f t="shared" si="9"/>
        <v>408.69717120067594</v>
      </c>
      <c r="G117" s="54">
        <f t="shared" si="5"/>
        <v>-180.25639720991694</v>
      </c>
      <c r="H117" s="53">
        <f t="shared" si="5"/>
        <v>108.13179391871597</v>
      </c>
      <c r="I117" s="1"/>
      <c r="J117" s="1"/>
      <c r="K117" s="1"/>
      <c r="L117" s="1"/>
    </row>
    <row r="118" ht="15" customHeight="1">
      <c r="A118" s="1"/>
      <c r="B118" s="17" t="s">
        <v>138</v>
      </c>
      <c r="C118" s="22">
        <f>'Segment - Aeronautics Systems'!C110+'Segment - Defense Systems'!C110+'Segment - Mission Systems'!C110+'Segment - Space Systems'!C110</f>
        <v>5371</v>
      </c>
      <c r="D118" s="22">
        <f>'Segment - Aeronautics Systems'!D110+'Segment - Defense Systems'!D110+'Segment - Mission Systems'!D110+'Segment - Space Systems'!D110</f>
        <v>6340</v>
      </c>
      <c r="E118" s="22">
        <f>'Segment - Aeronautics Systems'!E110+'Segment - Defense Systems'!E110+'Segment - Mission Systems'!E110+'Segment - Space Systems'!E110</f>
        <v>21010</v>
      </c>
      <c r="F118" s="22">
        <f>'Segment - Aeronautics Systems'!F110+'Segment - Defense Systems'!F110+'Segment - Mission Systems'!F110+'Segment - Space Systems'!F110</f>
        <v>4945</v>
      </c>
      <c r="G118" s="22">
        <f>'Segment - Aeronautics Systems'!G110+'Segment - Defense Systems'!G110+'Segment - Mission Systems'!G110+'Segment - Space Systems'!G110</f>
        <v>5639</v>
      </c>
      <c r="H118" s="21">
        <f>'Segment - Aeronautics Systems'!H110+'Segment - Defense Systems'!H110+'Segment - Mission Systems'!H110+'Segment - Space Systems'!H110</f>
        <v>5654.059705408356</v>
      </c>
      <c r="I118" s="1"/>
      <c r="J118" s="1"/>
      <c r="K118" s="1"/>
      <c r="L118" s="1"/>
    </row>
    <row r="119" ht="15" customHeight="1">
      <c r="A119" s="1"/>
      <c r="B119" s="50" t="s">
        <v>111</v>
      </c>
      <c r="C119" s="42">
        <f>C118/(Inputs!C21+Inputs!C40+Inputs!C59+Inputs!C78)-1</f>
        <v>0.13216694772344018</v>
      </c>
      <c r="D119" s="42">
        <f>D118/(Inputs!E21+Inputs!E40+Inputs!E59+Inputs!E78)-1</f>
        <v>0.1603221083455344</v>
      </c>
      <c r="E119" s="42">
        <f>E118/(Inputs!F21+Inputs!F40+Inputs!F59+Inputs!F78)-1</f>
        <v>0.04688823558722399</v>
      </c>
      <c r="F119" s="42">
        <f>F118/(Inputs!G21+Inputs!G40+Inputs!G59+Inputs!G78)-1</f>
        <v>0.10849585294776953</v>
      </c>
      <c r="G119" s="42">
        <f>G118/(Inputs!H21+Inputs!H40+Inputs!H59+Inputs!H78)-1</f>
        <v>0.16556428276147162</v>
      </c>
      <c r="H119" s="49">
        <f t="shared" si="21"/>
        <v>0.05270149048749895</v>
      </c>
      <c r="I119" s="1"/>
      <c r="J119" s="1"/>
      <c r="K119" s="1"/>
      <c r="L119" s="1"/>
    </row>
    <row r="120" ht="15" customHeight="1">
      <c r="A120" s="1"/>
      <c r="B120" s="50" t="s">
        <v>112</v>
      </c>
      <c r="C120" s="42">
        <f>C118/(Inputs!H21+Inputs!H40+Inputs!H59+Inputs!H78)-1</f>
        <v>0.11016949152542366</v>
      </c>
      <c r="D120" s="24">
        <f t="shared" si="18"/>
        <v>0.18041333085086575</v>
      </c>
      <c r="E120" s="24"/>
      <c r="F120" s="24">
        <f t="shared" si="22"/>
        <v>-0.22003154574132489</v>
      </c>
      <c r="G120" s="24">
        <f t="shared" si="18"/>
        <v>0.14034378159757321</v>
      </c>
      <c r="H120" s="49">
        <f t="shared" si="18"/>
        <v>0.0026706340500721737</v>
      </c>
      <c r="I120" s="1"/>
      <c r="J120" s="1"/>
      <c r="K120" s="1"/>
      <c r="L120" s="1"/>
    </row>
    <row r="121" ht="15" customHeight="1">
      <c r="A121" s="1"/>
      <c r="B121" s="50" t="s">
        <v>119</v>
      </c>
      <c r="C121" s="24" t="s">
        <v>38</v>
      </c>
      <c r="D121" s="24" t="s">
        <v>38</v>
      </c>
      <c r="E121" s="24" t="s">
        <v>38</v>
      </c>
      <c r="F121" s="24" t="s">
        <v>38</v>
      </c>
      <c r="G121" s="24" t="s">
        <v>38</v>
      </c>
      <c r="H121" s="49">
        <f t="shared" si="19"/>
        <v>0.05270149048749895</v>
      </c>
      <c r="I121" s="1"/>
      <c r="J121" s="1" t="s">
        <v>139</v>
      </c>
      <c r="K121" s="1"/>
      <c r="L121" s="1"/>
    </row>
    <row r="122" ht="15" customHeight="1">
      <c r="A122" s="1"/>
      <c r="B122" s="50" t="s">
        <v>117</v>
      </c>
      <c r="C122" s="24" t="s">
        <v>38</v>
      </c>
      <c r="D122" s="24" t="s">
        <v>38</v>
      </c>
      <c r="E122" s="24" t="s">
        <v>38</v>
      </c>
      <c r="F122" s="24" t="s">
        <v>38</v>
      </c>
      <c r="G122" s="24" t="s">
        <v>38</v>
      </c>
      <c r="H122" s="57">
        <v>0</v>
      </c>
      <c r="I122" s="1"/>
      <c r="J122" s="1"/>
      <c r="K122" s="1"/>
      <c r="L122" s="1"/>
    </row>
    <row r="123" ht="15" customHeight="1">
      <c r="A123" s="1"/>
      <c r="B123" s="56" t="s">
        <v>118</v>
      </c>
      <c r="C123" s="34" t="s">
        <v>38</v>
      </c>
      <c r="D123" s="34" t="s">
        <v>38</v>
      </c>
      <c r="E123" s="34" t="s">
        <v>38</v>
      </c>
      <c r="F123" s="34" t="s">
        <v>38</v>
      </c>
      <c r="G123" s="34" t="s">
        <v>38</v>
      </c>
      <c r="H123" s="32" t="s">
        <v>38</v>
      </c>
      <c r="I123" s="1"/>
      <c r="J123" s="1"/>
      <c r="K123" s="1"/>
      <c r="L123" s="1"/>
    </row>
    <row r="124" ht="15" customHeight="1">
      <c r="A124" s="1"/>
      <c r="B124" s="50" t="s">
        <v>140</v>
      </c>
      <c r="C124" s="24">
        <f t="shared" si="27" ref="C124:H124">C118/C15</f>
        <v>0.5153026959608558</v>
      </c>
      <c r="D124" s="24">
        <f t="shared" si="27"/>
        <v>0.5413251366120219</v>
      </c>
      <c r="E124" s="24">
        <f t="shared" si="27"/>
        <v>0.5007865757734662</v>
      </c>
      <c r="F124" s="24">
        <f t="shared" si="27"/>
        <v>0.5004554194919543</v>
      </c>
      <c r="G124" s="24">
        <f t="shared" si="27"/>
        <v>0.518481059212946</v>
      </c>
      <c r="H124" s="49">
        <f t="shared" si="27"/>
        <v>0.5076678798210742</v>
      </c>
      <c r="I124" s="1"/>
      <c r="J124" s="1"/>
      <c r="K124" s="1"/>
      <c r="L124" s="1"/>
    </row>
    <row r="125" ht="15" customHeight="1">
      <c r="A125" s="1"/>
      <c r="B125" s="51" t="s">
        <v>114</v>
      </c>
      <c r="C125" s="52">
        <f>(C124-((Inputs!C21+Inputs!C40+Inputs!C59+Inputs!C78)/((Inputs!C13)+(Inputs!C32)+(Inputs!C51)+(Inputs!C70)+(-(Inputs!C15+Inputs!C34+Inputs!C53+Inputs!C72)))))*10000</f>
        <v>407.12860026482</v>
      </c>
      <c r="D125" s="52">
        <f>(D124-((Inputs!E21+Inputs!E40+Inputs!E59+Inputs!E78)/((Inputs!E13)+(Inputs!E32)+(Inputs!E51)+(Inputs!E70)+(-(Inputs!E15+Inputs!E34+Inputs!E53+Inputs!E72)))))*10000</f>
        <v>300.0190996032803</v>
      </c>
      <c r="E125" s="52">
        <f>(E124-((Inputs!F21+Inputs!F40+Inputs!F59+Inputs!F78)/((Inputs!F13)+(Inputs!F32)+(Inputs!F51)+(Inputs!F70)+(-(Inputs!F15+Inputs!F34+Inputs!F53+Inputs!F72)))))*10000</f>
        <v>116.92432035499189</v>
      </c>
      <c r="F125" s="52">
        <f>(F124-((Inputs!G21+Inputs!G40+Inputs!G59+Inputs!G78)/((Inputs!G13)+(Inputs!G32)+(Inputs!G51)+(Inputs!G70)+(-(Inputs!G15+Inputs!G34+Inputs!G53+Inputs!G72)))))*10000</f>
        <v>292.8938653884905</v>
      </c>
      <c r="G125" s="52">
        <f>(G124-((Inputs!H21+Inputs!H40+Inputs!H59+Inputs!H78)/((Inputs!H13)+(Inputs!H32)+(Inputs!H51)+(Inputs!H70)+(-(Inputs!H15+Inputs!H34+Inputs!H53+Inputs!H72)))))*10000</f>
        <v>510.8660457088238</v>
      </c>
      <c r="H125" s="53">
        <f t="shared" si="8"/>
        <v>-76.34816139781564</v>
      </c>
      <c r="I125" s="1"/>
      <c r="J125" s="1"/>
      <c r="K125" s="1"/>
      <c r="L125" s="1"/>
    </row>
    <row r="126" ht="15" customHeight="1">
      <c r="A126" s="1"/>
      <c r="B126" s="51" t="s">
        <v>115</v>
      </c>
      <c r="C126" s="52">
        <f>(C124-((Inputs!H21+Inputs!H40+Inputs!H59+Inputs!H78)/((Inputs!H13)+(Inputs!H32)+(Inputs!H51)+(Inputs!H70)+(-(Inputs!H15+Inputs!H34+Inputs!H53+Inputs!H72)))))*10000</f>
        <v>479.08241318792176</v>
      </c>
      <c r="D126" s="54">
        <f t="shared" si="5"/>
        <v>260.224406511661</v>
      </c>
      <c r="E126" s="54"/>
      <c r="F126" s="54">
        <f t="shared" si="9"/>
        <v>-408.69717120067594</v>
      </c>
      <c r="G126" s="54">
        <f t="shared" si="5"/>
        <v>180.25639720991694</v>
      </c>
      <c r="H126" s="53">
        <f t="shared" si="5"/>
        <v>-108.13179391871763</v>
      </c>
      <c r="I126" s="1"/>
      <c r="J126" s="1"/>
      <c r="K126" s="1"/>
      <c r="L126" s="1"/>
    </row>
    <row r="127" ht="15" customHeight="1">
      <c r="A127" s="1"/>
      <c r="B127" s="17" t="s">
        <v>141</v>
      </c>
      <c r="C127" s="23">
        <f t="shared" si="28" ref="C127:H127">C109+C118-C15</f>
        <v>0</v>
      </c>
      <c r="D127" s="23">
        <f t="shared" si="28"/>
        <v>0</v>
      </c>
      <c r="E127" s="23">
        <f t="shared" si="28"/>
        <v>0</v>
      </c>
      <c r="F127" s="23">
        <f t="shared" si="28"/>
        <v>0</v>
      </c>
      <c r="G127" s="23">
        <f t="shared" si="28"/>
        <v>0</v>
      </c>
      <c r="H127" s="48">
        <f t="shared" si="28"/>
        <v>0</v>
      </c>
      <c r="I127" s="1"/>
      <c r="J127" s="1"/>
      <c r="K127" s="1"/>
      <c r="L127" s="1"/>
    </row>
    <row r="128" ht="15" customHeight="1">
      <c r="A128" s="1"/>
      <c r="B128" s="1"/>
      <c r="C128" s="1"/>
      <c r="D128" s="1"/>
      <c r="E128" s="1"/>
      <c r="F128" s="1"/>
      <c r="G128" s="1"/>
      <c r="H128" s="45"/>
      <c r="I128" s="1"/>
      <c r="J128" s="1"/>
      <c r="K128" s="1"/>
      <c r="L128" s="1"/>
    </row>
    <row r="129" ht="15" customHeight="1">
      <c r="A129" s="1"/>
      <c r="B129" s="4" t="s">
        <v>142</v>
      </c>
      <c r="C129" s="34"/>
      <c r="D129" s="34"/>
      <c r="E129" s="34"/>
      <c r="F129" s="34"/>
      <c r="G129" s="34"/>
      <c r="H129" s="32"/>
      <c r="I129" s="1"/>
      <c r="J129" s="1"/>
      <c r="K129" s="1"/>
      <c r="L129" s="1"/>
    </row>
    <row r="130" ht="15" customHeight="1">
      <c r="A130" s="1"/>
      <c r="B130" s="17" t="s">
        <v>143</v>
      </c>
      <c r="C130" s="22">
        <f>'Segment - Aeronautics Systems'!C10+'Segment - Defense Systems'!C10+'Segment - Mission Systems'!C10+'Segment - Space Systems'!C10</f>
        <v>89737</v>
      </c>
      <c r="D130" s="22">
        <f>'Segment - Aeronautics Systems'!D10+'Segment - Defense Systems'!D10+'Segment - Mission Systems'!D10+'Segment - Space Systems'!D10</f>
        <v>91448</v>
      </c>
      <c r="E130" s="22">
        <f>'Segment - Aeronautics Systems'!E10+'Segment - Defense Systems'!E10+'Segment - Mission Systems'!E10+'Segment - Space Systems'!E10</f>
        <v>91468</v>
      </c>
      <c r="F130" s="22">
        <f>'Segment - Aeronautics Systems'!F10+'Segment - Defense Systems'!F10+'Segment - Mission Systems'!F10+'Segment - Space Systems'!F10</f>
        <v>95681</v>
      </c>
      <c r="G130" s="22">
        <f>'Segment - Aeronautics Systems'!G10+'Segment - Defense Systems'!G10+'Segment - Mission Systems'!G10+'Segment - Space Systems'!G10</f>
        <v>95608</v>
      </c>
      <c r="H130" s="21">
        <f>'Segment - Aeronautics Systems'!H10+'Segment - Defense Systems'!H10+'Segment - Mission Systems'!H10+'Segment - Space Systems'!H10</f>
        <v>104692</v>
      </c>
      <c r="I130" s="1"/>
      <c r="J130" s="1"/>
      <c r="K130" s="1"/>
      <c r="L130" s="1"/>
    </row>
    <row r="131" ht="15" customHeight="1">
      <c r="A131" s="1"/>
      <c r="B131" s="50" t="s">
        <v>111</v>
      </c>
      <c r="C131" s="24"/>
      <c r="D131" s="24"/>
      <c r="E131" s="24"/>
      <c r="F131" s="42">
        <f>F130/(Inputs!G10+Inputs!G29+Inputs!G48+Inputs!G67)-1</f>
        <v>0.04605982420081345</v>
      </c>
      <c r="G131" s="42">
        <f>G130/(Inputs!H10+Inputs!H29+Inputs!H48+Inputs!H67)-1</f>
        <v>0.030291927540760932</v>
      </c>
      <c r="H131" s="49">
        <f t="shared" si="21"/>
        <v>0.16665366571202522</v>
      </c>
      <c r="I131" s="1"/>
      <c r="J131" s="1"/>
      <c r="K131" s="1"/>
      <c r="L131" s="1"/>
    </row>
    <row r="132" ht="15" customHeight="1">
      <c r="A132" s="1"/>
      <c r="B132" s="56" t="s">
        <v>144</v>
      </c>
      <c r="C132" s="22">
        <f>C130-(Inputs!H10+Inputs!H29+Inputs!H48+Inputs!H67)</f>
        <v>-3060</v>
      </c>
      <c r="D132" s="23">
        <f t="shared" si="29" ref="D132:H144">D130-C130</f>
        <v>1711</v>
      </c>
      <c r="E132" s="23"/>
      <c r="F132" s="23">
        <f t="shared" si="30" ref="F132:F144">F130-D130</f>
        <v>4233</v>
      </c>
      <c r="G132" s="23">
        <f t="shared" si="29"/>
        <v>-73</v>
      </c>
      <c r="H132" s="48">
        <f t="shared" si="29"/>
        <v>9084</v>
      </c>
      <c r="I132" s="1"/>
      <c r="J132" s="1"/>
      <c r="K132" s="1"/>
      <c r="L132" s="1"/>
    </row>
    <row r="133" ht="15" customHeight="1">
      <c r="A133" s="1"/>
      <c r="B133" s="17" t="s">
        <v>145</v>
      </c>
      <c r="C133" s="22">
        <f>'Segment - Aeronautics Systems'!C13+'Segment - Defense Systems'!C13+'Segment - Mission Systems'!C13+'Segment - Space Systems'!C13</f>
        <v>12703</v>
      </c>
      <c r="D133" s="22">
        <f>'Segment - Aeronautics Systems'!D13+'Segment - Defense Systems'!D13+'Segment - Mission Systems'!D13+'Segment - Space Systems'!D13</f>
        <v>16610</v>
      </c>
      <c r="E133" s="22">
        <f>'Segment - Aeronautics Systems'!E13+'Segment - Defense Systems'!E13+'Segment - Mission Systems'!E13+'Segment - Space Systems'!E13</f>
        <v>48484</v>
      </c>
      <c r="F133" s="22">
        <f>'Segment - Aeronautics Systems'!F13+'Segment - Defense Systems'!F13+'Segment - Mission Systems'!F13+'Segment - Space Systems'!F13</f>
        <v>10450</v>
      </c>
      <c r="G133" s="22">
        <f>'Segment - Aeronautics Systems'!G13+'Segment - Defense Systems'!G13+'Segment - Mission Systems'!G13+'Segment - Space Systems'!G13</f>
        <v>20699</v>
      </c>
      <c r="H133" s="21">
        <f>'Segment - Aeronautics Systems'!H13+'Segment - Defense Systems'!H13+'Segment - Mission Systems'!H13+'Segment - Space Systems'!H13</f>
        <v>11823.158</v>
      </c>
      <c r="I133" s="1"/>
      <c r="J133" s="1"/>
      <c r="K133" s="1"/>
      <c r="L133" s="1"/>
    </row>
    <row r="134" ht="15" customHeight="1">
      <c r="A134" s="1"/>
      <c r="B134" s="50" t="s">
        <v>111</v>
      </c>
      <c r="C134" s="24"/>
      <c r="D134" s="24"/>
      <c r="E134" s="24"/>
      <c r="F134" s="42">
        <f>F133/((Inputs!G11-Inputs!G10+Inputs!G13)+(Inputs!G30-Inputs!G29+Inputs!G32)+(Inputs!G49-Inputs!G48+Inputs!G51)+(Inputs!G68-Inputs!G67+Inputs!G70))-1</f>
        <v>-0.07709970855780268</v>
      </c>
      <c r="G134" s="42">
        <f>G133/((Inputs!H11-Inputs!H10+Inputs!H13)+(Inputs!H30-Inputs!H29+Inputs!H32)+(Inputs!H49-Inputs!H48+Inputs!H51)+(Inputs!H68-Inputs!H67+Inputs!H70))-1</f>
        <v>1.6374872579001019</v>
      </c>
      <c r="H134" s="49">
        <f t="shared" si="21"/>
        <v>-0.06926253640872237</v>
      </c>
      <c r="I134" s="1"/>
      <c r="J134" s="1"/>
      <c r="K134" s="1"/>
      <c r="L134" s="1"/>
    </row>
    <row r="135" ht="15" customHeight="1">
      <c r="A135" s="1"/>
      <c r="B135" s="56" t="s">
        <v>144</v>
      </c>
      <c r="C135" s="22">
        <f>C133-((Inputs!H11-Inputs!H10+Inputs!H13)+(Inputs!H30-Inputs!H29+Inputs!H32)+(Inputs!H49-Inputs!H48+Inputs!H51)+(Inputs!H68-Inputs!H67+Inputs!H70))</f>
        <v>4855</v>
      </c>
      <c r="D135" s="23">
        <f t="shared" si="29"/>
        <v>3907</v>
      </c>
      <c r="E135" s="23"/>
      <c r="F135" s="23">
        <f t="shared" si="30"/>
        <v>-6160</v>
      </c>
      <c r="G135" s="23">
        <f t="shared" si="29"/>
        <v>10249</v>
      </c>
      <c r="H135" s="48">
        <f t="shared" si="29"/>
        <v>-8875.842</v>
      </c>
      <c r="I135" s="1"/>
      <c r="J135" s="1"/>
      <c r="K135" s="1"/>
      <c r="L135" s="1"/>
    </row>
    <row r="136" ht="15" customHeight="1">
      <c r="A136" s="1"/>
      <c r="B136" s="4" t="s">
        <v>146</v>
      </c>
      <c r="C136" s="58">
        <f>'Segment - Aeronautics Systems'!C21+'Segment - Defense Systems'!C21+'Segment - Mission Systems'!C21+'Segment - Space Systems'!C21</f>
        <v>91448</v>
      </c>
      <c r="D136" s="58">
        <f>'Segment - Aeronautics Systems'!D21+'Segment - Defense Systems'!D21+'Segment - Mission Systems'!D21+'Segment - Space Systems'!D21</f>
        <v>95681</v>
      </c>
      <c r="E136" s="58">
        <f>'Segment - Aeronautics Systems'!E21+'Segment - Defense Systems'!E21+'Segment - Mission Systems'!E21+'Segment - Space Systems'!E21</f>
        <v>95681</v>
      </c>
      <c r="F136" s="58">
        <f>'Segment - Aeronautics Systems'!F21+'Segment - Defense Systems'!F21+'Segment - Mission Systems'!F21+'Segment - Space Systems'!F21</f>
        <v>95608</v>
      </c>
      <c r="G136" s="58">
        <f>'Segment - Aeronautics Systems'!G21+'Segment - Defense Systems'!G21+'Segment - Mission Systems'!G21+'Segment - Space Systems'!G21</f>
        <v>104692</v>
      </c>
      <c r="H136" s="59">
        <f>'Segment - Aeronautics Systems'!H21+'Segment - Defense Systems'!H21+'Segment - Mission Systems'!H21+'Segment - Space Systems'!H21</f>
        <v>104692</v>
      </c>
      <c r="I136" s="1"/>
      <c r="J136" s="1"/>
      <c r="K136" s="1"/>
      <c r="L136" s="1"/>
    </row>
    <row r="137" ht="15" customHeight="1">
      <c r="A137" s="1"/>
      <c r="B137" s="50" t="s">
        <v>111</v>
      </c>
      <c r="C137" s="24"/>
      <c r="D137" s="42">
        <f>D136/(Inputs!E11+Inputs!E30+Inputs!E49+Inputs!E68)-1</f>
        <v>0.04605982420081345</v>
      </c>
      <c r="E137" s="42">
        <f>E136/(Inputs!F11+Inputs!F30+Inputs!F49+Inputs!F68)-1</f>
        <v>0.04605982420081345</v>
      </c>
      <c r="F137" s="42">
        <f>F136/(Inputs!G11+Inputs!G30+Inputs!G49+Inputs!G68)-1</f>
        <v>0.030291927540760932</v>
      </c>
      <c r="G137" s="42">
        <f>G136/(Inputs!H11+Inputs!H30+Inputs!H49+Inputs!H68)-1</f>
        <v>0.16665366571202522</v>
      </c>
      <c r="H137" s="49">
        <f t="shared" si="21"/>
        <v>0.1448254745866504</v>
      </c>
      <c r="I137" s="1"/>
      <c r="J137" s="1"/>
      <c r="K137" s="1"/>
      <c r="L137" s="1"/>
    </row>
    <row r="138" ht="15" customHeight="1">
      <c r="A138" s="1"/>
      <c r="B138" s="56" t="s">
        <v>144</v>
      </c>
      <c r="C138" s="22">
        <f>C136-(Inputs!H11+Inputs!H30+Inputs!H49+Inputs!H68)</f>
        <v>1711</v>
      </c>
      <c r="D138" s="23">
        <f t="shared" si="29"/>
        <v>4233</v>
      </c>
      <c r="E138" s="23"/>
      <c r="F138" s="23">
        <f t="shared" si="30"/>
        <v>-73</v>
      </c>
      <c r="G138" s="23">
        <f t="shared" si="29"/>
        <v>9084</v>
      </c>
      <c r="H138" s="48">
        <f t="shared" si="29"/>
        <v>0</v>
      </c>
      <c r="I138" s="1"/>
      <c r="J138" s="1"/>
      <c r="K138" s="1"/>
      <c r="L138" s="1"/>
    </row>
    <row r="139" ht="15" customHeight="1">
      <c r="A139" s="1"/>
      <c r="B139" s="17" t="s">
        <v>147</v>
      </c>
      <c r="C139" s="22">
        <f>'Segment - Aeronautics Systems'!C27+'Segment - Defense Systems'!C27+'Segment - Mission Systems'!C27+'Segment - Space Systems'!C27</f>
        <v>38966</v>
      </c>
      <c r="D139" s="22">
        <f>'Segment - Aeronautics Systems'!D27+'Segment - Defense Systems'!D27+'Segment - Mission Systems'!D27+'Segment - Space Systems'!D27</f>
        <v>43529</v>
      </c>
      <c r="E139" s="22">
        <f>'Segment - Aeronautics Systems'!E27+'Segment - Defense Systems'!E27+'Segment - Mission Systems'!E27+'Segment - Space Systems'!E27</f>
        <v>43529</v>
      </c>
      <c r="F139" s="22">
        <f>'Segment - Aeronautics Systems'!F27+'Segment - Defense Systems'!F27+'Segment - Mission Systems'!F27+'Segment - Space Systems'!F27</f>
        <v>44068</v>
      </c>
      <c r="G139" s="22">
        <f>'Segment - Aeronautics Systems'!G27+'Segment - Defense Systems'!G27+'Segment - Mission Systems'!G27+'Segment - Space Systems'!G27</f>
        <v>45945</v>
      </c>
      <c r="H139" s="48"/>
      <c r="I139" s="1"/>
      <c r="J139" s="1"/>
      <c r="K139" s="1"/>
      <c r="L139" s="1"/>
    </row>
    <row r="140" ht="15" customHeight="1">
      <c r="A140" s="1"/>
      <c r="B140" s="50" t="s">
        <v>111</v>
      </c>
      <c r="C140" s="24"/>
      <c r="D140" s="24"/>
      <c r="E140" s="24"/>
      <c r="F140" s="42">
        <f>F139/(Inputs!G12+Inputs!G31+Inputs!G50+Inputs!G69)-1</f>
        <v>0.10329978468779721</v>
      </c>
      <c r="G140" s="42">
        <f>G139/(Inputs!H12+Inputs!H31+Inputs!H50+Inputs!H69)-1</f>
        <v>0.2265082754938601</v>
      </c>
      <c r="H140" s="49"/>
      <c r="I140" s="1"/>
      <c r="J140" s="1"/>
      <c r="K140" s="1"/>
      <c r="L140" s="1"/>
    </row>
    <row r="141" ht="15" customHeight="1">
      <c r="A141" s="1"/>
      <c r="B141" s="56" t="s">
        <v>144</v>
      </c>
      <c r="C141" s="22">
        <f>C139-(Inputs!H12+Inputs!H31+Inputs!H50+Inputs!H69)</f>
        <v>1506</v>
      </c>
      <c r="D141" s="23">
        <f t="shared" si="29"/>
        <v>4563</v>
      </c>
      <c r="E141" s="23"/>
      <c r="F141" s="23">
        <f t="shared" si="30"/>
        <v>539</v>
      </c>
      <c r="G141" s="23">
        <f t="shared" si="29"/>
        <v>1877</v>
      </c>
      <c r="H141" s="48"/>
      <c r="I141" s="1"/>
      <c r="J141" s="1"/>
      <c r="K141" s="1"/>
      <c r="L141" s="1"/>
    </row>
    <row r="142" ht="15" customHeight="1">
      <c r="A142" s="1"/>
      <c r="B142" s="17" t="s">
        <v>148</v>
      </c>
      <c r="C142" s="60">
        <f t="shared" si="31" ref="C142:H142">C133/(C10+C11+C12+C13)</f>
        <v>1.1556586608442503</v>
      </c>
      <c r="D142" s="60">
        <f t="shared" si="31"/>
        <v>1.3420053324715198</v>
      </c>
      <c r="E142" s="60">
        <f t="shared" si="31"/>
        <v>1.09516387703011</v>
      </c>
      <c r="F142" s="60">
        <f t="shared" si="31"/>
        <v>0.9930628147866578</v>
      </c>
      <c r="G142" s="60">
        <f t="shared" si="31"/>
        <v>1.7820921222557038</v>
      </c>
      <c r="H142" s="61">
        <f t="shared" si="31"/>
        <v>1</v>
      </c>
      <c r="I142" s="1"/>
      <c r="J142" s="1"/>
      <c r="K142" s="1"/>
      <c r="L142" s="1"/>
    </row>
    <row r="143" ht="15" customHeight="1">
      <c r="A143" s="1"/>
      <c r="B143" s="50" t="s">
        <v>149</v>
      </c>
      <c r="C143" s="62"/>
      <c r="D143" s="62"/>
      <c r="E143" s="62"/>
      <c r="F143" s="63">
        <f>F142-(((Inputs!G11-Inputs!G10+Inputs!G13)+(Inputs!G30-Inputs!G29+Inputs!G32)+(Inputs!G49-Inputs!G48+Inputs!G51)+(Inputs!G68-Inputs!G67+Inputs!G70))/((Inputs!G13)+(Inputs!G32)+(Inputs!G51)+(Inputs!G70)))</f>
        <v>-0.13991697308606588</v>
      </c>
      <c r="G143" s="63">
        <f>G142-(((Inputs!H11-Inputs!H10+Inputs!H13)+(Inputs!H30-Inputs!H29+Inputs!H32)+(Inputs!H49-Inputs!H48+Inputs!H51)+(Inputs!H68-Inputs!H67+Inputs!H70))/((Inputs!H13)+(Inputs!H32)+(Inputs!H51)+(Inputs!H70)))</f>
        <v>1.0626201750609843</v>
      </c>
      <c r="H143" s="64">
        <f>H142-C142</f>
        <v>-0.15565866084425029</v>
      </c>
      <c r="I143" s="1"/>
      <c r="J143" s="1"/>
      <c r="K143" s="1"/>
      <c r="L143" s="1"/>
    </row>
    <row r="144" ht="15" customHeight="1">
      <c r="A144" s="1"/>
      <c r="B144" s="50" t="s">
        <v>150</v>
      </c>
      <c r="C144" s="63">
        <f>C142-(((Inputs!H11-Inputs!H10+Inputs!H13)+(Inputs!H30-Inputs!H29+Inputs!H32)+(Inputs!H49-Inputs!H48+Inputs!H51)+(Inputs!H68-Inputs!H67+Inputs!H70))/((Inputs!H13)+(Inputs!H32)+(Inputs!H51)+(Inputs!H70)))</f>
        <v>0.43618671364953077</v>
      </c>
      <c r="D144" s="62">
        <f t="shared" si="29"/>
        <v>0.18634667162726948</v>
      </c>
      <c r="E144" s="62"/>
      <c r="F144" s="62">
        <f t="shared" si="30"/>
        <v>-0.34894251768486195</v>
      </c>
      <c r="G144" s="62">
        <f t="shared" si="29"/>
        <v>0.789029307469046</v>
      </c>
      <c r="H144" s="64">
        <f t="shared" si="29"/>
        <v>-0.7820921222557038</v>
      </c>
      <c r="I144" s="1"/>
      <c r="J144" s="1"/>
      <c r="K144" s="1"/>
      <c r="L144" s="1"/>
    </row>
    <row r="145" ht="15" customHeight="1">
      <c r="A145" s="1"/>
      <c r="B145" s="1"/>
      <c r="C145" s="1"/>
      <c r="D145" s="1"/>
      <c r="E145" s="1"/>
      <c r="F145" s="1"/>
      <c r="G145" s="1"/>
      <c r="H145" s="45"/>
      <c r="I145" s="1"/>
      <c r="J145" s="1"/>
      <c r="K145" s="1"/>
      <c r="L145" s="1"/>
    </row>
    <row r="146" ht="15" customHeight="1">
      <c r="A146" s="1"/>
      <c r="B146" s="1" t="s">
        <v>151</v>
      </c>
      <c r="C146" s="34"/>
      <c r="D146" s="34"/>
      <c r="E146" s="34"/>
      <c r="F146" s="34"/>
      <c r="G146" s="34"/>
      <c r="H146" s="32"/>
      <c r="I146" s="1"/>
      <c r="J146" s="1"/>
      <c r="K146" s="1"/>
      <c r="L146" s="1"/>
    </row>
    <row r="147" ht="15" customHeight="1">
      <c r="A147" s="1"/>
      <c r="B147" s="1"/>
      <c r="C147" s="1"/>
      <c r="D147" s="1"/>
      <c r="E147" s="1"/>
      <c r="F147" s="1"/>
      <c r="G147" s="1"/>
      <c r="H147" s="45"/>
      <c r="I147" s="1"/>
      <c r="J147" s="1"/>
      <c r="K147" s="1"/>
      <c r="L14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2590486-CFDC-CE48-A9C8-0C90A9460C8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75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152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153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7" t="s">
        <v>143</v>
      </c>
      <c r="C10" s="22">
        <f>Inputs!H11</f>
        <v>23544</v>
      </c>
      <c r="D10" s="23">
        <f t="shared" si="0" ref="D10:H10">C21</f>
        <v>22450</v>
      </c>
      <c r="E10" s="22">
        <f>Inputs!F11</f>
        <v>25202</v>
      </c>
      <c r="F10" s="23">
        <f>D21</f>
        <v>23052</v>
      </c>
      <c r="G10" s="23">
        <f t="shared" si="0"/>
        <v>24271</v>
      </c>
      <c r="H10" s="48">
        <f t="shared" si="0"/>
        <v>24568</v>
      </c>
      <c r="I10" s="1"/>
      <c r="J10" s="1" t="s">
        <v>154</v>
      </c>
      <c r="K10" s="1"/>
      <c r="L10" s="1"/>
    </row>
    <row r="11" ht="15" customHeight="1">
      <c r="A11" s="1"/>
      <c r="B11" s="50" t="s">
        <v>111</v>
      </c>
      <c r="C11" s="24"/>
      <c r="D11" s="24"/>
      <c r="E11" s="24"/>
      <c r="F11" s="42">
        <f>F10/Inputs!G10-1</f>
        <v>-0.0853106896278073</v>
      </c>
      <c r="G11" s="42">
        <f>G10/Inputs!H10-1</f>
        <v>-0.046475995914198154</v>
      </c>
      <c r="H11" s="49">
        <f t="shared" si="3" ref="H11:H170">H10/C10-1</f>
        <v>0.04349303431872231</v>
      </c>
      <c r="I11" s="1"/>
      <c r="J11" s="1"/>
      <c r="K11" s="1"/>
      <c r="L11" s="1"/>
    </row>
    <row r="12" ht="15" customHeight="1">
      <c r="A12" s="1"/>
      <c r="B12" s="56" t="s">
        <v>144</v>
      </c>
      <c r="C12" s="22">
        <f>C10-Inputs!H10</f>
        <v>-1910</v>
      </c>
      <c r="D12" s="23">
        <f t="shared" si="1" ref="D12:H191">D10-C10</f>
        <v>-1094</v>
      </c>
      <c r="E12" s="23"/>
      <c r="F12" s="23">
        <f t="shared" si="4" ref="F12:F191">F10-D10</f>
        <v>602</v>
      </c>
      <c r="G12" s="23">
        <f t="shared" si="1"/>
        <v>1219</v>
      </c>
      <c r="H12" s="48">
        <f t="shared" si="1"/>
        <v>297</v>
      </c>
      <c r="I12" s="1"/>
      <c r="J12" s="1"/>
      <c r="K12" s="1"/>
      <c r="L12" s="1"/>
    </row>
    <row r="13" ht="15" customHeight="1">
      <c r="A13" s="1"/>
      <c r="B13" s="17" t="s">
        <v>155</v>
      </c>
      <c r="C13" s="23">
        <f t="shared" si="2" ref="C13:G13">C21-C10+C49</f>
        <v>2048</v>
      </c>
      <c r="D13" s="23">
        <f t="shared" si="2"/>
        <v>4524</v>
      </c>
      <c r="E13" s="23">
        <f t="shared" si="2"/>
        <v>10842</v>
      </c>
      <c r="F13" s="23">
        <f t="shared" si="2"/>
        <v>4502</v>
      </c>
      <c r="G13" s="23">
        <f t="shared" si="2"/>
        <v>3816</v>
      </c>
      <c r="H13" s="48">
        <f>H49*H41</f>
        <v>3513.2239999999997</v>
      </c>
      <c r="I13" s="1"/>
      <c r="J13" s="1" t="s">
        <v>156</v>
      </c>
      <c r="K13" s="1"/>
      <c r="L13" s="1"/>
    </row>
    <row r="14" ht="15" customHeight="1">
      <c r="A14" s="1"/>
      <c r="B14" s="50" t="s">
        <v>111</v>
      </c>
      <c r="C14" s="24"/>
      <c r="D14" s="24"/>
      <c r="E14" s="24"/>
      <c r="F14" s="42">
        <f>F13/(Inputs!G11-Inputs!G10+Inputs!G13)-1</f>
        <v>0.4683626875407698</v>
      </c>
      <c r="G14" s="42">
        <f>G13/(Inputs!H11-Inputs!H10+Inputs!H13)-1</f>
        <v>2.169435215946844</v>
      </c>
      <c r="H14" s="49">
        <f t="shared" si="3"/>
        <v>0.7154414062499999</v>
      </c>
      <c r="I14" s="1"/>
      <c r="J14" s="1"/>
      <c r="K14" s="1"/>
      <c r="L14" s="1"/>
    </row>
    <row r="15" ht="15" customHeight="1">
      <c r="A15" s="1"/>
      <c r="B15" s="56" t="s">
        <v>144</v>
      </c>
      <c r="C15" s="22">
        <f>C13-(Inputs!H11-Inputs!H10+Inputs!H13)</f>
        <v>844</v>
      </c>
      <c r="D15" s="23">
        <f t="shared" si="1"/>
        <v>2476</v>
      </c>
      <c r="E15" s="23"/>
      <c r="F15" s="23">
        <f t="shared" si="4"/>
        <v>-22</v>
      </c>
      <c r="G15" s="23">
        <f t="shared" si="1"/>
        <v>-686</v>
      </c>
      <c r="H15" s="48">
        <f t="shared" si="1"/>
        <v>-302.7760000000003</v>
      </c>
      <c r="I15" s="1"/>
      <c r="J15" s="1"/>
      <c r="K15" s="1"/>
      <c r="L15" s="1"/>
    </row>
    <row r="16" ht="15" customHeight="1">
      <c r="A16" s="1"/>
      <c r="B16" s="17" t="s">
        <v>157</v>
      </c>
      <c r="C16" s="23">
        <f t="shared" si="5" ref="C16:H16">-C49</f>
        <v>-3142</v>
      </c>
      <c r="D16" s="23">
        <f t="shared" si="5"/>
        <v>-3922</v>
      </c>
      <c r="E16" s="23">
        <f t="shared" si="5"/>
        <v>-12992</v>
      </c>
      <c r="F16" s="23">
        <f t="shared" si="5"/>
        <v>-3283</v>
      </c>
      <c r="G16" s="23">
        <f t="shared" si="5"/>
        <v>-3519</v>
      </c>
      <c r="H16" s="48">
        <f t="shared" si="5"/>
        <v>-3513.2239999999997</v>
      </c>
      <c r="I16" s="1"/>
      <c r="J16" s="1"/>
      <c r="K16" s="1"/>
      <c r="L16" s="1"/>
    </row>
    <row r="17" ht="15" customHeight="1">
      <c r="A17" s="1"/>
      <c r="B17" s="50" t="s">
        <v>111</v>
      </c>
      <c r="C17" s="42">
        <f>C16/(-Inputs!C13)-1</f>
        <v>0.06112799729821017</v>
      </c>
      <c r="D17" s="42">
        <f>D16/(-Inputs!E13)-1</f>
        <v>0.1774241969378565</v>
      </c>
      <c r="E17" s="42">
        <f>E16/(-Inputs!F13)-1</f>
        <v>0.04808002581477888</v>
      </c>
      <c r="F17" s="42">
        <f>F16/(-Inputs!G13)-1</f>
        <v>0.16666666666666674</v>
      </c>
      <c r="G17" s="42">
        <f>G16/(-Inputs!H13)-1</f>
        <v>0.13005780346820806</v>
      </c>
      <c r="H17" s="49">
        <f t="shared" si="3"/>
        <v>0.11814894971355816</v>
      </c>
      <c r="I17" s="1"/>
      <c r="J17" s="1"/>
      <c r="K17" s="1"/>
      <c r="L17" s="1"/>
    </row>
    <row r="18" ht="15" customHeight="1">
      <c r="A18" s="1"/>
      <c r="B18" s="56" t="s">
        <v>144</v>
      </c>
      <c r="C18" s="22">
        <f>C16-(-Inputs!H13)</f>
        <v>-28</v>
      </c>
      <c r="D18" s="23">
        <f t="shared" si="1"/>
        <v>-780</v>
      </c>
      <c r="E18" s="23"/>
      <c r="F18" s="23">
        <f t="shared" si="4"/>
        <v>639</v>
      </c>
      <c r="G18" s="23">
        <f t="shared" si="1"/>
        <v>-236</v>
      </c>
      <c r="H18" s="48">
        <f t="shared" si="1"/>
        <v>5.776000000000295</v>
      </c>
      <c r="I18" s="1"/>
      <c r="J18" s="1"/>
      <c r="K18" s="1"/>
      <c r="L18" s="1"/>
    </row>
    <row r="19" ht="15" customHeight="1">
      <c r="A19" s="1"/>
      <c r="B19" s="28" t="s">
        <v>158</v>
      </c>
      <c r="C19" s="46">
        <f t="shared" si="6" ref="C19:H19">C13+C16</f>
        <v>-1094</v>
      </c>
      <c r="D19" s="46">
        <f t="shared" si="6"/>
        <v>602</v>
      </c>
      <c r="E19" s="46">
        <f t="shared" si="6"/>
        <v>-2150</v>
      </c>
      <c r="F19" s="46">
        <f t="shared" si="6"/>
        <v>1219</v>
      </c>
      <c r="G19" s="46">
        <f t="shared" si="6"/>
        <v>297</v>
      </c>
      <c r="H19" s="47">
        <f t="shared" si="6"/>
        <v>0</v>
      </c>
      <c r="I19" s="1"/>
      <c r="J19" s="1"/>
      <c r="K19" s="1"/>
      <c r="L19" s="1"/>
    </row>
    <row r="20" ht="15" customHeight="1">
      <c r="A20" s="1"/>
      <c r="B20" s="56" t="s">
        <v>144</v>
      </c>
      <c r="C20" s="22">
        <f>C19-((Inputs!H11-Inputs!H10+Inputs!H13)-Inputs!H13)</f>
        <v>816</v>
      </c>
      <c r="D20" s="23">
        <f t="shared" si="7" ref="D20:H20">D19-C19</f>
        <v>1696</v>
      </c>
      <c r="E20" s="23"/>
      <c r="F20" s="23">
        <f>F19-D19</f>
        <v>617</v>
      </c>
      <c r="G20" s="23">
        <f t="shared" si="7"/>
        <v>-922</v>
      </c>
      <c r="H20" s="48">
        <f t="shared" si="7"/>
        <v>-297</v>
      </c>
      <c r="I20" s="1"/>
      <c r="J20" s="1"/>
      <c r="K20" s="1"/>
      <c r="L20" s="1"/>
    </row>
    <row r="21" ht="15" customHeight="1">
      <c r="A21" s="1"/>
      <c r="B21" s="4" t="s">
        <v>146</v>
      </c>
      <c r="C21" s="65">
        <v>22450</v>
      </c>
      <c r="D21" s="65">
        <v>23052</v>
      </c>
      <c r="E21" s="46">
        <f t="shared" si="9" ref="E21:E27">D21</f>
        <v>23052</v>
      </c>
      <c r="F21" s="65">
        <v>24271</v>
      </c>
      <c r="G21" s="65">
        <v>24568</v>
      </c>
      <c r="H21" s="47">
        <f>H10+H13-H49</f>
        <v>24568</v>
      </c>
      <c r="I21" s="1"/>
      <c r="J21" s="1" t="s">
        <v>159</v>
      </c>
      <c r="K21" s="1"/>
      <c r="L21" s="1"/>
    </row>
    <row r="22" ht="15" customHeight="1">
      <c r="A22" s="1"/>
      <c r="B22" s="50" t="s">
        <v>111</v>
      </c>
      <c r="C22" s="24"/>
      <c r="D22" s="42">
        <f>D21/Inputs!E11-1</f>
        <v>-0.0853106896278073</v>
      </c>
      <c r="E22" s="42">
        <f>E21/Inputs!F11-1</f>
        <v>-0.0853106896278073</v>
      </c>
      <c r="F22" s="42">
        <f>F21/Inputs!G11-1</f>
        <v>-0.046475995914198154</v>
      </c>
      <c r="G22" s="42">
        <f>G21/Inputs!H11-1</f>
        <v>0.04349303431872231</v>
      </c>
      <c r="H22" s="49">
        <f t="shared" si="3"/>
        <v>0.0943429844097996</v>
      </c>
      <c r="I22" s="1"/>
      <c r="J22" s="1"/>
      <c r="K22" s="1"/>
      <c r="L22" s="1"/>
    </row>
    <row r="23" ht="15" customHeight="1">
      <c r="A23" s="1"/>
      <c r="B23" s="56" t="s">
        <v>144</v>
      </c>
      <c r="C23" s="22">
        <f>C21-Inputs!H11</f>
        <v>-1094</v>
      </c>
      <c r="D23" s="23">
        <f t="shared" si="1"/>
        <v>602</v>
      </c>
      <c r="E23" s="23"/>
      <c r="F23" s="23">
        <f t="shared" si="4"/>
        <v>1219</v>
      </c>
      <c r="G23" s="23">
        <f t="shared" si="1"/>
        <v>297</v>
      </c>
      <c r="H23" s="48">
        <f t="shared" si="1"/>
        <v>0</v>
      </c>
      <c r="I23" s="1"/>
      <c r="J23" s="1"/>
      <c r="K23" s="1"/>
      <c r="L23" s="1"/>
    </row>
    <row r="24" ht="15" customHeight="1">
      <c r="A24" s="1"/>
      <c r="B24" s="17" t="s">
        <v>160</v>
      </c>
      <c r="C24" s="23">
        <f t="shared" si="8" ref="C24:H24">AVERAGE(C10,C21)</f>
        <v>22997</v>
      </c>
      <c r="D24" s="23">
        <f t="shared" si="8"/>
        <v>22751</v>
      </c>
      <c r="E24" s="23">
        <f t="shared" si="8"/>
        <v>24127</v>
      </c>
      <c r="F24" s="23">
        <f t="shared" si="8"/>
        <v>23661.5</v>
      </c>
      <c r="G24" s="23">
        <f t="shared" si="8"/>
        <v>24419.5</v>
      </c>
      <c r="H24" s="48">
        <f t="shared" si="8"/>
        <v>24568</v>
      </c>
      <c r="I24" s="1"/>
      <c r="J24" s="1"/>
      <c r="K24" s="1"/>
      <c r="L24" s="1"/>
    </row>
    <row r="25" ht="15" customHeight="1">
      <c r="A25" s="1"/>
      <c r="B25" s="50" t="s">
        <v>111</v>
      </c>
      <c r="C25" s="24"/>
      <c r="D25" s="24"/>
      <c r="E25" s="24"/>
      <c r="F25" s="42">
        <f>F24/((Inputs!G10+Inputs!G11)/2)-1</f>
        <v>-0.06579674668351232</v>
      </c>
      <c r="G25" s="42">
        <f>G24/((Inputs!H10+Inputs!H11)/2)-1</f>
        <v>-0.0032450304094044924</v>
      </c>
      <c r="H25" s="49">
        <f t="shared" si="3"/>
        <v>0.06831325825107615</v>
      </c>
      <c r="I25" s="1"/>
      <c r="J25" s="1"/>
      <c r="K25" s="1"/>
      <c r="L25" s="1"/>
    </row>
    <row r="26" ht="15" customHeight="1">
      <c r="A26" s="1"/>
      <c r="B26" s="56" t="s">
        <v>144</v>
      </c>
      <c r="C26" s="22">
        <f>C24-((Inputs!H10+Inputs!H11)/2)</f>
        <v>-1502</v>
      </c>
      <c r="D26" s="23">
        <f t="shared" si="1"/>
        <v>-246</v>
      </c>
      <c r="E26" s="23"/>
      <c r="F26" s="23">
        <f t="shared" si="4"/>
        <v>910.5</v>
      </c>
      <c r="G26" s="23">
        <f t="shared" si="1"/>
        <v>758</v>
      </c>
      <c r="H26" s="48">
        <f t="shared" si="1"/>
        <v>148.5</v>
      </c>
      <c r="I26" s="1"/>
      <c r="J26" s="1"/>
      <c r="K26" s="1"/>
      <c r="L26" s="1"/>
    </row>
    <row r="27" ht="15" customHeight="1">
      <c r="A27" s="1"/>
      <c r="B27" s="17" t="s">
        <v>161</v>
      </c>
      <c r="C27" s="33">
        <v>10912</v>
      </c>
      <c r="D27" s="33">
        <v>12585</v>
      </c>
      <c r="E27" s="23">
        <f t="shared" si="9"/>
        <v>12585</v>
      </c>
      <c r="F27" s="33">
        <v>12996</v>
      </c>
      <c r="G27" s="33">
        <v>13394</v>
      </c>
      <c r="H27" s="48"/>
      <c r="I27" s="1"/>
      <c r="J27" s="1" t="s">
        <v>162</v>
      </c>
      <c r="K27" s="1"/>
      <c r="L27" s="1"/>
    </row>
    <row r="28" ht="15" customHeight="1">
      <c r="A28" s="1"/>
      <c r="B28" s="50" t="s">
        <v>111</v>
      </c>
      <c r="C28" s="24"/>
      <c r="D28" s="24"/>
      <c r="E28" s="24"/>
      <c r="F28" s="42">
        <f>F27/Inputs!G12-1</f>
        <v>0.1090629800307219</v>
      </c>
      <c r="G28" s="42">
        <f>G27/Inputs!H12-1</f>
        <v>0.268851837817355</v>
      </c>
      <c r="H28" s="49"/>
      <c r="I28" s="1"/>
      <c r="J28" s="1"/>
      <c r="K28" s="1"/>
      <c r="L28" s="1"/>
    </row>
    <row r="29" ht="15" customHeight="1">
      <c r="A29" s="1"/>
      <c r="B29" s="56" t="s">
        <v>144</v>
      </c>
      <c r="C29" s="22">
        <f>C27-Inputs!H12</f>
        <v>356</v>
      </c>
      <c r="D29" s="23">
        <f t="shared" si="1"/>
        <v>1673</v>
      </c>
      <c r="E29" s="23"/>
      <c r="F29" s="23">
        <f t="shared" si="4"/>
        <v>411</v>
      </c>
      <c r="G29" s="23">
        <f t="shared" si="1"/>
        <v>398</v>
      </c>
      <c r="H29" s="48"/>
      <c r="I29" s="1"/>
      <c r="J29" s="1"/>
      <c r="K29" s="1"/>
      <c r="L29" s="1"/>
    </row>
    <row r="30" ht="15" customHeight="1">
      <c r="A30" s="1"/>
      <c r="B30" s="17" t="s">
        <v>163</v>
      </c>
      <c r="C30" s="23">
        <f t="shared" si="10" ref="C30:G30">C21-C27</f>
        <v>11538</v>
      </c>
      <c r="D30" s="23">
        <f t="shared" si="10"/>
        <v>10467</v>
      </c>
      <c r="E30" s="23">
        <f t="shared" si="10"/>
        <v>10467</v>
      </c>
      <c r="F30" s="23">
        <f t="shared" si="10"/>
        <v>11275</v>
      </c>
      <c r="G30" s="23">
        <f t="shared" si="10"/>
        <v>11174</v>
      </c>
      <c r="H30" s="48"/>
      <c r="I30" s="1"/>
      <c r="J30" s="1"/>
      <c r="K30" s="1"/>
      <c r="L30" s="1"/>
    </row>
    <row r="31" ht="15" customHeight="1">
      <c r="A31" s="1"/>
      <c r="B31" s="50" t="s">
        <v>111</v>
      </c>
      <c r="C31" s="24"/>
      <c r="D31" s="24"/>
      <c r="E31" s="24"/>
      <c r="F31" s="42">
        <f>F30/(Inputs!G11-Inputs!G12)-1</f>
        <v>-0.17916423995340713</v>
      </c>
      <c r="G31" s="42">
        <f>G30/(Inputs!H11-Inputs!H12)-1</f>
        <v>-0.1396673852787188</v>
      </c>
      <c r="H31" s="49"/>
      <c r="I31" s="1"/>
      <c r="J31" s="1"/>
      <c r="K31" s="1"/>
      <c r="L31" s="1"/>
    </row>
    <row r="32" ht="15" customHeight="1">
      <c r="A32" s="1"/>
      <c r="B32" s="56" t="s">
        <v>144</v>
      </c>
      <c r="C32" s="22">
        <f>C30-(Inputs!H11-Inputs!H12)</f>
        <v>-1450</v>
      </c>
      <c r="D32" s="23">
        <f t="shared" si="1"/>
        <v>-1071</v>
      </c>
      <c r="E32" s="23"/>
      <c r="F32" s="23">
        <f t="shared" si="4"/>
        <v>808</v>
      </c>
      <c r="G32" s="23">
        <f t="shared" si="1"/>
        <v>-101</v>
      </c>
      <c r="H32" s="48"/>
      <c r="I32" s="1"/>
      <c r="J32" s="1"/>
      <c r="K32" s="1"/>
      <c r="L32" s="1"/>
    </row>
    <row r="33" ht="15" customHeight="1">
      <c r="A33" s="1"/>
      <c r="B33" s="35" t="s">
        <v>164</v>
      </c>
      <c r="C33" s="24">
        <f t="shared" si="11" ref="C33:G33">C27/C21</f>
        <v>0.4860579064587973</v>
      </c>
      <c r="D33" s="24">
        <f t="shared" si="11"/>
        <v>0.5459396147839667</v>
      </c>
      <c r="E33" s="24">
        <f t="shared" si="11"/>
        <v>0.5459396147839667</v>
      </c>
      <c r="F33" s="24">
        <f t="shared" si="11"/>
        <v>0.535453833793416</v>
      </c>
      <c r="G33" s="24">
        <f t="shared" si="11"/>
        <v>0.5451807228915663</v>
      </c>
      <c r="H33" s="49"/>
      <c r="I33" s="1"/>
      <c r="J33" s="1"/>
      <c r="K33" s="1"/>
      <c r="L33" s="1"/>
    </row>
    <row r="34" ht="15" customHeight="1">
      <c r="A34" s="1"/>
      <c r="B34" s="50" t="s">
        <v>114</v>
      </c>
      <c r="C34" s="54"/>
      <c r="D34" s="54"/>
      <c r="E34" s="54"/>
      <c r="F34" s="52">
        <f>(F33-(Inputs!G12/Inputs!G11))*10000</f>
        <v>750.9396893916914</v>
      </c>
      <c r="G34" s="52">
        <f>(G33-(Inputs!H12/Inputs!H11))*10000</f>
        <v>968.287011450491</v>
      </c>
      <c r="H34" s="53"/>
      <c r="I34" s="1"/>
      <c r="J34" s="1"/>
      <c r="K34" s="1"/>
      <c r="L34" s="1"/>
    </row>
    <row r="35" ht="15" customHeight="1">
      <c r="A35" s="1"/>
      <c r="B35" s="50" t="s">
        <v>115</v>
      </c>
      <c r="C35" s="52">
        <f>(C33-(Inputs!H12/Inputs!H11))*10000</f>
        <v>377.05884712280147</v>
      </c>
      <c r="D35" s="54">
        <f t="shared" si="12" ref="D35:H194">(D33-C33)*10000</f>
        <v>598.8170832516937</v>
      </c>
      <c r="E35" s="54"/>
      <c r="F35" s="54">
        <f t="shared" si="14" ref="F35:F194">(F33-D33)*10000</f>
        <v>-104.85780990550641</v>
      </c>
      <c r="G35" s="54">
        <f t="shared" si="12"/>
        <v>97.26889098150227</v>
      </c>
      <c r="H35" s="53"/>
      <c r="I35" s="1"/>
      <c r="J35" s="1"/>
      <c r="K35" s="1"/>
      <c r="L35" s="1"/>
    </row>
    <row r="36" ht="15" customHeight="1">
      <c r="A36" s="1"/>
      <c r="B36" s="1"/>
      <c r="C36" s="1"/>
      <c r="D36" s="1"/>
      <c r="E36" s="1"/>
      <c r="F36" s="1"/>
      <c r="G36" s="1"/>
      <c r="H36" s="45"/>
      <c r="I36" s="1"/>
      <c r="J36" s="1"/>
      <c r="K36" s="1"/>
      <c r="L36" s="1"/>
    </row>
    <row r="37" ht="15" customHeight="1">
      <c r="A37" s="1"/>
      <c r="B37" s="4" t="s">
        <v>165</v>
      </c>
      <c r="C37" s="34"/>
      <c r="D37" s="34"/>
      <c r="E37" s="34"/>
      <c r="F37" s="34"/>
      <c r="G37" s="34"/>
      <c r="H37" s="32"/>
      <c r="I37" s="1"/>
      <c r="J37" s="1"/>
      <c r="K37" s="1"/>
      <c r="L37" s="1"/>
    </row>
    <row r="38" ht="15" customHeight="1">
      <c r="A38" s="1"/>
      <c r="B38" s="35" t="s">
        <v>166</v>
      </c>
      <c r="C38" s="24">
        <f t="shared" si="13" ref="C38:G38">C49/C10</f>
        <v>0.13345225959904858</v>
      </c>
      <c r="D38" s="24">
        <f t="shared" si="13"/>
        <v>0.17469933184855232</v>
      </c>
      <c r="E38" s="24">
        <f t="shared" si="13"/>
        <v>0.5155146416951035</v>
      </c>
      <c r="F38" s="24">
        <f t="shared" si="13"/>
        <v>0.14241714384868992</v>
      </c>
      <c r="G38" s="24">
        <f t="shared" si="13"/>
        <v>0.14498784557702607</v>
      </c>
      <c r="H38" s="57">
        <v>0.143</v>
      </c>
      <c r="I38" s="1"/>
      <c r="J38" s="1" t="s">
        <v>167</v>
      </c>
      <c r="K38" s="1"/>
      <c r="L38" s="1"/>
    </row>
    <row r="39" ht="15" customHeight="1">
      <c r="A39" s="1"/>
      <c r="B39" s="50" t="s">
        <v>114</v>
      </c>
      <c r="C39" s="54"/>
      <c r="D39" s="54"/>
      <c r="E39" s="54"/>
      <c r="F39" s="52">
        <f>(F38-(Inputs!G13/Inputs!G10))*10000</f>
        <v>307.59338912573736</v>
      </c>
      <c r="G39" s="52">
        <f>(G38-(Inputs!H13/Inputs!H10))*10000</f>
        <v>226.49509755544182</v>
      </c>
      <c r="H39" s="53">
        <f t="shared" si="20" ref="H39:H167">(H38-C38)*10000</f>
        <v>95.4774040095141</v>
      </c>
      <c r="I39" s="1"/>
      <c r="J39" s="1"/>
      <c r="K39" s="1"/>
      <c r="L39" s="1"/>
    </row>
    <row r="40" ht="15" customHeight="1">
      <c r="A40" s="1"/>
      <c r="B40" s="50" t="s">
        <v>115</v>
      </c>
      <c r="C40" s="52">
        <f>(C38-(Inputs!H13/Inputs!H10))*10000</f>
        <v>111.1392377756669</v>
      </c>
      <c r="D40" s="54">
        <f t="shared" si="12"/>
        <v>412.4707224950375</v>
      </c>
      <c r="E40" s="54"/>
      <c r="F40" s="54">
        <f t="shared" si="14"/>
        <v>-322.82187999862407</v>
      </c>
      <c r="G40" s="54">
        <f t="shared" si="12"/>
        <v>25.7070172833615</v>
      </c>
      <c r="H40" s="53">
        <f t="shared" si="12"/>
        <v>-19.878455770260818</v>
      </c>
      <c r="I40" s="1"/>
      <c r="J40" s="1"/>
      <c r="K40" s="1"/>
      <c r="L40" s="1"/>
    </row>
    <row r="41" ht="15" customHeight="1">
      <c r="A41" s="1"/>
      <c r="B41" s="17" t="s">
        <v>168</v>
      </c>
      <c r="C41" s="60">
        <f t="shared" si="15" ref="C41:G41">C13/C49</f>
        <v>0.6518141311266709</v>
      </c>
      <c r="D41" s="60">
        <f t="shared" si="15"/>
        <v>1.1534931157572668</v>
      </c>
      <c r="E41" s="60">
        <f t="shared" si="15"/>
        <v>0.8345135467980296</v>
      </c>
      <c r="F41" s="60">
        <f t="shared" si="15"/>
        <v>1.371306731647883</v>
      </c>
      <c r="G41" s="60">
        <f t="shared" si="15"/>
        <v>1.0843989769820972</v>
      </c>
      <c r="H41" s="66">
        <v>1</v>
      </c>
      <c r="I41" s="1"/>
      <c r="J41" s="1" t="s">
        <v>169</v>
      </c>
      <c r="K41" s="1"/>
      <c r="L41" s="1"/>
    </row>
    <row r="42" ht="15" customHeight="1">
      <c r="A42" s="1"/>
      <c r="B42" s="50" t="s">
        <v>149</v>
      </c>
      <c r="C42" s="62"/>
      <c r="D42" s="62"/>
      <c r="E42" s="62"/>
      <c r="F42" s="63">
        <f>F41-((Inputs!G11-Inputs!G10+Inputs!G13)/Inputs!G13)</f>
        <v>0.2817544928419129</v>
      </c>
      <c r="G42" s="63">
        <f>G41-((Inputs!H11-Inputs!H10+Inputs!H13)/Inputs!H13)</f>
        <v>0.6977580007457452</v>
      </c>
      <c r="H42" s="64">
        <f t="shared" si="17" ref="H42:H45">H41-C41</f>
        <v>0.34818586887332914</v>
      </c>
      <c r="I42" s="1"/>
      <c r="J42" s="1"/>
      <c r="K42" s="1"/>
      <c r="L42" s="1"/>
    </row>
    <row r="43" ht="15" customHeight="1">
      <c r="A43" s="1"/>
      <c r="B43" s="50" t="s">
        <v>150</v>
      </c>
      <c r="C43" s="63">
        <f>C41-((Inputs!H11-Inputs!H10+Inputs!H13)/Inputs!H13)</f>
        <v>0.2651731548903189</v>
      </c>
      <c r="D43" s="62">
        <f t="shared" si="1"/>
        <v>0.5016789846305959</v>
      </c>
      <c r="E43" s="62"/>
      <c r="F43" s="62">
        <f t="shared" si="4"/>
        <v>0.21781361589061632</v>
      </c>
      <c r="G43" s="62">
        <f t="shared" si="1"/>
        <v>-0.2869077546657859</v>
      </c>
      <c r="H43" s="64">
        <f t="shared" si="1"/>
        <v>-0.0843989769820972</v>
      </c>
      <c r="I43" s="1"/>
      <c r="J43" s="1"/>
      <c r="K43" s="1"/>
      <c r="L43" s="1"/>
    </row>
    <row r="44" ht="15" customHeight="1">
      <c r="A44" s="1"/>
      <c r="B44" s="17" t="s">
        <v>170</v>
      </c>
      <c r="C44" s="60">
        <f t="shared" si="16" ref="C44:H44">C21/C49</f>
        <v>7.145130490133673</v>
      </c>
      <c r="D44" s="60">
        <f t="shared" si="16"/>
        <v>5.877613462519123</v>
      </c>
      <c r="E44" s="60"/>
      <c r="F44" s="60">
        <f t="shared" si="16"/>
        <v>7.392933292720073</v>
      </c>
      <c r="G44" s="60">
        <f t="shared" si="16"/>
        <v>6.981528843421427</v>
      </c>
      <c r="H44" s="61">
        <f t="shared" si="16"/>
        <v>6.993006993006993</v>
      </c>
      <c r="I44" s="1"/>
      <c r="J44" s="1" t="s">
        <v>171</v>
      </c>
      <c r="K44" s="1"/>
      <c r="L44" s="1"/>
    </row>
    <row r="45" ht="15" customHeight="1">
      <c r="A45" s="1"/>
      <c r="B45" s="50" t="s">
        <v>149</v>
      </c>
      <c r="C45" s="62"/>
      <c r="D45" s="63">
        <f>D44-(Inputs!E11/Inputs!E13)</f>
        <v>-1.6882826647699796</v>
      </c>
      <c r="E45" s="62"/>
      <c r="F45" s="63">
        <f>F44-(Inputs!G11/Inputs!G13)</f>
        <v>-1.652553558736928</v>
      </c>
      <c r="G45" s="63">
        <f>G44-(Inputs!H11/Inputs!H13)</f>
        <v>-0.5791647981970707</v>
      </c>
      <c r="H45" s="64">
        <f t="shared" si="17"/>
        <v>-0.15212349712667983</v>
      </c>
      <c r="I45" s="1"/>
      <c r="J45" s="1"/>
      <c r="K45" s="1"/>
      <c r="L45" s="1"/>
    </row>
    <row r="46" ht="15" customHeight="1">
      <c r="A46" s="1"/>
      <c r="B46" s="50" t="s">
        <v>150</v>
      </c>
      <c r="C46" s="63">
        <f>C44-(Inputs!H11/Inputs!H13)</f>
        <v>-0.41556315148482437</v>
      </c>
      <c r="D46" s="62">
        <f t="shared" si="1"/>
        <v>-1.2675170276145504</v>
      </c>
      <c r="E46" s="62"/>
      <c r="F46" s="62">
        <f t="shared" si="4"/>
        <v>1.5153198302009505</v>
      </c>
      <c r="G46" s="62">
        <f t="shared" si="1"/>
        <v>-0.4114044492986464</v>
      </c>
      <c r="H46" s="64">
        <f t="shared" si="1"/>
        <v>0.011478149585566477</v>
      </c>
      <c r="I46" s="1"/>
      <c r="J46" s="1"/>
      <c r="K46" s="1"/>
      <c r="L46" s="1"/>
    </row>
    <row r="47" ht="15" customHeight="1">
      <c r="A47" s="1"/>
      <c r="B47" s="1"/>
      <c r="C47" s="1"/>
      <c r="D47" s="1"/>
      <c r="E47" s="1"/>
      <c r="F47" s="1"/>
      <c r="G47" s="1"/>
      <c r="H47" s="45"/>
      <c r="I47" s="1"/>
      <c r="J47" s="1"/>
      <c r="K47" s="1"/>
      <c r="L47" s="1"/>
    </row>
    <row r="48" ht="15" customHeight="1">
      <c r="A48" s="1"/>
      <c r="B48" s="4" t="s">
        <v>172</v>
      </c>
      <c r="C48" s="34"/>
      <c r="D48" s="34"/>
      <c r="E48" s="34"/>
      <c r="F48" s="34"/>
      <c r="G48" s="34"/>
      <c r="H48" s="32"/>
      <c r="I48" s="1"/>
      <c r="J48" s="1"/>
      <c r="K48" s="1"/>
      <c r="L48" s="1"/>
    </row>
    <row r="49" ht="15" customHeight="1">
      <c r="A49" s="1"/>
      <c r="B49" s="4" t="s">
        <v>173</v>
      </c>
      <c r="C49" s="67">
        <v>3142</v>
      </c>
      <c r="D49" s="67">
        <v>3922</v>
      </c>
      <c r="E49" s="67">
        <v>12992</v>
      </c>
      <c r="F49" s="67">
        <v>3283</v>
      </c>
      <c r="G49" s="67">
        <v>3519</v>
      </c>
      <c r="H49" s="68">
        <f>H10*H38</f>
        <v>3513.2239999999997</v>
      </c>
      <c r="I49" s="1"/>
      <c r="J49" s="1" t="s">
        <v>174</v>
      </c>
      <c r="K49" s="1"/>
      <c r="L49" s="1"/>
    </row>
    <row r="50" ht="15" customHeight="1">
      <c r="A50" s="1"/>
      <c r="B50" s="50" t="s">
        <v>111</v>
      </c>
      <c r="C50" s="42">
        <f>C49/Inputs!C13-1</f>
        <v>0.06112799729821017</v>
      </c>
      <c r="D50" s="42">
        <f>D49/Inputs!E13-1</f>
        <v>0.1774241969378565</v>
      </c>
      <c r="E50" s="42">
        <f>E49/Inputs!F13-1</f>
        <v>0.04808002581477888</v>
      </c>
      <c r="F50" s="42">
        <f>F49/Inputs!G13-1</f>
        <v>0.16666666666666674</v>
      </c>
      <c r="G50" s="42">
        <f>G49/Inputs!H13-1</f>
        <v>0.13005780346820806</v>
      </c>
      <c r="H50" s="49">
        <f t="shared" si="3"/>
        <v>0.11814894971355816</v>
      </c>
      <c r="I50" s="1"/>
      <c r="J50" s="1"/>
      <c r="K50" s="1"/>
      <c r="L50" s="1"/>
    </row>
    <row r="51" ht="15" customHeight="1">
      <c r="A51" s="1"/>
      <c r="B51" s="56" t="s">
        <v>144</v>
      </c>
      <c r="C51" s="22">
        <f>C49-Inputs!H13</f>
        <v>28</v>
      </c>
      <c r="D51" s="23">
        <f t="shared" si="1"/>
        <v>780</v>
      </c>
      <c r="E51" s="23"/>
      <c r="F51" s="23">
        <f t="shared" si="4"/>
        <v>-639</v>
      </c>
      <c r="G51" s="23">
        <f t="shared" si="1"/>
        <v>236</v>
      </c>
      <c r="H51" s="48">
        <f t="shared" si="1"/>
        <v>-5.776000000000295</v>
      </c>
      <c r="I51" s="1"/>
      <c r="J51" s="1"/>
      <c r="K51" s="1"/>
      <c r="L51" s="1"/>
    </row>
    <row r="52" ht="15" customHeight="1">
      <c r="A52" s="1"/>
      <c r="B52" s="56" t="s">
        <v>175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69">
        <v>0</v>
      </c>
      <c r="I52" s="1"/>
      <c r="J52" s="1" t="s">
        <v>176</v>
      </c>
      <c r="K52" s="1"/>
      <c r="L52" s="1"/>
    </row>
    <row r="53" ht="15" customHeight="1">
      <c r="A53" s="1"/>
      <c r="B53" s="50" t="s">
        <v>177</v>
      </c>
      <c r="C53" s="42">
        <f>(C49-C52)/(Inputs!C13-Inputs!C14)-1</f>
        <v>0.06112799729821017</v>
      </c>
      <c r="D53" s="42">
        <f>(D49-D52)/(Inputs!E13-Inputs!E14)-1</f>
        <v>0.1774241969378565</v>
      </c>
      <c r="E53" s="42">
        <f>(E49-E52)/(Inputs!F13-Inputs!F14)-1</f>
        <v>0.04808002581477888</v>
      </c>
      <c r="F53" s="42">
        <f>(F49-F52)/(Inputs!G13-Inputs!G14)-1</f>
        <v>0.16666666666666674</v>
      </c>
      <c r="G53" s="42">
        <f>(G49-G52)/(Inputs!H13-Inputs!H14)-1</f>
        <v>0.13005780346820806</v>
      </c>
      <c r="H53" s="49">
        <f>(H49-H52)/(C49-C52)-1</f>
        <v>0.11814894971355816</v>
      </c>
      <c r="I53" s="1"/>
      <c r="J53" s="1"/>
      <c r="K53" s="1"/>
      <c r="L53" s="1"/>
    </row>
    <row r="54" ht="15" customHeight="1">
      <c r="A54" s="1"/>
      <c r="B54" s="50" t="s">
        <v>117</v>
      </c>
      <c r="C54" s="24">
        <f t="shared" si="18" ref="C54:H54">(1+C50)/(1+C53)-1</f>
        <v>0</v>
      </c>
      <c r="D54" s="24">
        <f t="shared" si="18"/>
        <v>0</v>
      </c>
      <c r="E54" s="24">
        <f t="shared" si="18"/>
        <v>0</v>
      </c>
      <c r="F54" s="24">
        <f t="shared" si="18"/>
        <v>0</v>
      </c>
      <c r="G54" s="24">
        <f t="shared" si="18"/>
        <v>0</v>
      </c>
      <c r="H54" s="49">
        <f t="shared" si="18"/>
        <v>0</v>
      </c>
      <c r="I54" s="1"/>
      <c r="J54" s="1"/>
      <c r="K54" s="1"/>
      <c r="L54" s="1"/>
    </row>
    <row r="55" ht="15" customHeight="1">
      <c r="A55" s="1"/>
      <c r="B55" s="56" t="s">
        <v>118</v>
      </c>
      <c r="C55" s="34" t="s">
        <v>38</v>
      </c>
      <c r="D55" s="34" t="s">
        <v>38</v>
      </c>
      <c r="E55" s="34" t="s">
        <v>38</v>
      </c>
      <c r="F55" s="34" t="s">
        <v>38</v>
      </c>
      <c r="G55" s="34" t="s">
        <v>38</v>
      </c>
      <c r="H55" s="32" t="s">
        <v>38</v>
      </c>
      <c r="I55" s="1"/>
      <c r="J55" s="1" t="s">
        <v>178</v>
      </c>
      <c r="K55" s="1"/>
      <c r="L55" s="1"/>
    </row>
    <row r="56" ht="15" customHeight="1">
      <c r="A56" s="1"/>
      <c r="B56" s="35" t="s">
        <v>179</v>
      </c>
      <c r="C56" s="24">
        <f t="shared" si="19" ref="C56:G56">C59/C49</f>
        <v>0.01336728198599618</v>
      </c>
      <c r="D56" s="24">
        <f t="shared" si="19"/>
        <v>0.011728709841917389</v>
      </c>
      <c r="E56" s="24">
        <f t="shared" si="19"/>
        <v>0.012854064039408867</v>
      </c>
      <c r="F56" s="24">
        <f t="shared" si="19"/>
        <v>0.010356381358513555</v>
      </c>
      <c r="G56" s="24">
        <f t="shared" si="19"/>
        <v>0.011651037226484797</v>
      </c>
      <c r="H56" s="57">
        <v>0.011</v>
      </c>
      <c r="I56" s="1"/>
      <c r="J56" s="1" t="s">
        <v>180</v>
      </c>
      <c r="K56" s="1"/>
      <c r="L56" s="1"/>
    </row>
    <row r="57" ht="15" customHeight="1">
      <c r="A57" s="1"/>
      <c r="B57" s="50" t="s">
        <v>114</v>
      </c>
      <c r="C57" s="52">
        <f>(C56-(Inputs!C15/Inputs!C13))*10000</f>
        <v>22.22398500687164</v>
      </c>
      <c r="D57" s="52">
        <f>(D56-(Inputs!E15/Inputs!E13))*10000</f>
        <v>18.217749875193093</v>
      </c>
      <c r="E57" s="52">
        <f>(E56-(Inputs!F15/Inputs!F13))*10000</f>
        <v>22.05467718014869</v>
      </c>
      <c r="F57" s="52">
        <f>(F56-(Inputs!G15/Inputs!G13))*10000</f>
        <v>-42.13625748806985</v>
      </c>
      <c r="G57" s="52">
        <f>(G56-(Inputs!H15/Inputs!H13))*10000</f>
        <v>-5.519171730013935</v>
      </c>
      <c r="H57" s="53">
        <f t="shared" si="20"/>
        <v>-23.672819859961812</v>
      </c>
      <c r="I57" s="1"/>
      <c r="J57" s="1"/>
      <c r="K57" s="1"/>
      <c r="L57" s="1"/>
    </row>
    <row r="58" ht="15" customHeight="1">
      <c r="A58" s="1"/>
      <c r="B58" s="50" t="s">
        <v>115</v>
      </c>
      <c r="C58" s="52">
        <f>(C56-(Inputs!H15/Inputs!H13))*10000</f>
        <v>11.643275865099897</v>
      </c>
      <c r="D58" s="54">
        <f t="shared" si="12"/>
        <v>-16.38572144078792</v>
      </c>
      <c r="E58" s="54"/>
      <c r="F58" s="54">
        <f t="shared" si="14"/>
        <v>-13.723284834038333</v>
      </c>
      <c r="G58" s="54">
        <f t="shared" si="12"/>
        <v>12.946558679712423</v>
      </c>
      <c r="H58" s="53">
        <f t="shared" si="12"/>
        <v>-6.510372264847981</v>
      </c>
      <c r="I58" s="1"/>
      <c r="J58" s="1"/>
      <c r="K58" s="1"/>
      <c r="L58" s="1"/>
    </row>
    <row r="59" ht="15" customHeight="1">
      <c r="A59" s="1"/>
      <c r="B59" s="17" t="s">
        <v>181</v>
      </c>
      <c r="C59" s="33">
        <v>42</v>
      </c>
      <c r="D59" s="22">
        <f>E59-Inputs!D149</f>
        <v>46</v>
      </c>
      <c r="E59" s="33">
        <v>167</v>
      </c>
      <c r="F59" s="33">
        <v>34</v>
      </c>
      <c r="G59" s="33">
        <v>41</v>
      </c>
      <c r="H59" s="48">
        <f>H49*H56</f>
        <v>38.645464</v>
      </c>
      <c r="I59" s="1"/>
      <c r="J59" s="1" t="s">
        <v>182</v>
      </c>
      <c r="K59" s="1"/>
      <c r="L59" s="1"/>
    </row>
    <row r="60" ht="15" customHeight="1">
      <c r="A60" s="1"/>
      <c r="B60" s="50" t="s">
        <v>111</v>
      </c>
      <c r="C60" s="42">
        <f>C59/Inputs!C15-1</f>
        <v>0.2727272727272727</v>
      </c>
      <c r="D60" s="42">
        <f>D59/Inputs!E15-1</f>
        <v>0.39393939393939403</v>
      </c>
      <c r="E60" s="42">
        <f>E59/Inputs!F15-1</f>
        <v>0.26515151515151514</v>
      </c>
      <c r="F60" s="42">
        <f>F59/Inputs!G15-1</f>
        <v>-0.1707317073170732</v>
      </c>
      <c r="G60" s="42">
        <f>G59/Inputs!H15-1</f>
        <v>0.07894736842105265</v>
      </c>
      <c r="H60" s="49">
        <f t="shared" si="3"/>
        <v>-0.07986990476190481</v>
      </c>
      <c r="I60" s="1"/>
      <c r="J60" s="1"/>
      <c r="K60" s="1"/>
      <c r="L60" s="1"/>
    </row>
    <row r="61" ht="15" customHeight="1">
      <c r="A61" s="1"/>
      <c r="B61" s="56" t="s">
        <v>144</v>
      </c>
      <c r="C61" s="22">
        <f>C59-Inputs!H15</f>
        <v>4</v>
      </c>
      <c r="D61" s="23">
        <f t="shared" si="1"/>
        <v>4</v>
      </c>
      <c r="E61" s="23"/>
      <c r="F61" s="23">
        <f t="shared" si="4"/>
        <v>-12</v>
      </c>
      <c r="G61" s="23">
        <f t="shared" si="1"/>
        <v>7</v>
      </c>
      <c r="H61" s="48">
        <f t="shared" si="1"/>
        <v>-2.354536000000003</v>
      </c>
      <c r="I61" s="1"/>
      <c r="J61" s="1"/>
      <c r="K61" s="1"/>
      <c r="L61" s="1"/>
    </row>
    <row r="62" ht="15" customHeight="1">
      <c r="A62" s="1"/>
      <c r="B62" s="50" t="s">
        <v>119</v>
      </c>
      <c r="C62" s="24">
        <f t="shared" si="21" ref="C62:H147">C60</f>
        <v>0.2727272727272727</v>
      </c>
      <c r="D62" s="24">
        <f t="shared" si="21"/>
        <v>0.39393939393939403</v>
      </c>
      <c r="E62" s="24">
        <f t="shared" si="21"/>
        <v>0.26515151515151514</v>
      </c>
      <c r="F62" s="24">
        <f t="shared" si="21"/>
        <v>-0.1707317073170732</v>
      </c>
      <c r="G62" s="24">
        <f t="shared" si="21"/>
        <v>0.07894736842105265</v>
      </c>
      <c r="H62" s="49">
        <f t="shared" si="21"/>
        <v>-0.07986990476190481</v>
      </c>
      <c r="I62" s="1"/>
      <c r="J62" s="1" t="s">
        <v>183</v>
      </c>
      <c r="K62" s="1"/>
      <c r="L62" s="1"/>
    </row>
    <row r="63" ht="15" customHeight="1">
      <c r="A63" s="1"/>
      <c r="B63" s="50" t="s">
        <v>117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57">
        <v>0</v>
      </c>
      <c r="I63" s="1"/>
      <c r="J63" s="1" t="s">
        <v>184</v>
      </c>
      <c r="K63" s="1"/>
      <c r="L63" s="1"/>
    </row>
    <row r="64" ht="15" customHeight="1">
      <c r="A64" s="1"/>
      <c r="B64" s="56" t="s">
        <v>118</v>
      </c>
      <c r="C64" s="34" t="s">
        <v>38</v>
      </c>
      <c r="D64" s="34" t="s">
        <v>38</v>
      </c>
      <c r="E64" s="34" t="s">
        <v>38</v>
      </c>
      <c r="F64" s="34" t="s">
        <v>38</v>
      </c>
      <c r="G64" s="34" t="s">
        <v>38</v>
      </c>
      <c r="H64" s="32" t="s">
        <v>38</v>
      </c>
      <c r="I64" s="1"/>
      <c r="J64" s="1"/>
      <c r="K64" s="1"/>
      <c r="L64" s="1"/>
    </row>
    <row r="65" ht="15" customHeight="1">
      <c r="A65" s="1"/>
      <c r="B65" s="4" t="s">
        <v>185</v>
      </c>
      <c r="C65" s="46">
        <f t="shared" si="22" ref="C65:H65">C49-C59</f>
        <v>3100</v>
      </c>
      <c r="D65" s="46">
        <f t="shared" si="22"/>
        <v>3876</v>
      </c>
      <c r="E65" s="46">
        <f t="shared" si="22"/>
        <v>12825</v>
      </c>
      <c r="F65" s="46">
        <f t="shared" si="22"/>
        <v>3249</v>
      </c>
      <c r="G65" s="46">
        <f t="shared" si="22"/>
        <v>3478</v>
      </c>
      <c r="H65" s="47">
        <f t="shared" si="22"/>
        <v>3474.5785359999995</v>
      </c>
      <c r="I65" s="1"/>
      <c r="J65" s="1"/>
      <c r="K65" s="1"/>
      <c r="L65" s="1"/>
    </row>
    <row r="66" ht="15" customHeight="1">
      <c r="A66" s="1"/>
      <c r="B66" s="50" t="s">
        <v>111</v>
      </c>
      <c r="C66" s="42">
        <f>C65/(Inputs!C13-Inputs!C15)-1</f>
        <v>0.058743169398907114</v>
      </c>
      <c r="D66" s="42">
        <f>D65/(Inputs!E13-Inputs!E15)-1</f>
        <v>0.17525773195876293</v>
      </c>
      <c r="E66" s="42">
        <f>E65/(Inputs!F13-Inputs!F15)-1</f>
        <v>0.045743639921722146</v>
      </c>
      <c r="F66" s="42">
        <f>F65/(Inputs!G13-Inputs!G15)-1</f>
        <v>0.17165524702488288</v>
      </c>
      <c r="G66" s="42">
        <f>G65/(Inputs!H13-Inputs!H15)-1</f>
        <v>0.13068920676202866</v>
      </c>
      <c r="H66" s="49">
        <f t="shared" si="3"/>
        <v>0.12083178580645138</v>
      </c>
      <c r="I66" s="1"/>
      <c r="J66" s="1"/>
      <c r="K66" s="1"/>
      <c r="L66" s="1"/>
    </row>
    <row r="67" ht="15" customHeight="1">
      <c r="A67" s="1"/>
      <c r="B67" s="56" t="s">
        <v>144</v>
      </c>
      <c r="C67" s="22">
        <f>C65-(Inputs!H13-Inputs!H15)</f>
        <v>24</v>
      </c>
      <c r="D67" s="23">
        <f t="shared" si="1"/>
        <v>776</v>
      </c>
      <c r="E67" s="23"/>
      <c r="F67" s="23">
        <f t="shared" si="4"/>
        <v>-627</v>
      </c>
      <c r="G67" s="23">
        <f t="shared" si="1"/>
        <v>229</v>
      </c>
      <c r="H67" s="48">
        <f t="shared" si="1"/>
        <v>-3.4214640000004692</v>
      </c>
      <c r="I67" s="1"/>
      <c r="J67" s="1"/>
      <c r="K67" s="1"/>
      <c r="L67" s="1"/>
    </row>
    <row r="68" ht="15" customHeight="1">
      <c r="A68" s="1"/>
      <c r="B68" s="50" t="s">
        <v>119</v>
      </c>
      <c r="C68" s="24">
        <f t="shared" si="21"/>
        <v>0.058743169398907114</v>
      </c>
      <c r="D68" s="24">
        <f t="shared" si="21"/>
        <v>0.17525773195876293</v>
      </c>
      <c r="E68" s="24">
        <f t="shared" si="21"/>
        <v>0.045743639921722146</v>
      </c>
      <c r="F68" s="24">
        <f t="shared" si="21"/>
        <v>0.17165524702488288</v>
      </c>
      <c r="G68" s="24">
        <f t="shared" si="21"/>
        <v>0.13068920676202866</v>
      </c>
      <c r="H68" s="49">
        <f t="shared" si="21"/>
        <v>0.12083178580645138</v>
      </c>
      <c r="I68" s="1"/>
      <c r="J68" s="1" t="s">
        <v>186</v>
      </c>
      <c r="K68" s="1"/>
      <c r="L68" s="1"/>
    </row>
    <row r="69" ht="15" customHeight="1">
      <c r="A69" s="1"/>
      <c r="B69" s="50" t="s">
        <v>117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57">
        <v>0</v>
      </c>
      <c r="I69" s="1"/>
      <c r="J69" s="1" t="s">
        <v>184</v>
      </c>
      <c r="K69" s="1"/>
      <c r="L69" s="1"/>
    </row>
    <row r="70" ht="15" customHeight="1">
      <c r="A70" s="1"/>
      <c r="B70" s="56" t="s">
        <v>118</v>
      </c>
      <c r="C70" s="34" t="s">
        <v>38</v>
      </c>
      <c r="D70" s="34" t="s">
        <v>38</v>
      </c>
      <c r="E70" s="34" t="s">
        <v>38</v>
      </c>
      <c r="F70" s="34" t="s">
        <v>38</v>
      </c>
      <c r="G70" s="34" t="s">
        <v>38</v>
      </c>
      <c r="H70" s="32" t="s">
        <v>38</v>
      </c>
      <c r="I70" s="1"/>
      <c r="J70" s="1"/>
      <c r="K70" s="1"/>
      <c r="L70" s="1"/>
    </row>
    <row r="71" ht="15" customHeight="1">
      <c r="A71" s="1"/>
      <c r="B71" s="1"/>
      <c r="C71" s="1"/>
      <c r="D71" s="1"/>
      <c r="E71" s="1"/>
      <c r="F71" s="1"/>
      <c r="G71" s="1"/>
      <c r="H71" s="45"/>
      <c r="I71" s="1"/>
      <c r="J71" s="1"/>
      <c r="K71" s="1"/>
      <c r="L71" s="1"/>
    </row>
    <row r="72" ht="15" customHeight="1">
      <c r="A72" s="1"/>
      <c r="B72" s="4" t="s">
        <v>187</v>
      </c>
      <c r="C72" s="34"/>
      <c r="D72" s="34"/>
      <c r="E72" s="34"/>
      <c r="F72" s="34"/>
      <c r="G72" s="34"/>
      <c r="H72" s="32"/>
      <c r="I72" s="1"/>
      <c r="J72" s="1"/>
      <c r="K72" s="1"/>
      <c r="L72" s="1"/>
    </row>
    <row r="73" ht="15" customHeight="1">
      <c r="A73" s="1"/>
      <c r="B73" s="17" t="s">
        <v>124</v>
      </c>
      <c r="C73" s="33">
        <v>2530</v>
      </c>
      <c r="D73" s="22">
        <f>E73-Inputs!D150</f>
        <v>3123</v>
      </c>
      <c r="E73" s="33">
        <v>10469</v>
      </c>
      <c r="F73" s="33">
        <v>2694</v>
      </c>
      <c r="G73" s="33">
        <v>2809</v>
      </c>
      <c r="H73" s="48">
        <f>H65*H93</f>
        <v>2843.640733794267</v>
      </c>
      <c r="I73" s="1"/>
      <c r="J73" s="1" t="s">
        <v>188</v>
      </c>
      <c r="K73" s="1"/>
      <c r="L73" s="1"/>
    </row>
    <row r="74" ht="15" customHeight="1">
      <c r="A74" s="1"/>
      <c r="B74" s="50" t="s">
        <v>111</v>
      </c>
      <c r="C74" s="42">
        <f>C73/Inputs!C17-1</f>
        <v>0.032231742146062725</v>
      </c>
      <c r="D74" s="42">
        <f>D73/Inputs!E17-1</f>
        <v>0.14689680499449143</v>
      </c>
      <c r="E74" s="42">
        <f>E73/Inputs!F17-1</f>
        <v>0.010131223465843275</v>
      </c>
      <c r="F74" s="42">
        <f>F73/Inputs!G17-1</f>
        <v>0.17641921397379923</v>
      </c>
      <c r="G74" s="42">
        <f>G73/Inputs!H17-1</f>
        <v>0.11203483768804423</v>
      </c>
      <c r="H74" s="49">
        <f t="shared" si="3"/>
        <v>0.12396866948389995</v>
      </c>
      <c r="I74" s="1"/>
      <c r="J74" s="1"/>
      <c r="K74" s="1"/>
      <c r="L74" s="1"/>
    </row>
    <row r="75" ht="15" customHeight="1">
      <c r="A75" s="1"/>
      <c r="B75" s="56" t="s">
        <v>144</v>
      </c>
      <c r="C75" s="22">
        <f>C73-Inputs!H17</f>
        <v>4</v>
      </c>
      <c r="D75" s="23">
        <f t="shared" si="1"/>
        <v>593</v>
      </c>
      <c r="E75" s="23"/>
      <c r="F75" s="23">
        <f t="shared" si="4"/>
        <v>-429</v>
      </c>
      <c r="G75" s="23">
        <f t="shared" si="1"/>
        <v>115</v>
      </c>
      <c r="H75" s="48">
        <f t="shared" si="1"/>
        <v>34.64073379426691</v>
      </c>
      <c r="I75" s="1"/>
      <c r="J75" s="1"/>
      <c r="K75" s="1"/>
      <c r="L75" s="1"/>
    </row>
    <row r="76" ht="15" customHeight="1">
      <c r="A76" s="1"/>
      <c r="B76" s="50" t="s">
        <v>119</v>
      </c>
      <c r="C76" s="24">
        <f t="shared" si="21"/>
        <v>0.032231742146062725</v>
      </c>
      <c r="D76" s="24">
        <f t="shared" si="21"/>
        <v>0.14689680499449143</v>
      </c>
      <c r="E76" s="24">
        <f t="shared" si="21"/>
        <v>0.010131223465843275</v>
      </c>
      <c r="F76" s="24">
        <f t="shared" si="21"/>
        <v>0.17641921397379923</v>
      </c>
      <c r="G76" s="24">
        <f t="shared" si="21"/>
        <v>0.11203483768804423</v>
      </c>
      <c r="H76" s="49">
        <f t="shared" si="21"/>
        <v>0.12396866948389995</v>
      </c>
      <c r="I76" s="1"/>
      <c r="J76" s="1" t="s">
        <v>189</v>
      </c>
      <c r="K76" s="1"/>
      <c r="L76" s="1"/>
    </row>
    <row r="77" ht="15" customHeight="1">
      <c r="A77" s="1"/>
      <c r="B77" s="50" t="s">
        <v>117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57">
        <v>0</v>
      </c>
      <c r="I77" s="1"/>
      <c r="J77" s="1" t="s">
        <v>184</v>
      </c>
      <c r="K77" s="1"/>
      <c r="L77" s="1"/>
    </row>
    <row r="78" ht="15" customHeight="1">
      <c r="A78" s="1"/>
      <c r="B78" s="56" t="s">
        <v>118</v>
      </c>
      <c r="C78" s="34" t="s">
        <v>38</v>
      </c>
      <c r="D78" s="34" t="s">
        <v>38</v>
      </c>
      <c r="E78" s="34" t="s">
        <v>38</v>
      </c>
      <c r="F78" s="34" t="s">
        <v>38</v>
      </c>
      <c r="G78" s="34" t="s">
        <v>38</v>
      </c>
      <c r="H78" s="32" t="s">
        <v>38</v>
      </c>
      <c r="I78" s="1"/>
      <c r="J78" s="1"/>
      <c r="K78" s="1"/>
      <c r="L78" s="1"/>
    </row>
    <row r="79" ht="15" customHeight="1">
      <c r="A79" s="1"/>
      <c r="B79" s="17" t="s">
        <v>127</v>
      </c>
      <c r="C79" s="33">
        <v>564</v>
      </c>
      <c r="D79" s="22">
        <f>E79-Inputs!D151</f>
        <v>739</v>
      </c>
      <c r="E79" s="33">
        <v>2325</v>
      </c>
      <c r="F79" s="33">
        <v>540</v>
      </c>
      <c r="G79" s="33">
        <v>652</v>
      </c>
      <c r="H79" s="48">
        <f>H65*H96</f>
        <v>614.4254379598042</v>
      </c>
      <c r="I79" s="1"/>
      <c r="J79" s="1" t="s">
        <v>188</v>
      </c>
      <c r="K79" s="1"/>
      <c r="L79" s="1"/>
    </row>
    <row r="80" ht="15" customHeight="1">
      <c r="A80" s="1"/>
      <c r="B80" s="50" t="s">
        <v>111</v>
      </c>
      <c r="C80" s="42">
        <f>C79/Inputs!C18-1</f>
        <v>0.19999999999999996</v>
      </c>
      <c r="D80" s="42">
        <f>D79/Inputs!E18-1</f>
        <v>0.2987697715289983</v>
      </c>
      <c r="E80" s="42">
        <f>E79/Inputs!F18-1</f>
        <v>0.2380191693290734</v>
      </c>
      <c r="F80" s="42">
        <f>F79/Inputs!G18-1</f>
        <v>0.12970711297071125</v>
      </c>
      <c r="G80" s="42">
        <f>G79/Inputs!H18-1</f>
        <v>0.19852941176470584</v>
      </c>
      <c r="H80" s="49">
        <f t="shared" si="3"/>
        <v>0.08940680489326991</v>
      </c>
      <c r="I80" s="1"/>
      <c r="J80" s="1"/>
      <c r="K80" s="1"/>
      <c r="L80" s="1"/>
    </row>
    <row r="81" ht="15" customHeight="1">
      <c r="A81" s="1"/>
      <c r="B81" s="56" t="s">
        <v>144</v>
      </c>
      <c r="C81" s="22">
        <f>C79-Inputs!H18</f>
        <v>20</v>
      </c>
      <c r="D81" s="23">
        <f t="shared" si="1"/>
        <v>175</v>
      </c>
      <c r="E81" s="23"/>
      <c r="F81" s="23">
        <f t="shared" si="4"/>
        <v>-199</v>
      </c>
      <c r="G81" s="23">
        <f t="shared" si="1"/>
        <v>112</v>
      </c>
      <c r="H81" s="48">
        <f t="shared" si="1"/>
        <v>-37.574562040195815</v>
      </c>
      <c r="I81" s="1"/>
      <c r="J81" s="1"/>
      <c r="K81" s="1"/>
      <c r="L81" s="1"/>
    </row>
    <row r="82" ht="15" customHeight="1">
      <c r="A82" s="1"/>
      <c r="B82" s="50" t="s">
        <v>119</v>
      </c>
      <c r="C82" s="24">
        <f t="shared" si="21"/>
        <v>0.19999999999999996</v>
      </c>
      <c r="D82" s="24">
        <f t="shared" si="21"/>
        <v>0.2987697715289983</v>
      </c>
      <c r="E82" s="24">
        <f t="shared" si="21"/>
        <v>0.2380191693290734</v>
      </c>
      <c r="F82" s="24">
        <f t="shared" si="21"/>
        <v>0.12970711297071125</v>
      </c>
      <c r="G82" s="24">
        <f t="shared" si="21"/>
        <v>0.19852941176470584</v>
      </c>
      <c r="H82" s="49">
        <f t="shared" si="21"/>
        <v>0.08940680489326991</v>
      </c>
      <c r="I82" s="1"/>
      <c r="J82" s="1" t="s">
        <v>190</v>
      </c>
      <c r="K82" s="1"/>
      <c r="L82" s="1"/>
    </row>
    <row r="83" ht="15" customHeight="1">
      <c r="A83" s="1"/>
      <c r="B83" s="50" t="s">
        <v>117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57">
        <v>0</v>
      </c>
      <c r="I83" s="1"/>
      <c r="J83" s="1" t="s">
        <v>184</v>
      </c>
      <c r="K83" s="1"/>
      <c r="L83" s="1"/>
    </row>
    <row r="84" ht="15" customHeight="1">
      <c r="A84" s="1"/>
      <c r="B84" s="56" t="s">
        <v>118</v>
      </c>
      <c r="C84" s="34" t="s">
        <v>38</v>
      </c>
      <c r="D84" s="34" t="s">
        <v>38</v>
      </c>
      <c r="E84" s="34" t="s">
        <v>38</v>
      </c>
      <c r="F84" s="34" t="s">
        <v>38</v>
      </c>
      <c r="G84" s="34" t="s">
        <v>38</v>
      </c>
      <c r="H84" s="32" t="s">
        <v>38</v>
      </c>
      <c r="I84" s="1"/>
      <c r="J84" s="1"/>
      <c r="K84" s="1"/>
      <c r="L84" s="1"/>
    </row>
    <row r="85" ht="15" customHeight="1">
      <c r="A85" s="1"/>
      <c r="B85" s="17" t="s">
        <v>130</v>
      </c>
      <c r="C85" s="33">
        <v>6</v>
      </c>
      <c r="D85" s="22">
        <f>E85-Inputs!D152</f>
        <v>14</v>
      </c>
      <c r="E85" s="33">
        <v>31</v>
      </c>
      <c r="F85" s="33">
        <v>15</v>
      </c>
      <c r="G85" s="33">
        <v>17</v>
      </c>
      <c r="H85" s="48">
        <f>H65*H99</f>
        <v>16.51236424592837</v>
      </c>
      <c r="I85" s="1"/>
      <c r="J85" s="1" t="s">
        <v>188</v>
      </c>
      <c r="K85" s="1"/>
      <c r="L85" s="1"/>
    </row>
    <row r="86" ht="15" customHeight="1">
      <c r="A86" s="1"/>
      <c r="B86" s="50" t="s">
        <v>111</v>
      </c>
      <c r="C86" s="42">
        <f>C85/Inputs!C19-1</f>
        <v>-0.1428571428571429</v>
      </c>
      <c r="D86" s="42">
        <f>D85/Inputs!E19-1</f>
        <v>1.3333333333333335</v>
      </c>
      <c r="E86" s="42">
        <f>E85/Inputs!F19-1</f>
        <v>0.40909090909090917</v>
      </c>
      <c r="F86" s="42">
        <f>F85/Inputs!G19-1</f>
        <v>2</v>
      </c>
      <c r="G86" s="42">
        <f>G85/Inputs!H19-1</f>
        <v>1.8333333333333335</v>
      </c>
      <c r="H86" s="49">
        <f t="shared" si="3"/>
        <v>1.7520607076547283</v>
      </c>
      <c r="I86" s="1"/>
      <c r="J86" s="1"/>
      <c r="K86" s="1"/>
      <c r="L86" s="1"/>
    </row>
    <row r="87" ht="15" customHeight="1">
      <c r="A87" s="1"/>
      <c r="B87" s="56" t="s">
        <v>144</v>
      </c>
      <c r="C87" s="22">
        <f>C85-Inputs!H19</f>
        <v>0</v>
      </c>
      <c r="D87" s="23">
        <f t="shared" si="1"/>
        <v>8</v>
      </c>
      <c r="E87" s="23"/>
      <c r="F87" s="23">
        <f t="shared" si="4"/>
        <v>1</v>
      </c>
      <c r="G87" s="23">
        <f t="shared" si="1"/>
        <v>2</v>
      </c>
      <c r="H87" s="48">
        <f t="shared" si="1"/>
        <v>-0.4876357540716292</v>
      </c>
      <c r="I87" s="1"/>
      <c r="J87" s="1"/>
      <c r="K87" s="1"/>
      <c r="L87" s="1"/>
    </row>
    <row r="88" ht="15" customHeight="1">
      <c r="A88" s="1"/>
      <c r="B88" s="50" t="s">
        <v>119</v>
      </c>
      <c r="C88" s="24">
        <f t="shared" si="21"/>
        <v>-0.1428571428571429</v>
      </c>
      <c r="D88" s="24">
        <f t="shared" si="21"/>
        <v>1.3333333333333335</v>
      </c>
      <c r="E88" s="24">
        <f t="shared" si="21"/>
        <v>0.40909090909090917</v>
      </c>
      <c r="F88" s="24">
        <f t="shared" si="21"/>
        <v>2</v>
      </c>
      <c r="G88" s="24">
        <f t="shared" si="21"/>
        <v>1.8333333333333335</v>
      </c>
      <c r="H88" s="49">
        <f t="shared" si="21"/>
        <v>1.7520607076547283</v>
      </c>
      <c r="I88" s="1"/>
      <c r="J88" s="1" t="s">
        <v>191</v>
      </c>
      <c r="K88" s="1"/>
      <c r="L88" s="1"/>
    </row>
    <row r="89" ht="15" customHeight="1">
      <c r="A89" s="1"/>
      <c r="B89" s="50" t="s">
        <v>117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57">
        <v>0</v>
      </c>
      <c r="I89" s="1"/>
      <c r="J89" s="1" t="s">
        <v>184</v>
      </c>
      <c r="K89" s="1"/>
      <c r="L89" s="1"/>
    </row>
    <row r="90" ht="15" customHeight="1">
      <c r="A90" s="1"/>
      <c r="B90" s="56" t="s">
        <v>118</v>
      </c>
      <c r="C90" s="34" t="s">
        <v>38</v>
      </c>
      <c r="D90" s="34" t="s">
        <v>38</v>
      </c>
      <c r="E90" s="34" t="s">
        <v>38</v>
      </c>
      <c r="F90" s="34" t="s">
        <v>38</v>
      </c>
      <c r="G90" s="34" t="s">
        <v>38</v>
      </c>
      <c r="H90" s="32" t="s">
        <v>38</v>
      </c>
      <c r="I90" s="1"/>
      <c r="J90" s="1"/>
      <c r="K90" s="1"/>
      <c r="L90" s="1"/>
    </row>
    <row r="91" ht="15" customHeight="1">
      <c r="A91" s="1"/>
      <c r="B91" s="4" t="s">
        <v>192</v>
      </c>
      <c r="C91" s="46">
        <f t="shared" si="23" ref="C91:H91">C73+C79+C85</f>
        <v>3100</v>
      </c>
      <c r="D91" s="46">
        <f t="shared" si="23"/>
        <v>3876</v>
      </c>
      <c r="E91" s="46">
        <f t="shared" si="23"/>
        <v>12825</v>
      </c>
      <c r="F91" s="46">
        <f t="shared" si="23"/>
        <v>3249</v>
      </c>
      <c r="G91" s="46">
        <f t="shared" si="23"/>
        <v>3478</v>
      </c>
      <c r="H91" s="47">
        <f t="shared" si="23"/>
        <v>3474.5785359999995</v>
      </c>
      <c r="I91" s="1"/>
      <c r="J91" s="1"/>
      <c r="K91" s="1"/>
      <c r="L91" s="1"/>
    </row>
    <row r="92" ht="15" customHeight="1">
      <c r="A92" s="1"/>
      <c r="B92" s="17" t="s">
        <v>193</v>
      </c>
      <c r="C92" s="23">
        <f t="shared" si="24" ref="C92:H92">C91-C65</f>
        <v>0</v>
      </c>
      <c r="D92" s="23">
        <f t="shared" si="24"/>
        <v>0</v>
      </c>
      <c r="E92" s="23">
        <f t="shared" si="24"/>
        <v>0</v>
      </c>
      <c r="F92" s="23">
        <f t="shared" si="24"/>
        <v>0</v>
      </c>
      <c r="G92" s="23">
        <f t="shared" si="24"/>
        <v>0</v>
      </c>
      <c r="H92" s="48">
        <f t="shared" si="24"/>
        <v>0</v>
      </c>
      <c r="I92" s="1"/>
      <c r="J92" s="1"/>
      <c r="K92" s="1"/>
      <c r="L92" s="1"/>
    </row>
    <row r="93" ht="15" customHeight="1">
      <c r="A93" s="1"/>
      <c r="B93" s="35" t="s">
        <v>194</v>
      </c>
      <c r="C93" s="24">
        <f t="shared" si="25" ref="C93:G93">C73/C65</f>
        <v>0.8161290322580645</v>
      </c>
      <c r="D93" s="24">
        <f t="shared" si="25"/>
        <v>0.8057275541795665</v>
      </c>
      <c r="E93" s="24">
        <f t="shared" si="25"/>
        <v>0.8162962962962963</v>
      </c>
      <c r="F93" s="24">
        <f t="shared" si="25"/>
        <v>0.8291782086795937</v>
      </c>
      <c r="G93" s="24">
        <f t="shared" si="25"/>
        <v>0.8076480736055204</v>
      </c>
      <c r="H93" s="49">
        <f>1-H96-H99</f>
        <v>0.818413141142557</v>
      </c>
      <c r="I93" s="1"/>
      <c r="J93" s="1"/>
      <c r="K93" s="1"/>
      <c r="L93" s="1"/>
    </row>
    <row r="94" ht="15" customHeight="1">
      <c r="A94" s="1"/>
      <c r="B94" s="50" t="s">
        <v>114</v>
      </c>
      <c r="C94" s="52">
        <f>(C93-(Inputs!C17/(Inputs!C13-Inputs!C15)))*10000</f>
        <v>-209.6113167636171</v>
      </c>
      <c r="D94" s="52">
        <f>(D93-(Inputs!E17/(Inputs!E13-Inputs!E15)))*10000</f>
        <v>-199.2435606906895</v>
      </c>
      <c r="E94" s="52">
        <f>(E93-(Inputs!F17/(Inputs!F13-Inputs!F15)))*10000</f>
        <v>-287.7872001159676</v>
      </c>
      <c r="F94" s="52">
        <f>(F93-(Inputs!G17/(Inputs!G13-Inputs!G15)))*10000</f>
        <v>33.5779757248944</v>
      </c>
      <c r="G94" s="52">
        <f>(G93-(Inputs!H17/(Inputs!H13-Inputs!H15)))*10000</f>
        <v>-135.48285302151908</v>
      </c>
      <c r="H94" s="53">
        <f t="shared" si="20"/>
        <v>22.84108884492486</v>
      </c>
      <c r="I94" s="1"/>
      <c r="J94" s="1"/>
      <c r="K94" s="1"/>
      <c r="L94" s="1"/>
    </row>
    <row r="95" ht="15" customHeight="1">
      <c r="A95" s="1"/>
      <c r="B95" s="50" t="s">
        <v>115</v>
      </c>
      <c r="C95" s="52">
        <f>(C93-(Inputs!H17/(Inputs!H13-Inputs!H15)))*10000</f>
        <v>-50.673266496077396</v>
      </c>
      <c r="D95" s="54">
        <f t="shared" si="12"/>
        <v>-104.01478078498005</v>
      </c>
      <c r="E95" s="54"/>
      <c r="F95" s="54">
        <f t="shared" si="14"/>
        <v>234.50654500027147</v>
      </c>
      <c r="G95" s="54">
        <f t="shared" si="12"/>
        <v>-215.30135074073308</v>
      </c>
      <c r="H95" s="53">
        <f t="shared" si="12"/>
        <v>107.65067537036654</v>
      </c>
      <c r="I95" s="1"/>
      <c r="J95" s="1"/>
      <c r="K95" s="1"/>
      <c r="L95" s="1"/>
    </row>
    <row r="96" ht="15" customHeight="1">
      <c r="A96" s="1"/>
      <c r="B96" s="35" t="s">
        <v>195</v>
      </c>
      <c r="C96" s="24">
        <f t="shared" si="26" ref="C96:G96">C79/C65</f>
        <v>0.18193548387096775</v>
      </c>
      <c r="D96" s="24">
        <f t="shared" si="26"/>
        <v>0.19066047471620226</v>
      </c>
      <c r="E96" s="24">
        <f t="shared" si="26"/>
        <v>0.18128654970760233</v>
      </c>
      <c r="F96" s="24">
        <f t="shared" si="26"/>
        <v>0.16620498614958448</v>
      </c>
      <c r="G96" s="24">
        <f t="shared" si="26"/>
        <v>0.18746405980448533</v>
      </c>
      <c r="H96" s="49">
        <f t="shared" si="28" ref="H96:H161">AVERAGE(F96,G96)</f>
        <v>0.1768345229770349</v>
      </c>
      <c r="I96" s="1"/>
      <c r="J96" s="1"/>
      <c r="K96" s="1"/>
      <c r="L96" s="1"/>
    </row>
    <row r="97" ht="15" customHeight="1">
      <c r="A97" s="1"/>
      <c r="B97" s="50" t="s">
        <v>114</v>
      </c>
      <c r="C97" s="52">
        <f>(C96-(Inputs!C18/(Inputs!C13-Inputs!C15)))*10000</f>
        <v>214.1635818790763</v>
      </c>
      <c r="D97" s="52">
        <f>(D96-(Inputs!E18/(Inputs!E13-Inputs!E15)))*10000</f>
        <v>181.31669379634647</v>
      </c>
      <c r="E97" s="52">
        <f>(E96-(Inputs!F18/(Inputs!F13-Inputs!F15)))*10000</f>
        <v>281.5543424771974</v>
      </c>
      <c r="F97" s="52">
        <f>(F96-(Inputs!G18/(Inputs!G13-Inputs!G15)))*10000</f>
        <v>-61.715014090163166</v>
      </c>
      <c r="G97" s="52">
        <f>(G96-(Inputs!H18/(Inputs!H13-Inputs!H15)))*10000</f>
        <v>106.11003887710302</v>
      </c>
      <c r="H97" s="53">
        <f t="shared" si="20"/>
        <v>-51.0096089393286</v>
      </c>
      <c r="I97" s="1"/>
      <c r="J97" s="1"/>
      <c r="K97" s="1"/>
      <c r="L97" s="1"/>
    </row>
    <row r="98" ht="15" customHeight="1">
      <c r="A98" s="1"/>
      <c r="B98" s="50" t="s">
        <v>115</v>
      </c>
      <c r="C98" s="52">
        <f>(C96-(Inputs!H18/(Inputs!H13-Inputs!H15)))*10000</f>
        <v>50.824279541927254</v>
      </c>
      <c r="D98" s="54">
        <f t="shared" si="12"/>
        <v>87.2499084523451</v>
      </c>
      <c r="E98" s="54"/>
      <c r="F98" s="54">
        <f t="shared" si="14"/>
        <v>-244.55488566617777</v>
      </c>
      <c r="G98" s="54">
        <f t="shared" si="12"/>
        <v>212.59073654900845</v>
      </c>
      <c r="H98" s="53">
        <f t="shared" si="12"/>
        <v>-106.29536827450437</v>
      </c>
      <c r="I98" s="1"/>
      <c r="J98" s="1"/>
      <c r="K98" s="1"/>
      <c r="L98" s="1"/>
    </row>
    <row r="99" ht="15" customHeight="1">
      <c r="A99" s="1"/>
      <c r="B99" s="35" t="s">
        <v>196</v>
      </c>
      <c r="C99" s="24">
        <f t="shared" si="27" ref="C99:G99">C85/C65</f>
        <v>0.001935483870967742</v>
      </c>
      <c r="D99" s="24">
        <f t="shared" si="27"/>
        <v>0.003611971104231166</v>
      </c>
      <c r="E99" s="24">
        <f t="shared" si="27"/>
        <v>0.0024171539961013646</v>
      </c>
      <c r="F99" s="24">
        <f t="shared" si="27"/>
        <v>0.0046168051708217915</v>
      </c>
      <c r="G99" s="24">
        <f t="shared" si="27"/>
        <v>0.00488786658999425</v>
      </c>
      <c r="H99" s="49">
        <f t="shared" si="28"/>
        <v>0.004752335880408021</v>
      </c>
      <c r="I99" s="1"/>
      <c r="J99" s="1"/>
      <c r="K99" s="1"/>
      <c r="L99" s="1"/>
    </row>
    <row r="100" ht="15" customHeight="1">
      <c r="A100" s="1"/>
      <c r="B100" s="50" t="s">
        <v>114</v>
      </c>
      <c r="C100" s="52">
        <f>(C99-(Inputs!C19/(Inputs!C13-Inputs!C15)))*10000</f>
        <v>-4.5522651154591935</v>
      </c>
      <c r="D100" s="52">
        <f>(D99-(Inputs!E19/(Inputs!E13-Inputs!E15)))*10000</f>
        <v>17.926866894343195</v>
      </c>
      <c r="E100" s="52">
        <f>(E99-(Inputs!F19/(Inputs!F13-Inputs!F15)))*10000</f>
        <v>6.232857638769681</v>
      </c>
      <c r="F100" s="52">
        <f>(F99-(Inputs!G19/(Inputs!G13-Inputs!G15)))*10000</f>
        <v>28.137038365268044</v>
      </c>
      <c r="G100" s="52">
        <f>(G99-(Inputs!H19/(Inputs!H13-Inputs!H15)))*10000</f>
        <v>29.37281414441584</v>
      </c>
      <c r="H100" s="53">
        <f t="shared" si="20"/>
        <v>28.168520094402787</v>
      </c>
      <c r="I100" s="1"/>
      <c r="J100" s="1"/>
      <c r="K100" s="1"/>
      <c r="L100" s="1"/>
    </row>
    <row r="101" ht="15" customHeight="1">
      <c r="A101" s="1"/>
      <c r="B101" s="50" t="s">
        <v>115</v>
      </c>
      <c r="C101" s="52">
        <f>(C99-(Inputs!H19/(Inputs!H13-Inputs!H15)))*10000</f>
        <v>-0.15101304584923908</v>
      </c>
      <c r="D101" s="54">
        <f t="shared" si="12"/>
        <v>16.76487233263424</v>
      </c>
      <c r="E101" s="54"/>
      <c r="F101" s="54">
        <f t="shared" si="14"/>
        <v>10.048340665906254</v>
      </c>
      <c r="G101" s="54">
        <f t="shared" si="12"/>
        <v>2.7106141917245843</v>
      </c>
      <c r="H101" s="53">
        <f t="shared" si="12"/>
        <v>-1.3553070958622921</v>
      </c>
      <c r="I101" s="1"/>
      <c r="J101" s="1"/>
      <c r="K101" s="1"/>
      <c r="L101" s="1"/>
    </row>
    <row r="102" ht="15" customHeight="1">
      <c r="A102" s="1"/>
      <c r="B102" s="1"/>
      <c r="C102" s="1"/>
      <c r="D102" s="1"/>
      <c r="E102" s="1"/>
      <c r="F102" s="1"/>
      <c r="G102" s="1"/>
      <c r="H102" s="45"/>
      <c r="I102" s="1"/>
      <c r="J102" s="1"/>
      <c r="K102" s="1"/>
      <c r="L102" s="1"/>
    </row>
    <row r="103" ht="15" customHeight="1">
      <c r="A103" s="1"/>
      <c r="B103" s="4" t="s">
        <v>197</v>
      </c>
      <c r="C103" s="34"/>
      <c r="D103" s="34"/>
      <c r="E103" s="34"/>
      <c r="F103" s="34"/>
      <c r="G103" s="34"/>
      <c r="H103" s="32"/>
      <c r="I103" s="1"/>
      <c r="J103" s="1"/>
      <c r="K103" s="1"/>
      <c r="L103" s="1"/>
    </row>
    <row r="104" ht="15" customHeight="1">
      <c r="A104" s="1"/>
      <c r="B104" s="17" t="s">
        <v>135</v>
      </c>
      <c r="C104" s="33">
        <v>1454</v>
      </c>
      <c r="D104" s="22">
        <f>E104-Inputs!D153</f>
        <v>1589</v>
      </c>
      <c r="E104" s="33">
        <v>5843</v>
      </c>
      <c r="F104" s="33">
        <v>1359</v>
      </c>
      <c r="G104" s="33">
        <v>1607</v>
      </c>
      <c r="H104" s="48">
        <f>H65*H118</f>
        <v>1529.3873436087697</v>
      </c>
      <c r="I104" s="1"/>
      <c r="J104" s="1" t="s">
        <v>198</v>
      </c>
      <c r="K104" s="1"/>
      <c r="L104" s="1"/>
    </row>
    <row r="105" ht="15" customHeight="1">
      <c r="A105" s="1"/>
      <c r="B105" s="50" t="s">
        <v>111</v>
      </c>
      <c r="C105" s="42">
        <f>C104/Inputs!C20-1</f>
        <v>0.10068130204390613</v>
      </c>
      <c r="D105" s="42">
        <f>D104/Inputs!E20-1</f>
        <v>0.1190140845070422</v>
      </c>
      <c r="E105" s="42">
        <f>E104/Inputs!F20-1</f>
        <v>0.0623636363636364</v>
      </c>
      <c r="F105" s="42">
        <f>F104/Inputs!G20-1</f>
        <v>0.014936519790888614</v>
      </c>
      <c r="G105" s="42">
        <f>G104/Inputs!H20-1</f>
        <v>0.09993155373032159</v>
      </c>
      <c r="H105" s="49">
        <f t="shared" si="3"/>
        <v>0.051848241821712326</v>
      </c>
      <c r="I105" s="1"/>
      <c r="J105" s="1"/>
      <c r="K105" s="1"/>
      <c r="L105" s="1"/>
    </row>
    <row r="106" ht="15" customHeight="1">
      <c r="A106" s="1"/>
      <c r="B106" s="56" t="s">
        <v>144</v>
      </c>
      <c r="C106" s="22">
        <f>C104-Inputs!H20</f>
        <v>-7</v>
      </c>
      <c r="D106" s="23">
        <f t="shared" si="1"/>
        <v>135</v>
      </c>
      <c r="E106" s="23"/>
      <c r="F106" s="23">
        <f t="shared" si="4"/>
        <v>-230</v>
      </c>
      <c r="G106" s="23">
        <f t="shared" si="1"/>
        <v>248</v>
      </c>
      <c r="H106" s="48">
        <f t="shared" si="1"/>
        <v>-77.6126563912303</v>
      </c>
      <c r="I106" s="1"/>
      <c r="J106" s="1"/>
      <c r="K106" s="1"/>
      <c r="L106" s="1"/>
    </row>
    <row r="107" ht="15" customHeight="1">
      <c r="A107" s="1"/>
      <c r="B107" s="50" t="s">
        <v>119</v>
      </c>
      <c r="C107" s="24">
        <f t="shared" si="21"/>
        <v>0.10068130204390613</v>
      </c>
      <c r="D107" s="24">
        <f t="shared" si="21"/>
        <v>0.1190140845070422</v>
      </c>
      <c r="E107" s="24">
        <f t="shared" si="21"/>
        <v>0.0623636363636364</v>
      </c>
      <c r="F107" s="24">
        <f t="shared" si="21"/>
        <v>0.014936519790888614</v>
      </c>
      <c r="G107" s="24">
        <f t="shared" si="21"/>
        <v>0.09993155373032159</v>
      </c>
      <c r="H107" s="49">
        <f t="shared" si="21"/>
        <v>0.051848241821712326</v>
      </c>
      <c r="I107" s="1"/>
      <c r="J107" s="1" t="s">
        <v>199</v>
      </c>
      <c r="K107" s="1"/>
      <c r="L107" s="1"/>
    </row>
    <row r="108" ht="15" customHeight="1">
      <c r="A108" s="1"/>
      <c r="B108" s="50" t="s">
        <v>117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57">
        <v>0</v>
      </c>
      <c r="I108" s="1"/>
      <c r="J108" s="1" t="s">
        <v>184</v>
      </c>
      <c r="K108" s="1"/>
      <c r="L108" s="1"/>
    </row>
    <row r="109" ht="15" customHeight="1">
      <c r="A109" s="1"/>
      <c r="B109" s="56" t="s">
        <v>118</v>
      </c>
      <c r="C109" s="34" t="s">
        <v>38</v>
      </c>
      <c r="D109" s="34" t="s">
        <v>38</v>
      </c>
      <c r="E109" s="34" t="s">
        <v>38</v>
      </c>
      <c r="F109" s="34" t="s">
        <v>38</v>
      </c>
      <c r="G109" s="34" t="s">
        <v>38</v>
      </c>
      <c r="H109" s="32" t="s">
        <v>38</v>
      </c>
      <c r="I109" s="1"/>
      <c r="J109" s="1"/>
      <c r="K109" s="1"/>
      <c r="L109" s="1"/>
    </row>
    <row r="110" ht="15" customHeight="1">
      <c r="A110" s="1"/>
      <c r="B110" s="17" t="s">
        <v>138</v>
      </c>
      <c r="C110" s="33">
        <v>1646</v>
      </c>
      <c r="D110" s="22">
        <f>E110-Inputs!D154</f>
        <v>2287</v>
      </c>
      <c r="E110" s="33">
        <v>6982</v>
      </c>
      <c r="F110" s="33">
        <v>1890</v>
      </c>
      <c r="G110" s="33">
        <v>1871</v>
      </c>
      <c r="H110" s="48">
        <f>H65*H121</f>
        <v>1945.1911923912296</v>
      </c>
      <c r="I110" s="1"/>
      <c r="J110" s="1" t="s">
        <v>198</v>
      </c>
      <c r="K110" s="1"/>
      <c r="L110" s="1"/>
    </row>
    <row r="111" ht="15" customHeight="1">
      <c r="A111" s="1"/>
      <c r="B111" s="50" t="s">
        <v>111</v>
      </c>
      <c r="C111" s="42">
        <f>C110/Inputs!C21-1</f>
        <v>0.02426882389545737</v>
      </c>
      <c r="D111" s="42">
        <f>D110/Inputs!E21-1</f>
        <v>0.21778487752928655</v>
      </c>
      <c r="E111" s="42">
        <f>E110/Inputs!F21-1</f>
        <v>0.03222945002956834</v>
      </c>
      <c r="F111" s="42">
        <f>F110/Inputs!G21-1</f>
        <v>0.3179916317991631</v>
      </c>
      <c r="G111" s="42">
        <f>G110/Inputs!H21-1</f>
        <v>0.1585139318885449</v>
      </c>
      <c r="H111" s="49">
        <f t="shared" si="3"/>
        <v>0.181768646653238</v>
      </c>
      <c r="I111" s="1"/>
      <c r="J111" s="1"/>
      <c r="K111" s="1"/>
      <c r="L111" s="1"/>
    </row>
    <row r="112" ht="15" customHeight="1">
      <c r="A112" s="1"/>
      <c r="B112" s="56" t="s">
        <v>144</v>
      </c>
      <c r="C112" s="22">
        <f>C110-Inputs!H21</f>
        <v>31</v>
      </c>
      <c r="D112" s="23">
        <f t="shared" si="1"/>
        <v>641</v>
      </c>
      <c r="E112" s="23"/>
      <c r="F112" s="23">
        <f t="shared" si="4"/>
        <v>-397</v>
      </c>
      <c r="G112" s="23">
        <f t="shared" si="1"/>
        <v>-19</v>
      </c>
      <c r="H112" s="48">
        <f t="shared" si="1"/>
        <v>74.1911923912296</v>
      </c>
      <c r="I112" s="1"/>
      <c r="J112" s="1"/>
      <c r="K112" s="1"/>
      <c r="L112" s="1"/>
    </row>
    <row r="113" ht="15" customHeight="1">
      <c r="A113" s="1"/>
      <c r="B113" s="50" t="s">
        <v>119</v>
      </c>
      <c r="C113" s="24">
        <f t="shared" si="21"/>
        <v>0.02426882389545737</v>
      </c>
      <c r="D113" s="24">
        <f t="shared" si="21"/>
        <v>0.21778487752928655</v>
      </c>
      <c r="E113" s="24">
        <f t="shared" si="21"/>
        <v>0.03222945002956834</v>
      </c>
      <c r="F113" s="24">
        <f t="shared" si="21"/>
        <v>0.3179916317991631</v>
      </c>
      <c r="G113" s="24">
        <f t="shared" si="21"/>
        <v>0.1585139318885449</v>
      </c>
      <c r="H113" s="49">
        <f t="shared" si="21"/>
        <v>0.181768646653238</v>
      </c>
      <c r="I113" s="1"/>
      <c r="J113" s="1" t="s">
        <v>200</v>
      </c>
      <c r="K113" s="1"/>
      <c r="L113" s="1"/>
    </row>
    <row r="114" ht="15" customHeight="1">
      <c r="A114" s="1"/>
      <c r="B114" s="50" t="s">
        <v>117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57">
        <v>0</v>
      </c>
      <c r="I114" s="1"/>
      <c r="J114" s="1" t="s">
        <v>184</v>
      </c>
      <c r="K114" s="1"/>
      <c r="L114" s="1"/>
    </row>
    <row r="115" ht="15" customHeight="1">
      <c r="A115" s="1"/>
      <c r="B115" s="56" t="s">
        <v>118</v>
      </c>
      <c r="C115" s="34" t="s">
        <v>38</v>
      </c>
      <c r="D115" s="34" t="s">
        <v>38</v>
      </c>
      <c r="E115" s="34" t="s">
        <v>38</v>
      </c>
      <c r="F115" s="34" t="s">
        <v>38</v>
      </c>
      <c r="G115" s="34" t="s">
        <v>38</v>
      </c>
      <c r="H115" s="32" t="s">
        <v>38</v>
      </c>
      <c r="I115" s="1"/>
      <c r="J115" s="1"/>
      <c r="K115" s="1"/>
      <c r="L115" s="1"/>
    </row>
    <row r="116" ht="15" customHeight="1">
      <c r="A116" s="1"/>
      <c r="B116" s="4" t="s">
        <v>192</v>
      </c>
      <c r="C116" s="46">
        <f t="shared" si="29" ref="C116:H116">C104+C110</f>
        <v>3100</v>
      </c>
      <c r="D116" s="46">
        <f t="shared" si="29"/>
        <v>3876</v>
      </c>
      <c r="E116" s="46">
        <f t="shared" si="29"/>
        <v>12825</v>
      </c>
      <c r="F116" s="46">
        <f t="shared" si="29"/>
        <v>3249</v>
      </c>
      <c r="G116" s="46">
        <f t="shared" si="29"/>
        <v>3478</v>
      </c>
      <c r="H116" s="47">
        <f t="shared" si="29"/>
        <v>3474.578535999999</v>
      </c>
      <c r="I116" s="1"/>
      <c r="J116" s="1"/>
      <c r="K116" s="1"/>
      <c r="L116" s="1"/>
    </row>
    <row r="117" ht="15" customHeight="1">
      <c r="A117" s="1"/>
      <c r="B117" s="17" t="s">
        <v>193</v>
      </c>
      <c r="C117" s="23">
        <f t="shared" si="30" ref="C117:H117">C116-C65</f>
        <v>0</v>
      </c>
      <c r="D117" s="23">
        <f t="shared" si="30"/>
        <v>0</v>
      </c>
      <c r="E117" s="23">
        <f t="shared" si="30"/>
        <v>0</v>
      </c>
      <c r="F117" s="23">
        <f t="shared" si="30"/>
        <v>0</v>
      </c>
      <c r="G117" s="23">
        <f t="shared" si="30"/>
        <v>0</v>
      </c>
      <c r="H117" s="48">
        <f t="shared" si="30"/>
        <v>0</v>
      </c>
      <c r="I117" s="1"/>
      <c r="J117" s="1"/>
      <c r="K117" s="1"/>
      <c r="L117" s="1"/>
    </row>
    <row r="118" ht="15" customHeight="1">
      <c r="A118" s="1"/>
      <c r="B118" s="35" t="s">
        <v>201</v>
      </c>
      <c r="C118" s="24">
        <f t="shared" si="31" ref="C118:G118">C104/C65</f>
        <v>0.46903225806451615</v>
      </c>
      <c r="D118" s="24">
        <f t="shared" si="31"/>
        <v>0.40995872033023734</v>
      </c>
      <c r="E118" s="24">
        <f t="shared" si="31"/>
        <v>0.4555945419103314</v>
      </c>
      <c r="F118" s="24">
        <f t="shared" si="31"/>
        <v>0.4182825484764543</v>
      </c>
      <c r="G118" s="24">
        <f t="shared" si="31"/>
        <v>0.46204715353651526</v>
      </c>
      <c r="H118" s="49">
        <f t="shared" si="28"/>
        <v>0.4401648510064848</v>
      </c>
      <c r="I118" s="1"/>
      <c r="J118" s="1"/>
      <c r="K118" s="1"/>
      <c r="L118" s="1"/>
    </row>
    <row r="119" ht="15" customHeight="1">
      <c r="A119" s="1"/>
      <c r="B119" s="50" t="s">
        <v>114</v>
      </c>
      <c r="C119" s="52">
        <f>(C118-(Inputs!C20/(Inputs!C13-Inputs!C15)))*10000</f>
        <v>178.71055878723786</v>
      </c>
      <c r="D119" s="52">
        <f>(D118-(Inputs!E20/(Inputs!E13-Inputs!E15)))*10000</f>
        <v>-206.05257838349712</v>
      </c>
      <c r="E119" s="52">
        <f>(E118-(Inputs!F20/(Inputs!F13-Inputs!F15)))*10000</f>
        <v>71.2748385423223</v>
      </c>
      <c r="F119" s="52">
        <f>(F118-(Inputs!G20/(Inputs!G13-Inputs!G15)))*10000</f>
        <v>-645.879888477433</v>
      </c>
      <c r="G119" s="52">
        <f>(G118-(Inputs!H20/(Inputs!H13-Inputs!H15)))*10000</f>
        <v>-129.20336710558865</v>
      </c>
      <c r="H119" s="53">
        <f t="shared" si="20"/>
        <v>-288.6740705803137</v>
      </c>
      <c r="I119" s="1"/>
      <c r="J119" s="1"/>
      <c r="K119" s="1"/>
      <c r="L119" s="1"/>
    </row>
    <row r="120" ht="15" customHeight="1">
      <c r="A120" s="1"/>
      <c r="B120" s="50" t="s">
        <v>115</v>
      </c>
      <c r="C120" s="52">
        <f>(C118-(Inputs!H20/(Inputs!H13-Inputs!H15)))*10000</f>
        <v>-59.352321825579814</v>
      </c>
      <c r="D120" s="54">
        <f t="shared" si="12"/>
        <v>-590.7353773427882</v>
      </c>
      <c r="E120" s="54"/>
      <c r="F120" s="54">
        <f t="shared" si="14"/>
        <v>83.23828146216961</v>
      </c>
      <c r="G120" s="54">
        <f t="shared" si="12"/>
        <v>437.64605060060967</v>
      </c>
      <c r="H120" s="53">
        <f t="shared" si="12"/>
        <v>-218.82302530030483</v>
      </c>
      <c r="I120" s="1"/>
      <c r="J120" s="1"/>
      <c r="K120" s="1"/>
      <c r="L120" s="1"/>
    </row>
    <row r="121" ht="15" customHeight="1">
      <c r="A121" s="1"/>
      <c r="B121" s="35" t="s">
        <v>202</v>
      </c>
      <c r="C121" s="24">
        <f t="shared" si="32" ref="C121:G121">C110/C65</f>
        <v>0.5309677419354839</v>
      </c>
      <c r="D121" s="24">
        <f t="shared" si="32"/>
        <v>0.5900412796697626</v>
      </c>
      <c r="E121" s="24">
        <f t="shared" si="32"/>
        <v>0.5444054580896687</v>
      </c>
      <c r="F121" s="24">
        <f t="shared" si="32"/>
        <v>0.5817174515235457</v>
      </c>
      <c r="G121" s="24">
        <f t="shared" si="32"/>
        <v>0.5379528464634847</v>
      </c>
      <c r="H121" s="49">
        <f>1-H118</f>
        <v>0.5598351489935152</v>
      </c>
      <c r="I121" s="1"/>
      <c r="J121" s="1"/>
      <c r="K121" s="1"/>
      <c r="L121" s="1"/>
    </row>
    <row r="122" ht="15" customHeight="1">
      <c r="A122" s="1"/>
      <c r="B122" s="50" t="s">
        <v>114</v>
      </c>
      <c r="C122" s="52">
        <f>(C121-(Inputs!C21/(Inputs!C13-Inputs!C15)))*10000</f>
        <v>-178.7105587872373</v>
      </c>
      <c r="D122" s="52">
        <f>(D121-(Inputs!E21/(Inputs!E13-Inputs!E15)))*10000</f>
        <v>206.05257838349655</v>
      </c>
      <c r="E122" s="52">
        <f>(E121-(Inputs!F21/(Inputs!F13-Inputs!F15)))*10000</f>
        <v>-71.2748385423223</v>
      </c>
      <c r="F122" s="52">
        <f>(F121-(Inputs!G21/(Inputs!G13-Inputs!G15)))*10000</f>
        <v>645.879888477433</v>
      </c>
      <c r="G122" s="52">
        <f>(G121-(Inputs!H21/(Inputs!H13-Inputs!H15)))*10000</f>
        <v>129.20336710558811</v>
      </c>
      <c r="H122" s="53">
        <f t="shared" si="20"/>
        <v>288.67407058031256</v>
      </c>
      <c r="I122" s="1"/>
      <c r="J122" s="1"/>
      <c r="K122" s="1"/>
      <c r="L122" s="1"/>
    </row>
    <row r="123" ht="15" customHeight="1">
      <c r="A123" s="1"/>
      <c r="B123" s="50" t="s">
        <v>115</v>
      </c>
      <c r="C123" s="52">
        <f>(C121-(Inputs!H21/(Inputs!H13-Inputs!H15)))*10000</f>
        <v>59.352321825579814</v>
      </c>
      <c r="D123" s="54">
        <f t="shared" si="12"/>
        <v>590.735377342787</v>
      </c>
      <c r="E123" s="54"/>
      <c r="F123" s="54">
        <f t="shared" si="14"/>
        <v>-83.23828146216906</v>
      </c>
      <c r="G123" s="54">
        <f t="shared" si="12"/>
        <v>-437.64605060060967</v>
      </c>
      <c r="H123" s="53">
        <f t="shared" si="12"/>
        <v>218.8230253003043</v>
      </c>
      <c r="I123" s="1"/>
      <c r="J123" s="1"/>
      <c r="K123" s="1"/>
      <c r="L123" s="1"/>
    </row>
    <row r="124" ht="15" customHeight="1">
      <c r="A124" s="1"/>
      <c r="B124" s="1"/>
      <c r="C124" s="1"/>
      <c r="D124" s="1"/>
      <c r="E124" s="1"/>
      <c r="F124" s="1"/>
      <c r="G124" s="1"/>
      <c r="H124" s="45"/>
      <c r="I124" s="1"/>
      <c r="J124" s="1"/>
      <c r="K124" s="1"/>
      <c r="L124" s="1"/>
    </row>
    <row r="125" ht="15" customHeight="1">
      <c r="A125" s="1"/>
      <c r="B125" s="4" t="s">
        <v>203</v>
      </c>
      <c r="C125" s="34"/>
      <c r="D125" s="34"/>
      <c r="E125" s="34"/>
      <c r="F125" s="34"/>
      <c r="G125" s="34"/>
      <c r="H125" s="32"/>
      <c r="I125" s="1"/>
      <c r="J125" s="1"/>
      <c r="K125" s="1"/>
      <c r="L125" s="1"/>
    </row>
    <row r="126" ht="15" customHeight="1">
      <c r="A126" s="1"/>
      <c r="B126" s="17" t="s">
        <v>204</v>
      </c>
      <c r="C126" s="33">
        <v>2536</v>
      </c>
      <c r="D126" s="22">
        <f>E126-Inputs!D155</f>
        <v>3137</v>
      </c>
      <c r="E126" s="33">
        <v>10500</v>
      </c>
      <c r="F126" s="33">
        <v>2709</v>
      </c>
      <c r="G126" s="33">
        <v>2826</v>
      </c>
      <c r="H126" s="48">
        <f>H65*H152</f>
        <v>2860.1530980401953</v>
      </c>
      <c r="I126" s="1"/>
      <c r="J126" s="1" t="s">
        <v>205</v>
      </c>
      <c r="K126" s="1"/>
      <c r="L126" s="1"/>
    </row>
    <row r="127" ht="15" customHeight="1">
      <c r="A127" s="1"/>
      <c r="B127" s="50" t="s">
        <v>111</v>
      </c>
      <c r="C127" s="42">
        <f>C126/Inputs!C22-1</f>
        <v>0.03173311635476006</v>
      </c>
      <c r="D127" s="42">
        <f>D126/Inputs!E22-1</f>
        <v>0.14950531330157557</v>
      </c>
      <c r="E127" s="42">
        <f>E126/Inputs!F22-1</f>
        <v>0.010976314269208531</v>
      </c>
      <c r="F127" s="42">
        <f>F126/Inputs!G22-1</f>
        <v>0.18039215686274512</v>
      </c>
      <c r="G127" s="42">
        <f>G126/Inputs!H22-1</f>
        <v>0.1161137440758293</v>
      </c>
      <c r="H127" s="49">
        <f t="shared" si="3"/>
        <v>0.12782062225559754</v>
      </c>
      <c r="I127" s="1"/>
      <c r="J127" s="1"/>
      <c r="K127" s="1"/>
      <c r="L127" s="1"/>
    </row>
    <row r="128" ht="15" customHeight="1">
      <c r="A128" s="1"/>
      <c r="B128" s="56" t="s">
        <v>144</v>
      </c>
      <c r="C128" s="22">
        <f>C126-Inputs!H22</f>
        <v>4</v>
      </c>
      <c r="D128" s="23">
        <f t="shared" si="1"/>
        <v>601</v>
      </c>
      <c r="E128" s="23"/>
      <c r="F128" s="23">
        <f t="shared" si="4"/>
        <v>-428</v>
      </c>
      <c r="G128" s="23">
        <f t="shared" si="1"/>
        <v>117</v>
      </c>
      <c r="H128" s="48">
        <f t="shared" si="1"/>
        <v>34.153098040195346</v>
      </c>
      <c r="I128" s="1"/>
      <c r="J128" s="1"/>
      <c r="K128" s="1"/>
      <c r="L128" s="1"/>
    </row>
    <row r="129" ht="15" customHeight="1">
      <c r="A129" s="1"/>
      <c r="B129" s="50" t="s">
        <v>119</v>
      </c>
      <c r="C129" s="24">
        <f t="shared" si="21"/>
        <v>0.03173311635476006</v>
      </c>
      <c r="D129" s="24">
        <f t="shared" si="21"/>
        <v>0.14950531330157557</v>
      </c>
      <c r="E129" s="24">
        <f t="shared" si="21"/>
        <v>0.010976314269208531</v>
      </c>
      <c r="F129" s="24">
        <f t="shared" si="21"/>
        <v>0.18039215686274512</v>
      </c>
      <c r="G129" s="24">
        <f t="shared" si="21"/>
        <v>0.1161137440758293</v>
      </c>
      <c r="H129" s="49">
        <f t="shared" si="21"/>
        <v>0.12782062225559754</v>
      </c>
      <c r="I129" s="1"/>
      <c r="J129" s="1" t="s">
        <v>206</v>
      </c>
      <c r="K129" s="1"/>
      <c r="L129" s="1"/>
    </row>
    <row r="130" ht="15" customHeight="1">
      <c r="A130" s="1"/>
      <c r="B130" s="50" t="s">
        <v>117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57">
        <v>0</v>
      </c>
      <c r="I130" s="1"/>
      <c r="J130" s="1" t="s">
        <v>184</v>
      </c>
      <c r="K130" s="1"/>
      <c r="L130" s="1"/>
    </row>
    <row r="131" ht="15" customHeight="1">
      <c r="A131" s="1"/>
      <c r="B131" s="56" t="s">
        <v>118</v>
      </c>
      <c r="C131" s="34" t="s">
        <v>38</v>
      </c>
      <c r="D131" s="34" t="s">
        <v>38</v>
      </c>
      <c r="E131" s="34" t="s">
        <v>38</v>
      </c>
      <c r="F131" s="34" t="s">
        <v>38</v>
      </c>
      <c r="G131" s="34" t="s">
        <v>38</v>
      </c>
      <c r="H131" s="32" t="s">
        <v>38</v>
      </c>
      <c r="I131" s="1"/>
      <c r="J131" s="1"/>
      <c r="K131" s="1"/>
      <c r="L131" s="1"/>
    </row>
    <row r="132" ht="15" customHeight="1">
      <c r="A132" s="1"/>
      <c r="B132" s="17" t="s">
        <v>207</v>
      </c>
      <c r="C132" s="33">
        <v>221</v>
      </c>
      <c r="D132" s="22">
        <f>E132-Inputs!D156</f>
        <v>273</v>
      </c>
      <c r="E132" s="33">
        <v>920</v>
      </c>
      <c r="F132" s="33">
        <v>229</v>
      </c>
      <c r="G132" s="33">
        <v>263</v>
      </c>
      <c r="H132" s="48">
        <f>H65*H155</f>
        <v>253.82038899705958</v>
      </c>
      <c r="I132" s="1"/>
      <c r="J132" s="1" t="s">
        <v>205</v>
      </c>
      <c r="K132" s="1"/>
      <c r="L132" s="1"/>
    </row>
    <row r="133" ht="15" customHeight="1">
      <c r="A133" s="1"/>
      <c r="B133" s="50" t="s">
        <v>111</v>
      </c>
      <c r="C133" s="42">
        <f>C132/Inputs!C23-1</f>
        <v>0.10499999999999998</v>
      </c>
      <c r="D133" s="42">
        <f>D132/Inputs!E23-1</f>
        <v>0.30000000000000004</v>
      </c>
      <c r="E133" s="42">
        <f>E132/Inputs!F23-1</f>
        <v>0.23655913978494625</v>
      </c>
      <c r="F133" s="42">
        <f>F132/Inputs!G23-1</f>
        <v>0.14500000000000002</v>
      </c>
      <c r="G133" s="42">
        <f>G132/Inputs!H23-1</f>
        <v>0.16371681415929196</v>
      </c>
      <c r="H133" s="49">
        <f t="shared" si="3"/>
        <v>0.14850854749800724</v>
      </c>
      <c r="I133" s="1"/>
      <c r="J133" s="1"/>
      <c r="K133" s="1"/>
      <c r="L133" s="1"/>
    </row>
    <row r="134" ht="15" customHeight="1">
      <c r="A134" s="1"/>
      <c r="B134" s="56" t="s">
        <v>144</v>
      </c>
      <c r="C134" s="22">
        <f>C132-Inputs!H23</f>
        <v>-5</v>
      </c>
      <c r="D134" s="23">
        <f t="shared" si="1"/>
        <v>52</v>
      </c>
      <c r="E134" s="23"/>
      <c r="F134" s="23">
        <f t="shared" si="4"/>
        <v>-44</v>
      </c>
      <c r="G134" s="23">
        <f t="shared" si="1"/>
        <v>34</v>
      </c>
      <c r="H134" s="48">
        <f t="shared" si="1"/>
        <v>-9.179611002940419</v>
      </c>
      <c r="I134" s="1"/>
      <c r="J134" s="1"/>
      <c r="K134" s="1"/>
      <c r="L134" s="1"/>
    </row>
    <row r="135" ht="15" customHeight="1">
      <c r="A135" s="1"/>
      <c r="B135" s="50" t="s">
        <v>119</v>
      </c>
      <c r="C135" s="24">
        <f t="shared" si="21"/>
        <v>0.10499999999999998</v>
      </c>
      <c r="D135" s="24">
        <f t="shared" si="21"/>
        <v>0.30000000000000004</v>
      </c>
      <c r="E135" s="24">
        <f t="shared" si="21"/>
        <v>0.23655913978494625</v>
      </c>
      <c r="F135" s="24">
        <f t="shared" si="21"/>
        <v>0.14500000000000002</v>
      </c>
      <c r="G135" s="24">
        <f t="shared" si="21"/>
        <v>0.16371681415929196</v>
      </c>
      <c r="H135" s="49">
        <f t="shared" si="21"/>
        <v>0.14850854749800724</v>
      </c>
      <c r="I135" s="1"/>
      <c r="J135" s="1" t="s">
        <v>208</v>
      </c>
      <c r="K135" s="1"/>
      <c r="L135" s="1"/>
    </row>
    <row r="136" ht="15" customHeight="1">
      <c r="A136" s="1"/>
      <c r="B136" s="50" t="s">
        <v>117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57">
        <v>0</v>
      </c>
      <c r="I136" s="1"/>
      <c r="J136" s="1" t="s">
        <v>184</v>
      </c>
      <c r="K136" s="1"/>
      <c r="L136" s="1"/>
    </row>
    <row r="137" ht="15" customHeight="1">
      <c r="A137" s="1"/>
      <c r="B137" s="56" t="s">
        <v>118</v>
      </c>
      <c r="C137" s="34" t="s">
        <v>38</v>
      </c>
      <c r="D137" s="34" t="s">
        <v>38</v>
      </c>
      <c r="E137" s="34" t="s">
        <v>38</v>
      </c>
      <c r="F137" s="34" t="s">
        <v>38</v>
      </c>
      <c r="G137" s="34" t="s">
        <v>38</v>
      </c>
      <c r="H137" s="32" t="s">
        <v>38</v>
      </c>
      <c r="I137" s="1"/>
      <c r="J137" s="1"/>
      <c r="K137" s="1"/>
      <c r="L137" s="1"/>
    </row>
    <row r="138" ht="15" customHeight="1">
      <c r="A138" s="1"/>
      <c r="B138" s="17" t="s">
        <v>209</v>
      </c>
      <c r="C138" s="33">
        <v>321</v>
      </c>
      <c r="D138" s="22">
        <f>E138-Inputs!D157</f>
        <v>429</v>
      </c>
      <c r="E138" s="33">
        <v>1320</v>
      </c>
      <c r="F138" s="33">
        <v>289</v>
      </c>
      <c r="G138" s="33">
        <v>369</v>
      </c>
      <c r="H138" s="48">
        <f>H65*H158</f>
        <v>338.85115483183694</v>
      </c>
      <c r="I138" s="1"/>
      <c r="J138" s="1" t="s">
        <v>205</v>
      </c>
      <c r="K138" s="1"/>
      <c r="L138" s="1"/>
    </row>
    <row r="139" ht="15" customHeight="1">
      <c r="A139" s="1"/>
      <c r="B139" s="50" t="s">
        <v>111</v>
      </c>
      <c r="C139" s="42">
        <f>C138/Inputs!C24-1</f>
        <v>0.23938223938223935</v>
      </c>
      <c r="D139" s="42">
        <f>D138/Inputs!E24-1</f>
        <v>0.23275862068965525</v>
      </c>
      <c r="E139" s="42">
        <f>E138/Inputs!F24-1</f>
        <v>0.20328167730173208</v>
      </c>
      <c r="F139" s="42">
        <f>F138/Inputs!G24-1</f>
        <v>0.07434944237918217</v>
      </c>
      <c r="G139" s="42">
        <f>G138/Inputs!H24-1</f>
        <v>0.2259136212624584</v>
      </c>
      <c r="H139" s="49">
        <f t="shared" si="3"/>
        <v>0.05561107424248268</v>
      </c>
      <c r="I139" s="1"/>
      <c r="J139" s="1"/>
      <c r="K139" s="1"/>
      <c r="L139" s="1"/>
    </row>
    <row r="140" ht="15" customHeight="1">
      <c r="A140" s="1"/>
      <c r="B140" s="56" t="s">
        <v>144</v>
      </c>
      <c r="C140" s="22">
        <f>C138-Inputs!H24</f>
        <v>20</v>
      </c>
      <c r="D140" s="23">
        <f t="shared" si="1"/>
        <v>108</v>
      </c>
      <c r="E140" s="23"/>
      <c r="F140" s="23">
        <f t="shared" si="4"/>
        <v>-140</v>
      </c>
      <c r="G140" s="23">
        <f t="shared" si="1"/>
        <v>80</v>
      </c>
      <c r="H140" s="48">
        <f t="shared" si="1"/>
        <v>-30.148845168163064</v>
      </c>
      <c r="I140" s="1"/>
      <c r="J140" s="1"/>
      <c r="K140" s="1"/>
      <c r="L140" s="1"/>
    </row>
    <row r="141" ht="15" customHeight="1">
      <c r="A141" s="1"/>
      <c r="B141" s="50" t="s">
        <v>119</v>
      </c>
      <c r="C141" s="24">
        <f t="shared" si="21"/>
        <v>0.23938223938223935</v>
      </c>
      <c r="D141" s="24">
        <f t="shared" si="21"/>
        <v>0.23275862068965525</v>
      </c>
      <c r="E141" s="24">
        <f t="shared" si="21"/>
        <v>0.20328167730173208</v>
      </c>
      <c r="F141" s="24">
        <f t="shared" si="21"/>
        <v>0.07434944237918217</v>
      </c>
      <c r="G141" s="24">
        <f t="shared" si="21"/>
        <v>0.2259136212624584</v>
      </c>
      <c r="H141" s="49">
        <f t="shared" si="21"/>
        <v>0.05561107424248268</v>
      </c>
      <c r="I141" s="1"/>
      <c r="J141" s="1" t="s">
        <v>210</v>
      </c>
      <c r="K141" s="1"/>
      <c r="L141" s="1"/>
    </row>
    <row r="142" ht="15" customHeight="1">
      <c r="A142" s="1"/>
      <c r="B142" s="50" t="s">
        <v>117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57">
        <v>0</v>
      </c>
      <c r="I142" s="1"/>
      <c r="J142" s="1" t="s">
        <v>184</v>
      </c>
      <c r="K142" s="1"/>
      <c r="L142" s="1"/>
    </row>
    <row r="143" ht="15" customHeight="1">
      <c r="A143" s="1"/>
      <c r="B143" s="56" t="s">
        <v>118</v>
      </c>
      <c r="C143" s="34" t="s">
        <v>38</v>
      </c>
      <c r="D143" s="34" t="s">
        <v>38</v>
      </c>
      <c r="E143" s="34" t="s">
        <v>38</v>
      </c>
      <c r="F143" s="34" t="s">
        <v>38</v>
      </c>
      <c r="G143" s="34" t="s">
        <v>38</v>
      </c>
      <c r="H143" s="32" t="s">
        <v>38</v>
      </c>
      <c r="I143" s="1"/>
      <c r="J143" s="1"/>
      <c r="K143" s="1"/>
      <c r="L143" s="1"/>
    </row>
    <row r="144" ht="15" customHeight="1">
      <c r="A144" s="1"/>
      <c r="B144" s="17" t="s">
        <v>211</v>
      </c>
      <c r="C144" s="33">
        <v>22</v>
      </c>
      <c r="D144" s="22">
        <f>E144-Inputs!D158</f>
        <v>37</v>
      </c>
      <c r="E144" s="33">
        <v>85</v>
      </c>
      <c r="F144" s="33">
        <v>22</v>
      </c>
      <c r="G144" s="33">
        <v>20</v>
      </c>
      <c r="H144" s="48">
        <f>H65*H161</f>
        <v>21.753894130907707</v>
      </c>
      <c r="I144" s="1"/>
      <c r="J144" s="1" t="s">
        <v>205</v>
      </c>
      <c r="K144" s="1"/>
      <c r="L144" s="1"/>
    </row>
    <row r="145" ht="15" customHeight="1">
      <c r="A145" s="1"/>
      <c r="B145" s="50" t="s">
        <v>111</v>
      </c>
      <c r="C145" s="42">
        <f>C144/Inputs!C25-1</f>
        <v>1</v>
      </c>
      <c r="D145" s="42">
        <f>D144/Inputs!E25-1</f>
        <v>2.3636363636363638</v>
      </c>
      <c r="E145" s="42">
        <f>E144/Inputs!F25-1</f>
        <v>1.2972972972972974</v>
      </c>
      <c r="F145" s="42">
        <f>F144/Inputs!G25-1</f>
        <v>1.4444444444444446</v>
      </c>
      <c r="G145" s="42">
        <f>G144/Inputs!H25-1</f>
        <v>0.17647058823529416</v>
      </c>
      <c r="H145" s="49">
        <f t="shared" si="3"/>
        <v>-0.011186630413286047</v>
      </c>
      <c r="I145" s="1"/>
      <c r="J145" s="1"/>
      <c r="K145" s="1"/>
      <c r="L145" s="1"/>
    </row>
    <row r="146" ht="15" customHeight="1">
      <c r="A146" s="1"/>
      <c r="B146" s="56" t="s">
        <v>144</v>
      </c>
      <c r="C146" s="22">
        <f>C144-Inputs!H25</f>
        <v>5</v>
      </c>
      <c r="D146" s="23">
        <f t="shared" si="1"/>
        <v>15</v>
      </c>
      <c r="E146" s="23"/>
      <c r="F146" s="23">
        <f t="shared" si="4"/>
        <v>-15</v>
      </c>
      <c r="G146" s="23">
        <f t="shared" si="1"/>
        <v>-2</v>
      </c>
      <c r="H146" s="48">
        <f t="shared" si="1"/>
        <v>1.7538941309077067</v>
      </c>
      <c r="I146" s="1"/>
      <c r="J146" s="1"/>
      <c r="K146" s="1"/>
      <c r="L146" s="1"/>
    </row>
    <row r="147" ht="15" customHeight="1">
      <c r="A147" s="1"/>
      <c r="B147" s="50" t="s">
        <v>119</v>
      </c>
      <c r="C147" s="24">
        <f t="shared" si="21"/>
        <v>1</v>
      </c>
      <c r="D147" s="24">
        <f t="shared" si="21"/>
        <v>2.3636363636363638</v>
      </c>
      <c r="E147" s="24">
        <f t="shared" si="21"/>
        <v>1.2972972972972974</v>
      </c>
      <c r="F147" s="24">
        <f t="shared" si="21"/>
        <v>1.4444444444444446</v>
      </c>
      <c r="G147" s="24">
        <f t="shared" si="21"/>
        <v>0.17647058823529416</v>
      </c>
      <c r="H147" s="49">
        <f t="shared" si="21"/>
        <v>-0.011186630413286047</v>
      </c>
      <c r="I147" s="1"/>
      <c r="J147" s="1" t="s">
        <v>212</v>
      </c>
      <c r="K147" s="1"/>
      <c r="L147" s="1"/>
    </row>
    <row r="148" ht="15" customHeight="1">
      <c r="A148" s="1"/>
      <c r="B148" s="50" t="s">
        <v>117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57">
        <v>0</v>
      </c>
      <c r="I148" s="1"/>
      <c r="J148" s="1" t="s">
        <v>184</v>
      </c>
      <c r="K148" s="1"/>
      <c r="L148" s="1"/>
    </row>
    <row r="149" ht="15" customHeight="1">
      <c r="A149" s="1"/>
      <c r="B149" s="56" t="s">
        <v>118</v>
      </c>
      <c r="C149" s="34" t="s">
        <v>38</v>
      </c>
      <c r="D149" s="34" t="s">
        <v>38</v>
      </c>
      <c r="E149" s="34" t="s">
        <v>38</v>
      </c>
      <c r="F149" s="34" t="s">
        <v>38</v>
      </c>
      <c r="G149" s="34" t="s">
        <v>38</v>
      </c>
      <c r="H149" s="32" t="s">
        <v>38</v>
      </c>
      <c r="I149" s="1"/>
      <c r="J149" s="1"/>
      <c r="K149" s="1"/>
      <c r="L149" s="1"/>
    </row>
    <row r="150" ht="15" customHeight="1">
      <c r="A150" s="1"/>
      <c r="B150" s="4" t="s">
        <v>192</v>
      </c>
      <c r="C150" s="46">
        <f t="shared" si="33" ref="C150:H150">C126+C132+C138+C144</f>
        <v>3100</v>
      </c>
      <c r="D150" s="46">
        <f t="shared" si="33"/>
        <v>3876</v>
      </c>
      <c r="E150" s="46">
        <f t="shared" si="33"/>
        <v>12825</v>
      </c>
      <c r="F150" s="46">
        <f t="shared" si="33"/>
        <v>3249</v>
      </c>
      <c r="G150" s="46">
        <f t="shared" si="33"/>
        <v>3478</v>
      </c>
      <c r="H150" s="47">
        <f t="shared" si="33"/>
        <v>3474.5785359999995</v>
      </c>
      <c r="I150" s="1"/>
      <c r="J150" s="1"/>
      <c r="K150" s="1"/>
      <c r="L150" s="1"/>
    </row>
    <row r="151" ht="15" customHeight="1">
      <c r="A151" s="1"/>
      <c r="B151" s="17" t="s">
        <v>193</v>
      </c>
      <c r="C151" s="23">
        <f t="shared" si="34" ref="C151:H151">C150-C65</f>
        <v>0</v>
      </c>
      <c r="D151" s="23">
        <f t="shared" si="34"/>
        <v>0</v>
      </c>
      <c r="E151" s="23">
        <f t="shared" si="34"/>
        <v>0</v>
      </c>
      <c r="F151" s="23">
        <f t="shared" si="34"/>
        <v>0</v>
      </c>
      <c r="G151" s="23">
        <f t="shared" si="34"/>
        <v>0</v>
      </c>
      <c r="H151" s="48">
        <f t="shared" si="34"/>
        <v>0</v>
      </c>
      <c r="I151" s="1"/>
      <c r="J151" s="1"/>
      <c r="K151" s="1"/>
      <c r="L151" s="1"/>
    </row>
    <row r="152" ht="15" customHeight="1">
      <c r="A152" s="1"/>
      <c r="B152" s="35" t="s">
        <v>213</v>
      </c>
      <c r="C152" s="24">
        <f t="shared" si="35" ref="C152:G152">C126/C65</f>
        <v>0.8180645161290323</v>
      </c>
      <c r="D152" s="24">
        <f t="shared" si="35"/>
        <v>0.8093395252837977</v>
      </c>
      <c r="E152" s="24">
        <f t="shared" si="35"/>
        <v>0.8187134502923976</v>
      </c>
      <c r="F152" s="24">
        <f t="shared" si="35"/>
        <v>0.8337950138504155</v>
      </c>
      <c r="G152" s="24">
        <f t="shared" si="35"/>
        <v>0.8125359401955147</v>
      </c>
      <c r="H152" s="49">
        <f>1-H155-H158-H161</f>
        <v>0.823165477022965</v>
      </c>
      <c r="I152" s="1"/>
      <c r="J152" s="1"/>
      <c r="K152" s="1"/>
      <c r="L152" s="1"/>
    </row>
    <row r="153" ht="15" customHeight="1">
      <c r="A153" s="1"/>
      <c r="B153" s="50" t="s">
        <v>114</v>
      </c>
      <c r="C153" s="52">
        <f>(C152-(Inputs!C22/(Inputs!C13-Inputs!C15)))*10000</f>
        <v>-214.16358187907548</v>
      </c>
      <c r="D153" s="52">
        <f>(D152-(Inputs!E22/(Inputs!E13-Inputs!E15)))*10000</f>
        <v>-181.3166937963462</v>
      </c>
      <c r="E153" s="52">
        <f>(E152-(Inputs!F22/(Inputs!F13-Inputs!F15)))*10000</f>
        <v>-281.55434247719825</v>
      </c>
      <c r="F153" s="52">
        <f>(F152-(Inputs!G22/(Inputs!G13-Inputs!G15)))*10000</f>
        <v>61.71501409016344</v>
      </c>
      <c r="G153" s="52">
        <f>(G152-(Inputs!H22/(Inputs!H13-Inputs!H15)))*10000</f>
        <v>-106.11003887710302</v>
      </c>
      <c r="H153" s="53">
        <f t="shared" si="20"/>
        <v>51.00960893932749</v>
      </c>
      <c r="I153" s="1"/>
      <c r="J153" s="1"/>
      <c r="K153" s="1"/>
      <c r="L153" s="1"/>
    </row>
    <row r="154" ht="15" customHeight="1">
      <c r="A154" s="1"/>
      <c r="B154" s="50" t="s">
        <v>115</v>
      </c>
      <c r="C154" s="52">
        <f>(C152-(Inputs!H22/(Inputs!H13-Inputs!H15)))*10000</f>
        <v>-50.8242795419267</v>
      </c>
      <c r="D154" s="54">
        <f t="shared" si="12"/>
        <v>-87.24990845234592</v>
      </c>
      <c r="E154" s="54"/>
      <c r="F154" s="54">
        <f t="shared" si="14"/>
        <v>244.55488566617834</v>
      </c>
      <c r="G154" s="54">
        <f t="shared" si="12"/>
        <v>-212.59073654900874</v>
      </c>
      <c r="H154" s="53">
        <f t="shared" si="12"/>
        <v>106.29536827450382</v>
      </c>
      <c r="I154" s="1"/>
      <c r="J154" s="1"/>
      <c r="K154" s="1"/>
      <c r="L154" s="1"/>
    </row>
    <row r="155" ht="15" customHeight="1">
      <c r="A155" s="1"/>
      <c r="B155" s="35" t="s">
        <v>214</v>
      </c>
      <c r="C155" s="24">
        <f t="shared" si="36" ref="C155:G155">C132/C65</f>
        <v>0.07129032258064516</v>
      </c>
      <c r="D155" s="24">
        <f t="shared" si="36"/>
        <v>0.07043343653250773</v>
      </c>
      <c r="E155" s="24">
        <f t="shared" si="36"/>
        <v>0.07173489278752436</v>
      </c>
      <c r="F155" s="24">
        <f t="shared" si="36"/>
        <v>0.07048322560787934</v>
      </c>
      <c r="G155" s="24">
        <f t="shared" si="36"/>
        <v>0.07561817136285222</v>
      </c>
      <c r="H155" s="49">
        <f t="shared" si="28"/>
        <v>0.07305069848536577</v>
      </c>
      <c r="I155" s="1"/>
      <c r="J155" s="1"/>
      <c r="K155" s="1"/>
      <c r="L155" s="1"/>
    </row>
    <row r="156" ht="15" customHeight="1">
      <c r="A156" s="1"/>
      <c r="B156" s="50" t="s">
        <v>114</v>
      </c>
      <c r="C156" s="52">
        <f>(C155-(Inputs!C23/(Inputs!C13-Inputs!C15)))*10000</f>
        <v>29.84311651683405</v>
      </c>
      <c r="D156" s="52">
        <f>(D155-(Inputs!E23/(Inputs!E13-Inputs!E15)))*10000</f>
        <v>67.58482014618109</v>
      </c>
      <c r="E156" s="52">
        <f>(E155-(Inputs!F23/(Inputs!F13-Inputs!F15)))*10000</f>
        <v>110.69530752299315</v>
      </c>
      <c r="F156" s="52">
        <f>(F155-(Inputs!G23/(Inputs!G13-Inputs!G15)))*10000</f>
        <v>-16.408277639201607</v>
      </c>
      <c r="G156" s="52">
        <f>(G155-(Inputs!H23/(Inputs!H13-Inputs!H15)))*10000</f>
        <v>21.461297503684722</v>
      </c>
      <c r="H156" s="53">
        <f t="shared" si="20"/>
        <v>17.603759047206125</v>
      </c>
      <c r="I156" s="1"/>
      <c r="J156" s="1"/>
      <c r="K156" s="1"/>
      <c r="L156" s="1"/>
    </row>
    <row r="157" ht="15" customHeight="1">
      <c r="A157" s="1"/>
      <c r="B157" s="50" t="s">
        <v>115</v>
      </c>
      <c r="C157" s="52">
        <f>(C155-(Inputs!H23/(Inputs!H13-Inputs!H15)))*10000</f>
        <v>-21.817190318385858</v>
      </c>
      <c r="D157" s="54">
        <f t="shared" si="12"/>
        <v>-8.568860481374257</v>
      </c>
      <c r="E157" s="54"/>
      <c r="F157" s="54">
        <f t="shared" si="14"/>
        <v>0.4978907537160626</v>
      </c>
      <c r="G157" s="54">
        <f t="shared" si="12"/>
        <v>51.349457549728776</v>
      </c>
      <c r="H157" s="53">
        <f t="shared" si="12"/>
        <v>-25.67472877486446</v>
      </c>
      <c r="I157" s="1"/>
      <c r="J157" s="1"/>
      <c r="K157" s="1"/>
      <c r="L157" s="1"/>
    </row>
    <row r="158" ht="15" customHeight="1">
      <c r="A158" s="1"/>
      <c r="B158" s="35" t="s">
        <v>215</v>
      </c>
      <c r="C158" s="24">
        <f t="shared" si="37" ref="C158:G158">C138/C65</f>
        <v>0.10354838709677419</v>
      </c>
      <c r="D158" s="24">
        <f t="shared" si="37"/>
        <v>0.11068111455108359</v>
      </c>
      <c r="E158" s="24">
        <f t="shared" si="37"/>
        <v>0.10292397660818714</v>
      </c>
      <c r="F158" s="24">
        <f t="shared" si="37"/>
        <v>0.08895044629116651</v>
      </c>
      <c r="G158" s="24">
        <f t="shared" si="37"/>
        <v>0.10609545715928695</v>
      </c>
      <c r="H158" s="49">
        <f t="shared" si="28"/>
        <v>0.09752295172522674</v>
      </c>
      <c r="I158" s="1"/>
      <c r="J158" s="1"/>
      <c r="K158" s="1"/>
      <c r="L158" s="1"/>
    </row>
    <row r="159" ht="15" customHeight="1">
      <c r="A159" s="1"/>
      <c r="B159" s="50" t="s">
        <v>114</v>
      </c>
      <c r="C159" s="52">
        <f>(C158-(Inputs!C24/(Inputs!C13-Inputs!C15)))*10000</f>
        <v>150.92102943768725</v>
      </c>
      <c r="D159" s="52">
        <f>(D158-(Inputs!E24/(Inputs!E13-Inputs!E15)))*10000</f>
        <v>51.62618492866491</v>
      </c>
      <c r="E159" s="52">
        <f>(E158-(Inputs!F24/(Inputs!F13-Inputs!F15)))*10000</f>
        <v>134.75183392270634</v>
      </c>
      <c r="F159" s="52">
        <f>(F158-(Inputs!G24/(Inputs!G13-Inputs!G15)))*10000</f>
        <v>-80.56405493903809</v>
      </c>
      <c r="G159" s="52">
        <f>(G158-(Inputs!H24/(Inputs!H13-Inputs!H15)))*10000</f>
        <v>82.41100852394878</v>
      </c>
      <c r="H159" s="53">
        <f t="shared" si="20"/>
        <v>-60.25435371547455</v>
      </c>
      <c r="I159" s="1"/>
      <c r="J159" s="1"/>
      <c r="K159" s="1"/>
      <c r="L159" s="1"/>
    </row>
    <row r="160" ht="15" customHeight="1">
      <c r="A160" s="1"/>
      <c r="B160" s="50" t="s">
        <v>115</v>
      </c>
      <c r="C160" s="52">
        <f>(C158-(Inputs!H24/(Inputs!H13-Inputs!H15)))*10000</f>
        <v>56.94030789882121</v>
      </c>
      <c r="D160" s="54">
        <f t="shared" si="12"/>
        <v>71.327274543094</v>
      </c>
      <c r="E160" s="54"/>
      <c r="F160" s="54">
        <f t="shared" si="14"/>
        <v>-217.3066825991708</v>
      </c>
      <c r="G160" s="54">
        <f t="shared" si="12"/>
        <v>171.4501086812044</v>
      </c>
      <c r="H160" s="53">
        <f t="shared" si="12"/>
        <v>-85.72505434060213</v>
      </c>
      <c r="I160" s="1"/>
      <c r="J160" s="1"/>
      <c r="K160" s="1"/>
      <c r="L160" s="1"/>
    </row>
    <row r="161" ht="15" customHeight="1">
      <c r="A161" s="1"/>
      <c r="B161" s="35" t="s">
        <v>216</v>
      </c>
      <c r="C161" s="24">
        <f t="shared" si="38" ref="C161:G161">C144/C65</f>
        <v>0.0070967741935483875</v>
      </c>
      <c r="D161" s="24">
        <f t="shared" si="38"/>
        <v>0.009545923632610939</v>
      </c>
      <c r="E161" s="24">
        <f t="shared" si="38"/>
        <v>0.006627680311890838</v>
      </c>
      <c r="F161" s="24">
        <f t="shared" si="38"/>
        <v>0.006771314250538628</v>
      </c>
      <c r="G161" s="24">
        <f t="shared" si="38"/>
        <v>0.005750431282346176</v>
      </c>
      <c r="H161" s="49">
        <f t="shared" si="28"/>
        <v>0.0062608727664424015</v>
      </c>
      <c r="I161" s="1"/>
      <c r="J161" s="1"/>
      <c r="K161" s="1"/>
      <c r="L161" s="1"/>
    </row>
    <row r="162" ht="15" customHeight="1">
      <c r="A162" s="1"/>
      <c r="B162" s="50" t="s">
        <v>114</v>
      </c>
      <c r="C162" s="52">
        <f>(C161-(Inputs!C25/(Inputs!C13-Inputs!C15)))*10000</f>
        <v>33.399435924554915</v>
      </c>
      <c r="D162" s="52">
        <f>(D161-(Inputs!E25/(Inputs!E13-Inputs!E15)))*10000</f>
        <v>62.105688721500535</v>
      </c>
      <c r="E162" s="52">
        <f>(E161-(Inputs!F25/(Inputs!F13-Inputs!F15)))*10000</f>
        <v>36.10720103149808</v>
      </c>
      <c r="F162" s="52">
        <f>(F161-(Inputs!G25/(Inputs!G13-Inputs!G15)))*10000</f>
        <v>35.2573184880765</v>
      </c>
      <c r="G162" s="52">
        <f>(G161-(Inputs!H25/(Inputs!H13-Inputs!H15)))*10000</f>
        <v>2.237732849469567</v>
      </c>
      <c r="H162" s="53">
        <f t="shared" si="20"/>
        <v>-8.35901427105986</v>
      </c>
      <c r="I162" s="1"/>
      <c r="J162" s="1"/>
      <c r="K162" s="1"/>
      <c r="L162" s="1"/>
    </row>
    <row r="163" ht="15" customHeight="1">
      <c r="A163" s="1"/>
      <c r="B163" s="50" t="s">
        <v>115</v>
      </c>
      <c r="C163" s="52">
        <f>(C161-(Inputs!H25/(Inputs!H13-Inputs!H15)))*10000</f>
        <v>15.70116196149168</v>
      </c>
      <c r="D163" s="54">
        <f t="shared" si="12"/>
        <v>24.491494390625515</v>
      </c>
      <c r="E163" s="54"/>
      <c r="F163" s="54">
        <f t="shared" si="14"/>
        <v>-27.74609382072311</v>
      </c>
      <c r="G163" s="54">
        <f t="shared" si="12"/>
        <v>-10.208829681924515</v>
      </c>
      <c r="H163" s="53">
        <f t="shared" si="12"/>
        <v>5.104414840962253</v>
      </c>
      <c r="I163" s="1"/>
      <c r="J163" s="1"/>
      <c r="K163" s="1"/>
      <c r="L163" s="1"/>
    </row>
    <row r="164" ht="15" customHeight="1">
      <c r="A164" s="1"/>
      <c r="B164" s="1"/>
      <c r="C164" s="1"/>
      <c r="D164" s="1"/>
      <c r="E164" s="1"/>
      <c r="F164" s="1"/>
      <c r="G164" s="1"/>
      <c r="H164" s="45"/>
      <c r="I164" s="1"/>
      <c r="J164" s="1"/>
      <c r="K164" s="1"/>
      <c r="L164" s="1"/>
    </row>
    <row r="165" ht="15" customHeight="1">
      <c r="A165" s="1"/>
      <c r="B165" s="4" t="s">
        <v>217</v>
      </c>
      <c r="C165" s="34"/>
      <c r="D165" s="34"/>
      <c r="E165" s="34"/>
      <c r="F165" s="34"/>
      <c r="G165" s="34"/>
      <c r="H165" s="32"/>
      <c r="I165" s="1"/>
      <c r="J165" s="1"/>
      <c r="K165" s="1"/>
      <c r="L165" s="1"/>
    </row>
    <row r="166" ht="15" customHeight="1">
      <c r="A166" s="1"/>
      <c r="B166" s="35" t="s">
        <v>82</v>
      </c>
      <c r="C166" s="24">
        <f t="shared" si="39" ref="C166:G166">C169/C49</f>
        <v>0.09707192870782941</v>
      </c>
      <c r="D166" s="24">
        <f t="shared" si="39"/>
        <v>0.09433962264150944</v>
      </c>
      <c r="E166" s="24">
        <f t="shared" si="39"/>
        <v>0.06257697044334976</v>
      </c>
      <c r="F166" s="24">
        <f t="shared" si="39"/>
        <v>0.09290283277490101</v>
      </c>
      <c r="G166" s="24">
        <f t="shared" si="39"/>
        <v>0.10287013356067065</v>
      </c>
      <c r="H166" s="57">
        <v>0.096</v>
      </c>
      <c r="I166" s="1"/>
      <c r="J166" s="1" t="s">
        <v>218</v>
      </c>
      <c r="K166" s="1"/>
      <c r="L166" s="1"/>
    </row>
    <row r="167" ht="15" customHeight="1">
      <c r="A167" s="1"/>
      <c r="B167" s="50" t="s">
        <v>114</v>
      </c>
      <c r="C167" s="52">
        <f>(C166-(Inputs!C16/Inputs!C13))*10000</f>
        <v>-72.84707563700476</v>
      </c>
      <c r="D167" s="52">
        <f>(D166-(Inputs!E16/Inputs!E13))*10000</f>
        <v>15.746871866910706</v>
      </c>
      <c r="E167" s="52">
        <f>(E166-(Inputs!F16/Inputs!F13))*10000</f>
        <v>-371.326132933395</v>
      </c>
      <c r="F167" s="52">
        <f>(F166-(Inputs!G16/Inputs!G13))*10000</f>
        <v>1579.348157173317</v>
      </c>
      <c r="G167" s="52">
        <f>(G166-(Inputs!H16/Inputs!H13))*10000</f>
        <v>-2.1271807709427604</v>
      </c>
      <c r="H167" s="53">
        <f t="shared" si="20"/>
        <v>-10.719287078294059</v>
      </c>
      <c r="I167" s="1"/>
      <c r="J167" s="1"/>
      <c r="K167" s="1"/>
      <c r="L167" s="1"/>
    </row>
    <row r="168" ht="15" customHeight="1">
      <c r="A168" s="1"/>
      <c r="B168" s="50" t="s">
        <v>115</v>
      </c>
      <c r="C168" s="52">
        <f>(C166-(Inputs!H16/Inputs!H13))*10000</f>
        <v>-60.10922929935519</v>
      </c>
      <c r="D168" s="54">
        <f t="shared" si="12"/>
        <v>-27.323060663199673</v>
      </c>
      <c r="E168" s="54"/>
      <c r="F168" s="54">
        <f t="shared" si="14"/>
        <v>-14.367898666084317</v>
      </c>
      <c r="G168" s="54">
        <f t="shared" si="12"/>
        <v>99.67300785769642</v>
      </c>
      <c r="H168" s="53">
        <f t="shared" si="12"/>
        <v>-68.7013356067065</v>
      </c>
      <c r="I168" s="1"/>
      <c r="J168" s="1"/>
      <c r="K168" s="1"/>
      <c r="L168" s="1"/>
    </row>
    <row r="169" ht="15" customHeight="1">
      <c r="A169" s="1"/>
      <c r="B169" s="4" t="s">
        <v>219</v>
      </c>
      <c r="C169" s="67">
        <v>305</v>
      </c>
      <c r="D169" s="67">
        <v>370</v>
      </c>
      <c r="E169" s="67">
        <v>813</v>
      </c>
      <c r="F169" s="67">
        <v>305</v>
      </c>
      <c r="G169" s="67">
        <v>362</v>
      </c>
      <c r="H169" s="68">
        <f>H49*H166</f>
        <v>337.269504</v>
      </c>
      <c r="I169" s="1"/>
      <c r="J169" s="1" t="s">
        <v>220</v>
      </c>
      <c r="K169" s="1"/>
      <c r="L169" s="1"/>
    </row>
    <row r="170" ht="15" customHeight="1">
      <c r="A170" s="1"/>
      <c r="B170" s="50" t="s">
        <v>111</v>
      </c>
      <c r="C170" s="42">
        <f>C169/Inputs!C16-1</f>
        <v>-0.012944983818770184</v>
      </c>
      <c r="D170" s="42">
        <f>D169/Inputs!E16-1</f>
        <v>0.19741100323624594</v>
      </c>
      <c r="E170" s="42">
        <f>E169/Inputs!F16-1</f>
        <v>-0.3422330097087378</v>
      </c>
      <c r="F170" s="42">
        <f>F169/Inputs!G16-1</f>
        <v>-2.666666666666667</v>
      </c>
      <c r="G170" s="42">
        <f>G169/Inputs!H16-1</f>
        <v>0.12772585669781922</v>
      </c>
      <c r="H170" s="49">
        <f t="shared" si="3"/>
        <v>0.1058016524590164</v>
      </c>
      <c r="I170" s="1"/>
      <c r="J170" s="1"/>
      <c r="K170" s="1"/>
      <c r="L170" s="1"/>
    </row>
    <row r="171" ht="15" customHeight="1">
      <c r="A171" s="1"/>
      <c r="B171" s="56" t="s">
        <v>144</v>
      </c>
      <c r="C171" s="22">
        <f>C169-Inputs!H16</f>
        <v>-16</v>
      </c>
      <c r="D171" s="23">
        <f t="shared" si="1"/>
        <v>65</v>
      </c>
      <c r="E171" s="23"/>
      <c r="F171" s="23">
        <f t="shared" si="4"/>
        <v>-65</v>
      </c>
      <c r="G171" s="23">
        <f t="shared" si="1"/>
        <v>57</v>
      </c>
      <c r="H171" s="48">
        <f t="shared" si="1"/>
        <v>-24.730496000000016</v>
      </c>
      <c r="I171" s="1"/>
      <c r="J171" s="1"/>
      <c r="K171" s="1"/>
      <c r="L171" s="1"/>
    </row>
    <row r="172" ht="15" customHeight="1">
      <c r="A172" s="1"/>
      <c r="B172" s="17" t="s">
        <v>221</v>
      </c>
      <c r="C172" s="33">
        <v>-66</v>
      </c>
      <c r="D172" s="22">
        <f>E172-Inputs!D159</f>
        <v>39</v>
      </c>
      <c r="E172" s="33">
        <v>-186</v>
      </c>
      <c r="F172" s="33">
        <v>-107</v>
      </c>
      <c r="G172" s="33">
        <v>157</v>
      </c>
      <c r="H172" s="48"/>
      <c r="I172" s="1"/>
      <c r="J172" s="1" t="s">
        <v>222</v>
      </c>
      <c r="K172" s="1"/>
      <c r="L172" s="1"/>
    </row>
    <row r="173" ht="15" customHeight="1">
      <c r="A173" s="1"/>
      <c r="B173" s="50" t="s">
        <v>111</v>
      </c>
      <c r="C173" s="42">
        <f>C172/Inputs!C26-1</f>
        <v>-2.375</v>
      </c>
      <c r="D173" s="42">
        <f>D172/Inputs!E26-1</f>
        <v>-5.875</v>
      </c>
      <c r="E173" s="42">
        <f>E172/Inputs!F26-1</f>
        <v>-2.1847133757961785</v>
      </c>
      <c r="F173" s="42">
        <f>F172/Inputs!G26-1</f>
        <v>-0.43386243386243384</v>
      </c>
      <c r="G173" s="42">
        <f>G172/Inputs!H26-1</f>
        <v>4.233333333333333</v>
      </c>
      <c r="H173" s="49"/>
      <c r="I173" s="1"/>
      <c r="J173" s="1"/>
      <c r="K173" s="1"/>
      <c r="L173" s="1"/>
    </row>
    <row r="174" ht="15" customHeight="1">
      <c r="A174" s="1"/>
      <c r="B174" s="56" t="s">
        <v>144</v>
      </c>
      <c r="C174" s="22">
        <f>C172-Inputs!H26</f>
        <v>-96</v>
      </c>
      <c r="D174" s="23">
        <f t="shared" si="1"/>
        <v>105</v>
      </c>
      <c r="E174" s="23"/>
      <c r="F174" s="23">
        <f t="shared" si="4"/>
        <v>-146</v>
      </c>
      <c r="G174" s="23">
        <f t="shared" si="1"/>
        <v>264</v>
      </c>
      <c r="H174" s="48"/>
      <c r="I174" s="1"/>
      <c r="J174" s="1"/>
      <c r="K174" s="1"/>
      <c r="L174" s="1"/>
    </row>
    <row r="175" ht="15" customHeight="1">
      <c r="A175" s="1"/>
      <c r="B175" s="35" t="s">
        <v>223</v>
      </c>
      <c r="C175" s="24">
        <f t="shared" si="40" ref="C175:G175">C172/C49</f>
        <v>-0.021005728835136857</v>
      </c>
      <c r="D175" s="24">
        <f t="shared" si="40"/>
        <v>0.009943906170321265</v>
      </c>
      <c r="E175" s="24">
        <f t="shared" si="40"/>
        <v>-0.014316502463054187</v>
      </c>
      <c r="F175" s="24">
        <f t="shared" si="40"/>
        <v>-0.0325921413341456</v>
      </c>
      <c r="G175" s="24">
        <f t="shared" si="40"/>
        <v>0.04461494742824666</v>
      </c>
      <c r="H175" s="49"/>
      <c r="I175" s="1"/>
      <c r="J175" s="1"/>
      <c r="K175" s="1"/>
      <c r="L175" s="1"/>
    </row>
    <row r="176" ht="15" customHeight="1">
      <c r="A176" s="1"/>
      <c r="B176" s="50" t="s">
        <v>114</v>
      </c>
      <c r="C176" s="52">
        <f>(C175-(Inputs!C26/Inputs!C13))*10000</f>
        <v>-372.16468450131794</v>
      </c>
      <c r="D176" s="52">
        <f>(D175-(Inputs!E26/Inputs!E13))*10000</f>
        <v>123.45587347145042</v>
      </c>
      <c r="E176" s="52">
        <f>(E175-(Inputs!F26/Inputs!F13))*10000</f>
        <v>-269.81878390772806</v>
      </c>
      <c r="F176" s="52">
        <f>(F175-(Inputs!G26/Inputs!G13))*10000</f>
        <v>345.72037770332014</v>
      </c>
      <c r="G176" s="52">
        <f>(G175-(Inputs!H26/Inputs!H13))*10000</f>
        <v>349.8103606023125</v>
      </c>
      <c r="H176" s="53"/>
      <c r="I176" s="1"/>
      <c r="J176" s="1"/>
      <c r="K176" s="1"/>
      <c r="L176" s="1"/>
    </row>
    <row r="177" ht="15" customHeight="1">
      <c r="A177" s="1"/>
      <c r="B177" s="50" t="s">
        <v>115</v>
      </c>
      <c r="C177" s="52">
        <f>(C175-(Inputs!H26/Inputs!H13))*10000</f>
        <v>-306.3964020315227</v>
      </c>
      <c r="D177" s="54">
        <f t="shared" si="12"/>
        <v>309.4963500545812</v>
      </c>
      <c r="E177" s="54"/>
      <c r="F177" s="54">
        <f t="shared" si="14"/>
        <v>-425.36047504466865</v>
      </c>
      <c r="G177" s="54">
        <f t="shared" si="12"/>
        <v>772.0708876239227</v>
      </c>
      <c r="H177" s="53"/>
      <c r="I177" s="1"/>
      <c r="J177" s="1"/>
      <c r="K177" s="1"/>
      <c r="L177" s="1"/>
    </row>
    <row r="178" ht="15" customHeight="1">
      <c r="A178" s="1"/>
      <c r="B178" s="17" t="s">
        <v>224</v>
      </c>
      <c r="C178" s="23">
        <f t="shared" si="41" ref="C178:G178">C169-C172</f>
        <v>371</v>
      </c>
      <c r="D178" s="23">
        <f t="shared" si="41"/>
        <v>331</v>
      </c>
      <c r="E178" s="23">
        <f t="shared" si="41"/>
        <v>999</v>
      </c>
      <c r="F178" s="23">
        <f t="shared" si="41"/>
        <v>412</v>
      </c>
      <c r="G178" s="23">
        <f t="shared" si="41"/>
        <v>205</v>
      </c>
      <c r="H178" s="48"/>
      <c r="I178" s="1"/>
      <c r="J178" s="1"/>
      <c r="K178" s="1"/>
      <c r="L178" s="1"/>
    </row>
    <row r="179" ht="15" customHeight="1">
      <c r="A179" s="1"/>
      <c r="B179" s="50" t="s">
        <v>111</v>
      </c>
      <c r="C179" s="42">
        <f>C178/(Inputs!C16-Inputs!C26)-1</f>
        <v>0.421455938697318</v>
      </c>
      <c r="D179" s="42">
        <f>D178/(Inputs!E16-Inputs!E26)-1</f>
        <v>0.04416403785488954</v>
      </c>
      <c r="E179" s="42">
        <f>E178/(Inputs!F16-Inputs!F26)-1</f>
        <v>-0.07414272474513439</v>
      </c>
      <c r="F179" s="42">
        <f>F178/(Inputs!G16-Inputs!G26)-1</f>
        <v>67.66666666666667</v>
      </c>
      <c r="G179" s="42">
        <f>G178/(Inputs!H16-Inputs!H26)-1</f>
        <v>-0.2955326460481099</v>
      </c>
      <c r="H179" s="49"/>
      <c r="I179" s="1"/>
      <c r="J179" s="1"/>
      <c r="K179" s="1"/>
      <c r="L179" s="1"/>
    </row>
    <row r="180" ht="15" customHeight="1">
      <c r="A180" s="1"/>
      <c r="B180" s="56" t="s">
        <v>144</v>
      </c>
      <c r="C180" s="22">
        <f>C178-(Inputs!H16-Inputs!H26)</f>
        <v>80</v>
      </c>
      <c r="D180" s="23">
        <f t="shared" si="1"/>
        <v>-40</v>
      </c>
      <c r="E180" s="23"/>
      <c r="F180" s="23">
        <f t="shared" si="4"/>
        <v>81</v>
      </c>
      <c r="G180" s="23">
        <f t="shared" si="1"/>
        <v>-207</v>
      </c>
      <c r="H180" s="48"/>
      <c r="I180" s="1"/>
      <c r="J180" s="1"/>
      <c r="K180" s="1"/>
      <c r="L180" s="1"/>
    </row>
    <row r="181" ht="15" customHeight="1">
      <c r="A181" s="1"/>
      <c r="B181" s="35" t="s">
        <v>225</v>
      </c>
      <c r="C181" s="24">
        <f t="shared" si="42" ref="C181:G181">C178/C49</f>
        <v>0.11807765754296626</v>
      </c>
      <c r="D181" s="24">
        <f t="shared" si="42"/>
        <v>0.08439571647118817</v>
      </c>
      <c r="E181" s="24">
        <f t="shared" si="42"/>
        <v>0.07689347290640394</v>
      </c>
      <c r="F181" s="24">
        <f t="shared" si="42"/>
        <v>0.12549497410904661</v>
      </c>
      <c r="G181" s="24">
        <f t="shared" si="42"/>
        <v>0.05825518613242398</v>
      </c>
      <c r="H181" s="49"/>
      <c r="I181" s="1"/>
      <c r="J181" s="1"/>
      <c r="K181" s="1"/>
      <c r="L181" s="1"/>
    </row>
    <row r="182" ht="15" customHeight="1">
      <c r="A182" s="1"/>
      <c r="B182" s="50" t="s">
        <v>114</v>
      </c>
      <c r="C182" s="52">
        <f>(C181-((Inputs!C16-Inputs!C26)/Inputs!C13))*10000</f>
        <v>299.31760886431306</v>
      </c>
      <c r="D182" s="52">
        <f>(D181-((Inputs!E16-Inputs!E26)/Inputs!E13))*10000</f>
        <v>-107.70900160453984</v>
      </c>
      <c r="E182" s="52">
        <f>(E181-((Inputs!F16-Inputs!F26)/Inputs!F13))*10000</f>
        <v>-101.50734902566697</v>
      </c>
      <c r="F182" s="52">
        <f>(F181-((Inputs!G16-Inputs!G26)/Inputs!G13))*10000</f>
        <v>1233.627779469997</v>
      </c>
      <c r="G182" s="52">
        <f>(G181-((Inputs!H16-Inputs!H26)/Inputs!H13))*10000</f>
        <v>-351.9375413732554</v>
      </c>
      <c r="H182" s="53"/>
      <c r="I182" s="1"/>
      <c r="J182" s="1"/>
      <c r="K182" s="1"/>
      <c r="L182" s="1"/>
    </row>
    <row r="183" ht="15" customHeight="1">
      <c r="A183" s="1"/>
      <c r="B183" s="50" t="s">
        <v>115</v>
      </c>
      <c r="C183" s="52">
        <f>(C181-((Inputs!H16-Inputs!H26)/Inputs!H13))*10000</f>
        <v>246.28717273216736</v>
      </c>
      <c r="D183" s="54">
        <f t="shared" si="12"/>
        <v>-336.8194107177809</v>
      </c>
      <c r="E183" s="54"/>
      <c r="F183" s="54">
        <f t="shared" si="14"/>
        <v>410.9925763785845</v>
      </c>
      <c r="G183" s="54">
        <f t="shared" si="12"/>
        <v>-672.3978797662264</v>
      </c>
      <c r="H183" s="53"/>
      <c r="I183" s="1"/>
      <c r="J183" s="1"/>
      <c r="K183" s="1"/>
      <c r="L183" s="1"/>
    </row>
    <row r="184" ht="15" customHeight="1">
      <c r="A184" s="1"/>
      <c r="B184" s="1"/>
      <c r="C184" s="1"/>
      <c r="D184" s="1"/>
      <c r="E184" s="1"/>
      <c r="F184" s="1"/>
      <c r="G184" s="1"/>
      <c r="H184" s="45"/>
      <c r="I184" s="1"/>
      <c r="J184" s="1"/>
      <c r="K184" s="1"/>
      <c r="L184" s="1"/>
    </row>
    <row r="185" ht="15" customHeight="1">
      <c r="A185" s="1"/>
      <c r="B185" s="4" t="s">
        <v>226</v>
      </c>
      <c r="C185" s="34"/>
      <c r="D185" s="34"/>
      <c r="E185" s="34"/>
      <c r="F185" s="34"/>
      <c r="G185" s="34"/>
      <c r="H185" s="32"/>
      <c r="I185" s="1"/>
      <c r="J185" s="1"/>
      <c r="K185" s="1"/>
      <c r="L185" s="1"/>
    </row>
    <row r="186" ht="15" customHeight="1">
      <c r="A186" s="1"/>
      <c r="B186" s="17" t="s">
        <v>227</v>
      </c>
      <c r="C186" s="33">
        <v>92</v>
      </c>
      <c r="D186" s="22">
        <f>E186-Inputs!D160</f>
        <v>110</v>
      </c>
      <c r="E186" s="33">
        <v>383</v>
      </c>
      <c r="F186" s="33">
        <v>91</v>
      </c>
      <c r="G186" s="33">
        <v>86</v>
      </c>
      <c r="H186" s="48"/>
      <c r="I186" s="1"/>
      <c r="J186" s="1" t="s">
        <v>228</v>
      </c>
      <c r="K186" s="1"/>
      <c r="L186" s="1"/>
    </row>
    <row r="187" ht="15" customHeight="1">
      <c r="A187" s="1"/>
      <c r="B187" s="50" t="s">
        <v>111</v>
      </c>
      <c r="C187" s="42">
        <f>C186/Inputs!C27-1</f>
        <v>0</v>
      </c>
      <c r="D187" s="42">
        <f>D186/Inputs!E27-1</f>
        <v>-0.07563025210084029</v>
      </c>
      <c r="E187" s="42">
        <f>E186/Inputs!F27-1</f>
        <v>-0.0051948051948051965</v>
      </c>
      <c r="F187" s="42">
        <f>F186/Inputs!G27-1</f>
        <v>0.022471910112359605</v>
      </c>
      <c r="G187" s="42">
        <f>G186/Inputs!H27-1</f>
        <v>-0.06521739130434778</v>
      </c>
      <c r="H187" s="49"/>
      <c r="I187" s="1"/>
      <c r="J187" s="1"/>
      <c r="K187" s="1"/>
      <c r="L187" s="1"/>
    </row>
    <row r="188" ht="15" customHeight="1">
      <c r="A188" s="1"/>
      <c r="B188" s="56" t="s">
        <v>144</v>
      </c>
      <c r="C188" s="22">
        <f>C186-Inputs!H27</f>
        <v>0</v>
      </c>
      <c r="D188" s="23">
        <f t="shared" si="1"/>
        <v>18</v>
      </c>
      <c r="E188" s="23"/>
      <c r="F188" s="23">
        <f t="shared" si="4"/>
        <v>-19</v>
      </c>
      <c r="G188" s="23">
        <f t="shared" si="1"/>
        <v>-5</v>
      </c>
      <c r="H188" s="48"/>
      <c r="I188" s="1"/>
      <c r="J188" s="1"/>
      <c r="K188" s="1"/>
      <c r="L188" s="1"/>
    </row>
    <row r="189" ht="15" customHeight="1">
      <c r="A189" s="1"/>
      <c r="B189" s="17" t="s">
        <v>229</v>
      </c>
      <c r="C189" s="33">
        <v>102</v>
      </c>
      <c r="D189" s="22">
        <f>E189-Inputs!D161</f>
        <v>227</v>
      </c>
      <c r="E189" s="33">
        <v>477</v>
      </c>
      <c r="F189" s="33">
        <v>34</v>
      </c>
      <c r="G189" s="33">
        <v>35</v>
      </c>
      <c r="H189" s="48"/>
      <c r="I189" s="1"/>
      <c r="J189" s="1"/>
      <c r="K189" s="1"/>
      <c r="L189" s="1"/>
    </row>
    <row r="190" ht="15" customHeight="1">
      <c r="A190" s="1"/>
      <c r="B190" s="50" t="s">
        <v>111</v>
      </c>
      <c r="C190" s="42">
        <f>C189/Inputs!C28-1</f>
        <v>-0.26618705035971224</v>
      </c>
      <c r="D190" s="42">
        <f>D189/Inputs!E28-1</f>
        <v>-0.13026819923371646</v>
      </c>
      <c r="E190" s="42">
        <f>E189/Inputs!F28-1</f>
        <v>-0.20499999999999996</v>
      </c>
      <c r="F190" s="42">
        <f>F189/Inputs!G28-1</f>
        <v>-0.5696202531645569</v>
      </c>
      <c r="G190" s="42">
        <f>G189/Inputs!H28-1</f>
        <v>-0.49275362318840576</v>
      </c>
      <c r="H190" s="49"/>
      <c r="I190" s="1"/>
      <c r="J190" s="1"/>
      <c r="K190" s="1"/>
      <c r="L190" s="1"/>
    </row>
    <row r="191" ht="15" customHeight="1">
      <c r="A191" s="1"/>
      <c r="B191" s="56" t="s">
        <v>144</v>
      </c>
      <c r="C191" s="22">
        <f>C189-Inputs!H28</f>
        <v>33</v>
      </c>
      <c r="D191" s="23">
        <f t="shared" si="1"/>
        <v>125</v>
      </c>
      <c r="E191" s="23"/>
      <c r="F191" s="23">
        <f t="shared" si="4"/>
        <v>-193</v>
      </c>
      <c r="G191" s="23">
        <f t="shared" si="1"/>
        <v>1</v>
      </c>
      <c r="H191" s="48"/>
      <c r="I191" s="1"/>
      <c r="J191" s="1"/>
      <c r="K191" s="1"/>
      <c r="L191" s="1"/>
    </row>
    <row r="192" ht="15" customHeight="1">
      <c r="A192" s="1"/>
      <c r="B192" s="35" t="s">
        <v>230</v>
      </c>
      <c r="C192" s="24">
        <f t="shared" si="43" ref="C192:G192">C189/C49</f>
        <v>0.032463399108847865</v>
      </c>
      <c r="D192" s="24">
        <f t="shared" si="43"/>
        <v>0.057878633350331464</v>
      </c>
      <c r="E192" s="24">
        <f t="shared" si="43"/>
        <v>0.03671490147783251</v>
      </c>
      <c r="F192" s="24">
        <f t="shared" si="43"/>
        <v>0.010356381358513555</v>
      </c>
      <c r="G192" s="24">
        <f t="shared" si="43"/>
        <v>0.009946007388462632</v>
      </c>
      <c r="H192" s="49"/>
      <c r="I192" s="1"/>
      <c r="J192" s="1"/>
      <c r="K192" s="1"/>
      <c r="L192" s="1"/>
    </row>
    <row r="193" ht="15" customHeight="1">
      <c r="A193" s="1"/>
      <c r="B193" s="50" t="s">
        <v>114</v>
      </c>
      <c r="C193" s="52">
        <f>(C192-(Inputs!C28/Inputs!C13))*10000</f>
        <v>-144.80201026241633</v>
      </c>
      <c r="D193" s="52">
        <f>(D192-(Inputs!E28/Inputs!E13))*10000</f>
        <v>-204.7621504354425</v>
      </c>
      <c r="E193" s="52">
        <f>(E192-(Inputs!F28/Inputs!F13))*10000</f>
        <v>-116.87809073958388</v>
      </c>
      <c r="F193" s="52">
        <f>(F192-(Inputs!G28/Inputs!G13))*10000</f>
        <v>-177.1753477510407</v>
      </c>
      <c r="G193" s="52">
        <f>(G192-(Inputs!H28/Inputs!H13))*10000</f>
        <v>-122.11988757972821</v>
      </c>
      <c r="H193" s="53"/>
      <c r="I193" s="1"/>
      <c r="J193" s="1"/>
      <c r="K193" s="1"/>
      <c r="L193" s="1"/>
    </row>
    <row r="194" ht="15" customHeight="1">
      <c r="A194" s="1"/>
      <c r="B194" s="50" t="s">
        <v>115</v>
      </c>
      <c r="C194" s="52">
        <f>(C192-(Inputs!H28/Inputs!H13))*10000</f>
        <v>103.05402962412411</v>
      </c>
      <c r="D194" s="54">
        <f t="shared" si="12"/>
        <v>254.152342414836</v>
      </c>
      <c r="E194" s="54"/>
      <c r="F194" s="54">
        <f t="shared" si="14"/>
        <v>-475.22251991817905</v>
      </c>
      <c r="G194" s="54">
        <f t="shared" si="12"/>
        <v>-4.103739700509236</v>
      </c>
      <c r="H194" s="53"/>
      <c r="I194" s="1"/>
      <c r="J194" s="1"/>
      <c r="K194" s="1"/>
      <c r="L194" s="1"/>
    </row>
    <row r="195" ht="15" customHeight="1">
      <c r="A195" s="1"/>
      <c r="B195" s="1"/>
      <c r="C195" s="1"/>
      <c r="D195" s="1"/>
      <c r="E195" s="1"/>
      <c r="F195" s="1"/>
      <c r="G195" s="1"/>
      <c r="H195" s="45"/>
      <c r="I195" s="1"/>
      <c r="J195" s="1"/>
      <c r="K195" s="1"/>
      <c r="L19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501B329-9668-0922-4DD3-DD9DD20C0D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75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231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153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7" t="s">
        <v>143</v>
      </c>
      <c r="C10" s="22">
        <f>Inputs!H30</f>
        <v>27029</v>
      </c>
      <c r="D10" s="23">
        <f t="shared" si="0" ref="D10:H10">C21</f>
        <v>27098</v>
      </c>
      <c r="E10" s="22">
        <f>Inputs!F30</f>
        <v>26614</v>
      </c>
      <c r="F10" s="23">
        <f>D21</f>
        <v>27796</v>
      </c>
      <c r="G10" s="23">
        <f t="shared" si="0"/>
        <v>27729</v>
      </c>
      <c r="H10" s="48">
        <f t="shared" si="0"/>
        <v>34678</v>
      </c>
      <c r="I10" s="1"/>
      <c r="J10" s="1" t="s">
        <v>154</v>
      </c>
      <c r="K10" s="1"/>
      <c r="L10" s="1"/>
    </row>
    <row r="11" ht="15" customHeight="1">
      <c r="A11" s="1"/>
      <c r="B11" s="50" t="s">
        <v>111</v>
      </c>
      <c r="C11" s="24"/>
      <c r="D11" s="24"/>
      <c r="E11" s="24"/>
      <c r="F11" s="42">
        <f>F10/Inputs!G29-1</f>
        <v>0.04441271511234679</v>
      </c>
      <c r="G11" s="42">
        <f>G10/Inputs!H29-1</f>
        <v>0.04456415279138093</v>
      </c>
      <c r="H11" s="49">
        <f t="shared" si="3" ref="H11:H170">H10/C10-1</f>
        <v>0.2829923415590663</v>
      </c>
      <c r="I11" s="1"/>
      <c r="J11" s="1"/>
      <c r="K11" s="1"/>
      <c r="L11" s="1"/>
    </row>
    <row r="12" ht="15" customHeight="1">
      <c r="A12" s="1"/>
      <c r="B12" s="56" t="s">
        <v>144</v>
      </c>
      <c r="C12" s="22">
        <f>C10-Inputs!H29</f>
        <v>483</v>
      </c>
      <c r="D12" s="23">
        <f t="shared" si="1" ref="D12:H191">D10-C10</f>
        <v>69</v>
      </c>
      <c r="E12" s="23"/>
      <c r="F12" s="23">
        <f t="shared" si="4" ref="F12:F191">F10-D10</f>
        <v>698</v>
      </c>
      <c r="G12" s="23">
        <f t="shared" si="1"/>
        <v>-67</v>
      </c>
      <c r="H12" s="48">
        <f t="shared" si="1"/>
        <v>6949</v>
      </c>
      <c r="I12" s="1"/>
      <c r="J12" s="1"/>
      <c r="K12" s="1"/>
      <c r="L12" s="1"/>
    </row>
    <row r="13" ht="15" customHeight="1">
      <c r="A13" s="1"/>
      <c r="B13" s="17" t="s">
        <v>155</v>
      </c>
      <c r="C13" s="23">
        <f t="shared" si="2" ref="C13:G13">C21-C10+C49</f>
        <v>2128</v>
      </c>
      <c r="D13" s="23">
        <f t="shared" si="2"/>
        <v>2845</v>
      </c>
      <c r="E13" s="23">
        <f t="shared" si="2"/>
        <v>9184</v>
      </c>
      <c r="F13" s="23">
        <f t="shared" si="2"/>
        <v>1832</v>
      </c>
      <c r="G13" s="23">
        <f t="shared" si="2"/>
        <v>9042</v>
      </c>
      <c r="H13" s="48">
        <f>H49*H41</f>
        <v>2254.07</v>
      </c>
      <c r="I13" s="1"/>
      <c r="J13" s="1" t="s">
        <v>156</v>
      </c>
      <c r="K13" s="1"/>
      <c r="L13" s="1"/>
    </row>
    <row r="14" ht="15" customHeight="1">
      <c r="A14" s="1"/>
      <c r="B14" s="50" t="s">
        <v>111</v>
      </c>
      <c r="C14" s="24"/>
      <c r="D14" s="24"/>
      <c r="E14" s="24"/>
      <c r="F14" s="42">
        <f>F13/(Inputs!G30-Inputs!G29+Inputs!G32)-1</f>
        <v>0.05469199769717914</v>
      </c>
      <c r="G14" s="42">
        <f>G13/(Inputs!H30-Inputs!H29+Inputs!H32)-1</f>
        <v>2.6548100242522232</v>
      </c>
      <c r="H14" s="49">
        <f t="shared" si="3"/>
        <v>0.059243421052631584</v>
      </c>
      <c r="I14" s="1"/>
      <c r="J14" s="1"/>
      <c r="K14" s="1"/>
      <c r="L14" s="1"/>
    </row>
    <row r="15" ht="15" customHeight="1">
      <c r="A15" s="1"/>
      <c r="B15" s="56" t="s">
        <v>144</v>
      </c>
      <c r="C15" s="22">
        <f>C13-(Inputs!H30-Inputs!H29+Inputs!H32)</f>
        <v>-346</v>
      </c>
      <c r="D15" s="23">
        <f t="shared" si="1"/>
        <v>717</v>
      </c>
      <c r="E15" s="23"/>
      <c r="F15" s="23">
        <f t="shared" si="4"/>
        <v>-1013</v>
      </c>
      <c r="G15" s="23">
        <f t="shared" si="1"/>
        <v>7210</v>
      </c>
      <c r="H15" s="48">
        <f t="shared" si="1"/>
        <v>-6787.93</v>
      </c>
      <c r="I15" s="1"/>
      <c r="J15" s="1"/>
      <c r="K15" s="1"/>
      <c r="L15" s="1"/>
    </row>
    <row r="16" ht="15" customHeight="1">
      <c r="A16" s="1"/>
      <c r="B16" s="17" t="s">
        <v>157</v>
      </c>
      <c r="C16" s="23">
        <f t="shared" si="5" ref="C16:H16">-C49</f>
        <v>-2059</v>
      </c>
      <c r="D16" s="23">
        <f t="shared" si="5"/>
        <v>-2147</v>
      </c>
      <c r="E16" s="23">
        <f t="shared" si="5"/>
        <v>-8002</v>
      </c>
      <c r="F16" s="23">
        <f t="shared" si="5"/>
        <v>-1899</v>
      </c>
      <c r="G16" s="23">
        <f t="shared" si="5"/>
        <v>-2093</v>
      </c>
      <c r="H16" s="48">
        <f t="shared" si="5"/>
        <v>-2254.07</v>
      </c>
      <c r="I16" s="1"/>
      <c r="J16" s="1"/>
      <c r="K16" s="1"/>
      <c r="L16" s="1"/>
    </row>
    <row r="17" ht="15" customHeight="1">
      <c r="A17" s="1"/>
      <c r="B17" s="50" t="s">
        <v>111</v>
      </c>
      <c r="C17" s="42">
        <f>C16/(-Inputs!C32)-1</f>
        <v>0.14388888888888896</v>
      </c>
      <c r="D17" s="42">
        <f>D16/(-Inputs!E32)-1</f>
        <v>0.07189216175736401</v>
      </c>
      <c r="E17" s="42">
        <f>E16/(-Inputs!F32)-1</f>
        <v>0.0814974996621165</v>
      </c>
      <c r="F17" s="42">
        <f>F16/(-Inputs!G32)-1</f>
        <v>0.052077562326869886</v>
      </c>
      <c r="G17" s="42">
        <f>G16/(-Inputs!H32)-1</f>
        <v>0.05123053741838279</v>
      </c>
      <c r="H17" s="49">
        <f t="shared" si="3"/>
        <v>0.09474016512870342</v>
      </c>
      <c r="I17" s="1"/>
      <c r="J17" s="1"/>
      <c r="K17" s="1"/>
      <c r="L17" s="1"/>
    </row>
    <row r="18" ht="15" customHeight="1">
      <c r="A18" s="1"/>
      <c r="B18" s="56" t="s">
        <v>144</v>
      </c>
      <c r="C18" s="22">
        <f>C16-(-Inputs!H32)</f>
        <v>-68</v>
      </c>
      <c r="D18" s="23">
        <f t="shared" si="1"/>
        <v>-88</v>
      </c>
      <c r="E18" s="23"/>
      <c r="F18" s="23">
        <f t="shared" si="4"/>
        <v>248</v>
      </c>
      <c r="G18" s="23">
        <f t="shared" si="1"/>
        <v>-194</v>
      </c>
      <c r="H18" s="48">
        <f t="shared" si="1"/>
        <v>-161.07000000000016</v>
      </c>
      <c r="I18" s="1"/>
      <c r="J18" s="1"/>
      <c r="K18" s="1"/>
      <c r="L18" s="1"/>
    </row>
    <row r="19" ht="15" customHeight="1">
      <c r="A19" s="1"/>
      <c r="B19" s="28" t="s">
        <v>158</v>
      </c>
      <c r="C19" s="46">
        <f t="shared" si="6" ref="C19:H19">C13+C16</f>
        <v>69</v>
      </c>
      <c r="D19" s="46">
        <f t="shared" si="6"/>
        <v>698</v>
      </c>
      <c r="E19" s="46">
        <f t="shared" si="6"/>
        <v>1182</v>
      </c>
      <c r="F19" s="46">
        <f t="shared" si="6"/>
        <v>-67</v>
      </c>
      <c r="G19" s="46">
        <f t="shared" si="6"/>
        <v>6949</v>
      </c>
      <c r="H19" s="47">
        <f t="shared" si="6"/>
        <v>0</v>
      </c>
      <c r="I19" s="1"/>
      <c r="J19" s="1"/>
      <c r="K19" s="1"/>
      <c r="L19" s="1"/>
    </row>
    <row r="20" ht="15" customHeight="1">
      <c r="A20" s="1"/>
      <c r="B20" s="56" t="s">
        <v>144</v>
      </c>
      <c r="C20" s="22">
        <f>C19-((Inputs!H30-Inputs!H29+Inputs!H32)-Inputs!H32)</f>
        <v>-414</v>
      </c>
      <c r="D20" s="23">
        <f t="shared" si="7" ref="D20:H20">D19-C19</f>
        <v>629</v>
      </c>
      <c r="E20" s="23"/>
      <c r="F20" s="23">
        <f>F19-D19</f>
        <v>-765</v>
      </c>
      <c r="G20" s="23">
        <f t="shared" si="7"/>
        <v>7016</v>
      </c>
      <c r="H20" s="48">
        <f t="shared" si="7"/>
        <v>-6949</v>
      </c>
      <c r="I20" s="1"/>
      <c r="J20" s="1"/>
      <c r="K20" s="1"/>
      <c r="L20" s="1"/>
    </row>
    <row r="21" ht="15" customHeight="1">
      <c r="A21" s="1"/>
      <c r="B21" s="4" t="s">
        <v>146</v>
      </c>
      <c r="C21" s="65">
        <v>27098</v>
      </c>
      <c r="D21" s="65">
        <v>27796</v>
      </c>
      <c r="E21" s="46">
        <f t="shared" si="9" ref="E21:E27">D21</f>
        <v>27796</v>
      </c>
      <c r="F21" s="65">
        <v>27729</v>
      </c>
      <c r="G21" s="65">
        <v>34678</v>
      </c>
      <c r="H21" s="47">
        <f>H10+H13-H49</f>
        <v>34678</v>
      </c>
      <c r="I21" s="1"/>
      <c r="J21" s="1" t="s">
        <v>159</v>
      </c>
      <c r="K21" s="1"/>
      <c r="L21" s="1"/>
    </row>
    <row r="22" ht="15" customHeight="1">
      <c r="A22" s="1"/>
      <c r="B22" s="50" t="s">
        <v>111</v>
      </c>
      <c r="C22" s="24"/>
      <c r="D22" s="42">
        <f>D21/Inputs!E30-1</f>
        <v>0.04441271511234679</v>
      </c>
      <c r="E22" s="42">
        <f>E21/Inputs!F30-1</f>
        <v>0.04441271511234679</v>
      </c>
      <c r="F22" s="42">
        <f>F21/Inputs!G30-1</f>
        <v>0.04456415279138093</v>
      </c>
      <c r="G22" s="42">
        <f>G21/Inputs!H30-1</f>
        <v>0.2829923415590663</v>
      </c>
      <c r="H22" s="49">
        <f t="shared" si="3"/>
        <v>0.2797254409919552</v>
      </c>
      <c r="I22" s="1"/>
      <c r="J22" s="1"/>
      <c r="K22" s="1"/>
      <c r="L22" s="1"/>
    </row>
    <row r="23" ht="15" customHeight="1">
      <c r="A23" s="1"/>
      <c r="B23" s="56" t="s">
        <v>144</v>
      </c>
      <c r="C23" s="22">
        <f>C21-Inputs!H30</f>
        <v>69</v>
      </c>
      <c r="D23" s="23">
        <f t="shared" si="1"/>
        <v>698</v>
      </c>
      <c r="E23" s="23"/>
      <c r="F23" s="23">
        <f t="shared" si="4"/>
        <v>-67</v>
      </c>
      <c r="G23" s="23">
        <f t="shared" si="1"/>
        <v>6949</v>
      </c>
      <c r="H23" s="48">
        <f t="shared" si="1"/>
        <v>0</v>
      </c>
      <c r="I23" s="1"/>
      <c r="J23" s="1"/>
      <c r="K23" s="1"/>
      <c r="L23" s="1"/>
    </row>
    <row r="24" ht="15" customHeight="1">
      <c r="A24" s="1"/>
      <c r="B24" s="17" t="s">
        <v>160</v>
      </c>
      <c r="C24" s="23">
        <f t="shared" si="8" ref="C24:H24">AVERAGE(C10,C21)</f>
        <v>27063.5</v>
      </c>
      <c r="D24" s="23">
        <f t="shared" si="8"/>
        <v>27447</v>
      </c>
      <c r="E24" s="23">
        <f t="shared" si="8"/>
        <v>27205</v>
      </c>
      <c r="F24" s="23">
        <f t="shared" si="8"/>
        <v>27762.5</v>
      </c>
      <c r="G24" s="23">
        <f t="shared" si="8"/>
        <v>31203.5</v>
      </c>
      <c r="H24" s="48">
        <f t="shared" si="8"/>
        <v>34678</v>
      </c>
      <c r="I24" s="1"/>
      <c r="J24" s="1"/>
      <c r="K24" s="1"/>
      <c r="L24" s="1"/>
    </row>
    <row r="25" ht="15" customHeight="1">
      <c r="A25" s="1"/>
      <c r="B25" s="50" t="s">
        <v>111</v>
      </c>
      <c r="C25" s="24"/>
      <c r="D25" s="24"/>
      <c r="E25" s="24"/>
      <c r="F25" s="42">
        <f>F24/((Inputs!G29+Inputs!G30)/2)-1</f>
        <v>0.04448833709556066</v>
      </c>
      <c r="G25" s="42">
        <f>G24/((Inputs!H29+Inputs!H30)/2)-1</f>
        <v>0.1648530097993468</v>
      </c>
      <c r="H25" s="49">
        <f t="shared" si="3"/>
        <v>0.281356808986273</v>
      </c>
      <c r="I25" s="1"/>
      <c r="J25" s="1"/>
      <c r="K25" s="1"/>
      <c r="L25" s="1"/>
    </row>
    <row r="26" ht="15" customHeight="1">
      <c r="A26" s="1"/>
      <c r="B26" s="56" t="s">
        <v>144</v>
      </c>
      <c r="C26" s="22">
        <f>C24-((Inputs!H29+Inputs!H30)/2)</f>
        <v>276</v>
      </c>
      <c r="D26" s="23">
        <f t="shared" si="1"/>
        <v>383.5</v>
      </c>
      <c r="E26" s="23"/>
      <c r="F26" s="23">
        <f t="shared" si="4"/>
        <v>315.5</v>
      </c>
      <c r="G26" s="23">
        <f t="shared" si="1"/>
        <v>3441</v>
      </c>
      <c r="H26" s="48">
        <f t="shared" si="1"/>
        <v>3474.5</v>
      </c>
      <c r="I26" s="1"/>
      <c r="J26" s="1"/>
      <c r="K26" s="1"/>
      <c r="L26" s="1"/>
    </row>
    <row r="27" ht="15" customHeight="1">
      <c r="A27" s="1"/>
      <c r="B27" s="17" t="s">
        <v>161</v>
      </c>
      <c r="C27" s="33">
        <v>8643</v>
      </c>
      <c r="D27" s="33">
        <v>8610</v>
      </c>
      <c r="E27" s="23">
        <f t="shared" si="9"/>
        <v>8610</v>
      </c>
      <c r="F27" s="33">
        <v>7759</v>
      </c>
      <c r="G27" s="33">
        <v>9392</v>
      </c>
      <c r="H27" s="48"/>
      <c r="I27" s="1"/>
      <c r="J27" s="1" t="s">
        <v>162</v>
      </c>
      <c r="K27" s="1"/>
      <c r="L27" s="1"/>
    </row>
    <row r="28" ht="15" customHeight="1">
      <c r="A28" s="1"/>
      <c r="B28" s="50" t="s">
        <v>111</v>
      </c>
      <c r="C28" s="24"/>
      <c r="D28" s="24"/>
      <c r="E28" s="24"/>
      <c r="F28" s="42">
        <f>F27/Inputs!G31-1</f>
        <v>-0.12337588972997404</v>
      </c>
      <c r="G28" s="42">
        <f>G27/Inputs!H31-1</f>
        <v>0.14466788543570996</v>
      </c>
      <c r="H28" s="49"/>
      <c r="I28" s="1"/>
      <c r="J28" s="1"/>
      <c r="K28" s="1"/>
      <c r="L28" s="1"/>
    </row>
    <row r="29" ht="15" customHeight="1">
      <c r="A29" s="1"/>
      <c r="B29" s="56" t="s">
        <v>144</v>
      </c>
      <c r="C29" s="22">
        <f>C27-Inputs!H31</f>
        <v>438</v>
      </c>
      <c r="D29" s="23">
        <f t="shared" si="1"/>
        <v>-33</v>
      </c>
      <c r="E29" s="23"/>
      <c r="F29" s="23">
        <f t="shared" si="4"/>
        <v>-851</v>
      </c>
      <c r="G29" s="23">
        <f t="shared" si="1"/>
        <v>1633</v>
      </c>
      <c r="H29" s="48"/>
      <c r="I29" s="1"/>
      <c r="J29" s="1"/>
      <c r="K29" s="1"/>
      <c r="L29" s="1"/>
    </row>
    <row r="30" ht="15" customHeight="1">
      <c r="A30" s="1"/>
      <c r="B30" s="17" t="s">
        <v>163</v>
      </c>
      <c r="C30" s="23">
        <f t="shared" si="10" ref="C30:G30">C21-C27</f>
        <v>18455</v>
      </c>
      <c r="D30" s="23">
        <f t="shared" si="10"/>
        <v>19186</v>
      </c>
      <c r="E30" s="23">
        <f t="shared" si="10"/>
        <v>19186</v>
      </c>
      <c r="F30" s="23">
        <f t="shared" si="10"/>
        <v>19970</v>
      </c>
      <c r="G30" s="23">
        <f t="shared" si="10"/>
        <v>25286</v>
      </c>
      <c r="H30" s="48"/>
      <c r="I30" s="1"/>
      <c r="J30" s="1"/>
      <c r="K30" s="1"/>
      <c r="L30" s="1"/>
    </row>
    <row r="31" ht="15" customHeight="1">
      <c r="A31" s="1"/>
      <c r="B31" s="50" t="s">
        <v>111</v>
      </c>
      <c r="C31" s="24"/>
      <c r="D31" s="24"/>
      <c r="E31" s="24"/>
      <c r="F31" s="42">
        <f>F30/(Inputs!G30-Inputs!G31)-1</f>
        <v>0.128567391918621</v>
      </c>
      <c r="G31" s="42">
        <f>G30/(Inputs!H30-Inputs!H31)-1</f>
        <v>0.3432851678708033</v>
      </c>
      <c r="H31" s="49"/>
      <c r="I31" s="1"/>
      <c r="J31" s="1"/>
      <c r="K31" s="1"/>
      <c r="L31" s="1"/>
    </row>
    <row r="32" ht="15" customHeight="1">
      <c r="A32" s="1"/>
      <c r="B32" s="56" t="s">
        <v>144</v>
      </c>
      <c r="C32" s="22">
        <f>C30-(Inputs!H30-Inputs!H31)</f>
        <v>-369</v>
      </c>
      <c r="D32" s="23">
        <f t="shared" si="1"/>
        <v>731</v>
      </c>
      <c r="E32" s="23"/>
      <c r="F32" s="23">
        <f t="shared" si="4"/>
        <v>784</v>
      </c>
      <c r="G32" s="23">
        <f t="shared" si="1"/>
        <v>5316</v>
      </c>
      <c r="H32" s="48"/>
      <c r="I32" s="1"/>
      <c r="J32" s="1"/>
      <c r="K32" s="1"/>
      <c r="L32" s="1"/>
    </row>
    <row r="33" ht="15" customHeight="1">
      <c r="A33" s="1"/>
      <c r="B33" s="35" t="s">
        <v>164</v>
      </c>
      <c r="C33" s="24">
        <f t="shared" si="11" ref="C33:G33">C27/C21</f>
        <v>0.3189534282972913</v>
      </c>
      <c r="D33" s="24">
        <f t="shared" si="11"/>
        <v>0.3097567995395021</v>
      </c>
      <c r="E33" s="24">
        <f t="shared" si="11"/>
        <v>0.3097567995395021</v>
      </c>
      <c r="F33" s="24">
        <f t="shared" si="11"/>
        <v>0.27981535576472283</v>
      </c>
      <c r="G33" s="24">
        <f t="shared" si="11"/>
        <v>0.27083453486360226</v>
      </c>
      <c r="H33" s="49"/>
      <c r="I33" s="1"/>
      <c r="J33" s="1"/>
      <c r="K33" s="1"/>
      <c r="L33" s="1"/>
    </row>
    <row r="34" ht="15" customHeight="1">
      <c r="A34" s="1"/>
      <c r="B34" s="50" t="s">
        <v>114</v>
      </c>
      <c r="C34" s="54"/>
      <c r="D34" s="54"/>
      <c r="E34" s="54"/>
      <c r="F34" s="52">
        <f>(F33-(Inputs!G31/Inputs!G30))*10000</f>
        <v>-536.0587530587163</v>
      </c>
      <c r="G34" s="52">
        <f>(G33-(Inputs!H31/Inputs!H30))*10000</f>
        <v>-327.2830504908414</v>
      </c>
      <c r="H34" s="53"/>
      <c r="I34" s="1"/>
      <c r="J34" s="1"/>
      <c r="K34" s="1"/>
      <c r="L34" s="1"/>
    </row>
    <row r="35" ht="15" customHeight="1">
      <c r="A35" s="1"/>
      <c r="B35" s="50" t="s">
        <v>115</v>
      </c>
      <c r="C35" s="52">
        <f>(C33-(Inputs!H31/Inputs!H30))*10000</f>
        <v>153.90588384604885</v>
      </c>
      <c r="D35" s="54">
        <f t="shared" si="12" ref="D35:H194">(D33-C33)*10000</f>
        <v>-91.96628757789205</v>
      </c>
      <c r="E35" s="54"/>
      <c r="F35" s="54">
        <f t="shared" si="14" ref="F35:F194">(F33-D33)*10000</f>
        <v>-299.41443774779253</v>
      </c>
      <c r="G35" s="54">
        <f t="shared" si="12"/>
        <v>-89.80820901120568</v>
      </c>
      <c r="H35" s="53"/>
      <c r="I35" s="1"/>
      <c r="J35" s="1"/>
      <c r="K35" s="1"/>
      <c r="L35" s="1"/>
    </row>
    <row r="36" ht="15" customHeight="1">
      <c r="A36" s="1"/>
      <c r="B36" s="1"/>
      <c r="C36" s="1"/>
      <c r="D36" s="1"/>
      <c r="E36" s="1"/>
      <c r="F36" s="1"/>
      <c r="G36" s="1"/>
      <c r="H36" s="45"/>
      <c r="I36" s="1"/>
      <c r="J36" s="1"/>
      <c r="K36" s="1"/>
      <c r="L36" s="1"/>
    </row>
    <row r="37" ht="15" customHeight="1">
      <c r="A37" s="1"/>
      <c r="B37" s="4" t="s">
        <v>165</v>
      </c>
      <c r="C37" s="34"/>
      <c r="D37" s="34"/>
      <c r="E37" s="34"/>
      <c r="F37" s="34"/>
      <c r="G37" s="34"/>
      <c r="H37" s="32"/>
      <c r="I37" s="1"/>
      <c r="J37" s="1"/>
      <c r="K37" s="1"/>
      <c r="L37" s="1"/>
    </row>
    <row r="38" ht="15" customHeight="1">
      <c r="A38" s="1"/>
      <c r="B38" s="35" t="s">
        <v>166</v>
      </c>
      <c r="C38" s="24">
        <f t="shared" si="13" ref="C38:G38">C49/C10</f>
        <v>0.07617743904694957</v>
      </c>
      <c r="D38" s="24">
        <f t="shared" si="13"/>
        <v>0.07923093955273453</v>
      </c>
      <c r="E38" s="24">
        <f t="shared" si="13"/>
        <v>0.3006688209213196</v>
      </c>
      <c r="F38" s="24">
        <f t="shared" si="13"/>
        <v>0.06831918261620377</v>
      </c>
      <c r="G38" s="24">
        <f t="shared" si="13"/>
        <v>0.07548054383497421</v>
      </c>
      <c r="H38" s="57">
        <v>0.065</v>
      </c>
      <c r="I38" s="1"/>
      <c r="J38" s="1" t="s">
        <v>167</v>
      </c>
      <c r="K38" s="1"/>
      <c r="L38" s="1"/>
    </row>
    <row r="39" ht="15" customHeight="1">
      <c r="A39" s="1"/>
      <c r="B39" s="50" t="s">
        <v>114</v>
      </c>
      <c r="C39" s="54"/>
      <c r="D39" s="54"/>
      <c r="E39" s="54"/>
      <c r="F39" s="52">
        <f>(F38-(Inputs!G32/Inputs!G29))*10000</f>
        <v>4.977352576706756</v>
      </c>
      <c r="G39" s="52">
        <f>(G38-(Inputs!H32/Inputs!H29))*10000</f>
        <v>4.786603120329053</v>
      </c>
      <c r="H39" s="53">
        <f t="shared" si="20" ref="H39:H167">(H38-C38)*10000</f>
        <v>-111.77439046949567</v>
      </c>
      <c r="I39" s="1"/>
      <c r="J39" s="1"/>
      <c r="K39" s="1"/>
      <c r="L39" s="1"/>
    </row>
    <row r="40" ht="15" customHeight="1">
      <c r="A40" s="1"/>
      <c r="B40" s="50" t="s">
        <v>115</v>
      </c>
      <c r="C40" s="52">
        <f>(C38-(Inputs!H32/Inputs!H29))*10000</f>
        <v>11.755555240082622</v>
      </c>
      <c r="D40" s="54">
        <f t="shared" si="12"/>
        <v>30.535005057849563</v>
      </c>
      <c r="E40" s="54"/>
      <c r="F40" s="54">
        <f t="shared" si="14"/>
        <v>-109.1175693653075</v>
      </c>
      <c r="G40" s="54">
        <f t="shared" si="12"/>
        <v>71.61361218770438</v>
      </c>
      <c r="H40" s="53">
        <f t="shared" si="12"/>
        <v>-104.8054383497421</v>
      </c>
      <c r="I40" s="1"/>
      <c r="J40" s="1"/>
      <c r="K40" s="1"/>
      <c r="L40" s="1"/>
    </row>
    <row r="41" ht="15" customHeight="1">
      <c r="A41" s="1"/>
      <c r="B41" s="17" t="s">
        <v>168</v>
      </c>
      <c r="C41" s="60">
        <f t="shared" si="15" ref="C41:G41">C13/C49</f>
        <v>1.0335114133074308</v>
      </c>
      <c r="D41" s="60">
        <f t="shared" si="15"/>
        <v>1.3251047973917094</v>
      </c>
      <c r="E41" s="60">
        <f t="shared" si="15"/>
        <v>1.147713071732067</v>
      </c>
      <c r="F41" s="60">
        <f t="shared" si="15"/>
        <v>0.9647182727751448</v>
      </c>
      <c r="G41" s="60">
        <f t="shared" si="15"/>
        <v>4.3201146679407545</v>
      </c>
      <c r="H41" s="66">
        <v>1</v>
      </c>
      <c r="I41" s="1"/>
      <c r="J41" s="1" t="s">
        <v>169</v>
      </c>
      <c r="K41" s="1"/>
      <c r="L41" s="1"/>
    </row>
    <row r="42" ht="15" customHeight="1">
      <c r="A42" s="1"/>
      <c r="B42" s="50" t="s">
        <v>149</v>
      </c>
      <c r="C42" s="62"/>
      <c r="D42" s="62"/>
      <c r="E42" s="62"/>
      <c r="F42" s="63">
        <f>F41-((Inputs!G30-Inputs!G29+Inputs!G32)/Inputs!G32)</f>
        <v>0.0023914029690506045</v>
      </c>
      <c r="G42" s="63">
        <f>G41-((Inputs!H30-Inputs!H29+Inputs!H32)/Inputs!H32)</f>
        <v>3.0775230054595895</v>
      </c>
      <c r="H42" s="64">
        <f t="shared" si="17" ref="H42:H45">H41-C41</f>
        <v>-0.03351141330743079</v>
      </c>
      <c r="I42" s="1"/>
      <c r="J42" s="1"/>
      <c r="K42" s="1"/>
      <c r="L42" s="1"/>
    </row>
    <row r="43" ht="15" customHeight="1">
      <c r="A43" s="1"/>
      <c r="B43" s="50" t="s">
        <v>150</v>
      </c>
      <c r="C43" s="63">
        <f>C41-((Inputs!H30-Inputs!H29+Inputs!H32)/Inputs!H32)</f>
        <v>-0.20908024917373447</v>
      </c>
      <c r="D43" s="62">
        <f t="shared" si="1"/>
        <v>0.2915933840842786</v>
      </c>
      <c r="E43" s="62"/>
      <c r="F43" s="62">
        <f t="shared" si="4"/>
        <v>-0.3603865246165646</v>
      </c>
      <c r="G43" s="62">
        <f t="shared" si="1"/>
        <v>3.35539639516561</v>
      </c>
      <c r="H43" s="64">
        <f t="shared" si="1"/>
        <v>-3.3201146679407545</v>
      </c>
      <c r="I43" s="1"/>
      <c r="J43" s="1"/>
      <c r="K43" s="1"/>
      <c r="L43" s="1"/>
    </row>
    <row r="44" ht="15" customHeight="1">
      <c r="A44" s="1"/>
      <c r="B44" s="17" t="s">
        <v>170</v>
      </c>
      <c r="C44" s="60">
        <f t="shared" si="16" ref="C44:H44">C21/C49</f>
        <v>13.160757649344342</v>
      </c>
      <c r="D44" s="60">
        <f t="shared" si="16"/>
        <v>12.946436888681882</v>
      </c>
      <c r="E44" s="60"/>
      <c r="F44" s="60">
        <f t="shared" si="16"/>
        <v>14.601895734597157</v>
      </c>
      <c r="G44" s="60">
        <f t="shared" si="16"/>
        <v>16.568561872909697</v>
      </c>
      <c r="H44" s="61">
        <f t="shared" si="16"/>
        <v>15.384615384615383</v>
      </c>
      <c r="I44" s="1"/>
      <c r="J44" s="1" t="s">
        <v>171</v>
      </c>
      <c r="K44" s="1"/>
      <c r="L44" s="1"/>
    </row>
    <row r="45" ht="15" customHeight="1">
      <c r="A45" s="1"/>
      <c r="B45" s="50" t="s">
        <v>149</v>
      </c>
      <c r="C45" s="62"/>
      <c r="D45" s="63">
        <f>D44-(Inputs!E30/Inputs!E32)</f>
        <v>-0.3406325072242584</v>
      </c>
      <c r="E45" s="62"/>
      <c r="F45" s="63">
        <f>F44-(Inputs!G30/Inputs!G32)</f>
        <v>-0.10502947315907463</v>
      </c>
      <c r="G45" s="63">
        <f>G44-(Inputs!H30/Inputs!H32)</f>
        <v>2.992971717209045</v>
      </c>
      <c r="H45" s="64">
        <f t="shared" si="17"/>
        <v>2.223857735271041</v>
      </c>
      <c r="I45" s="1"/>
      <c r="J45" s="1"/>
      <c r="K45" s="1"/>
      <c r="L45" s="1"/>
    </row>
    <row r="46" ht="15" customHeight="1">
      <c r="A46" s="1"/>
      <c r="B46" s="50" t="s">
        <v>150</v>
      </c>
      <c r="C46" s="63">
        <f>C44-(Inputs!H30/Inputs!H32)</f>
        <v>-0.4148325063563103</v>
      </c>
      <c r="D46" s="62">
        <f t="shared" si="1"/>
        <v>-0.21432076066245997</v>
      </c>
      <c r="E46" s="62"/>
      <c r="F46" s="62">
        <f t="shared" si="4"/>
        <v>1.655458845915275</v>
      </c>
      <c r="G46" s="62">
        <f t="shared" si="1"/>
        <v>1.9666661383125401</v>
      </c>
      <c r="H46" s="64">
        <f t="shared" si="1"/>
        <v>-1.183946488294314</v>
      </c>
      <c r="I46" s="1"/>
      <c r="J46" s="1"/>
      <c r="K46" s="1"/>
      <c r="L46" s="1"/>
    </row>
    <row r="47" ht="15" customHeight="1">
      <c r="A47" s="1"/>
      <c r="B47" s="1"/>
      <c r="C47" s="1"/>
      <c r="D47" s="1"/>
      <c r="E47" s="1"/>
      <c r="F47" s="1"/>
      <c r="G47" s="1"/>
      <c r="H47" s="45"/>
      <c r="I47" s="1"/>
      <c r="J47" s="1"/>
      <c r="K47" s="1"/>
      <c r="L47" s="1"/>
    </row>
    <row r="48" ht="15" customHeight="1">
      <c r="A48" s="1"/>
      <c r="B48" s="4" t="s">
        <v>172</v>
      </c>
      <c r="C48" s="34"/>
      <c r="D48" s="34"/>
      <c r="E48" s="34"/>
      <c r="F48" s="34"/>
      <c r="G48" s="34"/>
      <c r="H48" s="32"/>
      <c r="I48" s="1"/>
      <c r="J48" s="1"/>
      <c r="K48" s="1"/>
      <c r="L48" s="1"/>
    </row>
    <row r="49" ht="15" customHeight="1">
      <c r="A49" s="1"/>
      <c r="B49" s="4" t="s">
        <v>232</v>
      </c>
      <c r="C49" s="67">
        <v>2059</v>
      </c>
      <c r="D49" s="67">
        <v>2147</v>
      </c>
      <c r="E49" s="67">
        <v>8002</v>
      </c>
      <c r="F49" s="67">
        <v>1899</v>
      </c>
      <c r="G49" s="67">
        <v>2093</v>
      </c>
      <c r="H49" s="68">
        <f>H10*H38</f>
        <v>2254.07</v>
      </c>
      <c r="I49" s="1"/>
      <c r="J49" s="1" t="s">
        <v>174</v>
      </c>
      <c r="K49" s="1"/>
      <c r="L49" s="1"/>
    </row>
    <row r="50" ht="15" customHeight="1">
      <c r="A50" s="1"/>
      <c r="B50" s="50" t="s">
        <v>111</v>
      </c>
      <c r="C50" s="42">
        <f>C49/Inputs!C32-1</f>
        <v>0.14388888888888896</v>
      </c>
      <c r="D50" s="42">
        <f>D49/Inputs!E32-1</f>
        <v>0.07189216175736401</v>
      </c>
      <c r="E50" s="42">
        <f>E49/Inputs!F32-1</f>
        <v>0.0814974996621165</v>
      </c>
      <c r="F50" s="42">
        <f>F49/Inputs!G32-1</f>
        <v>0.052077562326869886</v>
      </c>
      <c r="G50" s="42">
        <f>G49/Inputs!H32-1</f>
        <v>0.05123053741838279</v>
      </c>
      <c r="H50" s="49">
        <f t="shared" si="3"/>
        <v>0.09474016512870342</v>
      </c>
      <c r="I50" s="1"/>
      <c r="J50" s="1"/>
      <c r="K50" s="1"/>
      <c r="L50" s="1"/>
    </row>
    <row r="51" ht="15" customHeight="1">
      <c r="A51" s="1"/>
      <c r="B51" s="56" t="s">
        <v>144</v>
      </c>
      <c r="C51" s="22">
        <f>C49-Inputs!H32</f>
        <v>68</v>
      </c>
      <c r="D51" s="23">
        <f t="shared" si="1"/>
        <v>88</v>
      </c>
      <c r="E51" s="23"/>
      <c r="F51" s="23">
        <f t="shared" si="4"/>
        <v>-248</v>
      </c>
      <c r="G51" s="23">
        <f t="shared" si="1"/>
        <v>194</v>
      </c>
      <c r="H51" s="48">
        <f t="shared" si="1"/>
        <v>161.07000000000016</v>
      </c>
      <c r="I51" s="1"/>
      <c r="J51" s="1"/>
      <c r="K51" s="1"/>
      <c r="L51" s="1"/>
    </row>
    <row r="52" ht="15" customHeight="1">
      <c r="A52" s="1"/>
      <c r="B52" s="56" t="s">
        <v>175</v>
      </c>
      <c r="C52" s="33">
        <v>0</v>
      </c>
      <c r="D52" s="33">
        <v>0</v>
      </c>
      <c r="E52" s="33">
        <v>112</v>
      </c>
      <c r="F52" s="33">
        <v>0</v>
      </c>
      <c r="G52" s="33">
        <v>0</v>
      </c>
      <c r="H52" s="69">
        <v>0</v>
      </c>
      <c r="I52" s="1"/>
      <c r="J52" s="1" t="s">
        <v>233</v>
      </c>
      <c r="K52" s="1"/>
      <c r="L52" s="1"/>
    </row>
    <row r="53" ht="15" customHeight="1">
      <c r="A53" s="1"/>
      <c r="B53" s="50" t="s">
        <v>177</v>
      </c>
      <c r="C53" s="42">
        <f>(C49-C52)/(Inputs!C32-Inputs!C33)-1</f>
        <v>0.1901734104046242</v>
      </c>
      <c r="D53" s="42">
        <f>(D49-D52)/(Inputs!E32-Inputs!E33)-1</f>
        <v>0.11532467532467527</v>
      </c>
      <c r="E53" s="42">
        <f>(E49-E52)/(Inputs!F32-Inputs!F33)-1</f>
        <v>0.11205073995771664</v>
      </c>
      <c r="F53" s="42">
        <f>(F49-F52)/(Inputs!G32-Inputs!G33)-1</f>
        <v>0.09578765147143686</v>
      </c>
      <c r="G53" s="42">
        <f>(G49-G52)/(Inputs!H32-Inputs!H33)-1</f>
        <v>0.07278318810866224</v>
      </c>
      <c r="H53" s="49">
        <f>(H49-H52)/(C49-C52)-1</f>
        <v>0.09474016512870342</v>
      </c>
      <c r="I53" s="1"/>
      <c r="J53" s="1"/>
      <c r="K53" s="1"/>
      <c r="L53" s="1"/>
    </row>
    <row r="54" ht="15" customHeight="1">
      <c r="A54" s="1"/>
      <c r="B54" s="50" t="s">
        <v>117</v>
      </c>
      <c r="C54" s="24">
        <f t="shared" si="18" ref="C54:H54">(1+C50)/(1+C53)-1</f>
        <v>-0.03888888888888875</v>
      </c>
      <c r="D54" s="24">
        <f t="shared" si="18"/>
        <v>-0.03894158761857203</v>
      </c>
      <c r="E54" s="24">
        <f t="shared" si="18"/>
        <v>-0.027474681862773465</v>
      </c>
      <c r="F54" s="24">
        <f t="shared" si="18"/>
        <v>-0.039889196675900296</v>
      </c>
      <c r="G54" s="24">
        <f t="shared" si="18"/>
        <v>-0.02009040683073826</v>
      </c>
      <c r="H54" s="49">
        <f t="shared" si="18"/>
        <v>0</v>
      </c>
      <c r="I54" s="1"/>
      <c r="J54" s="1"/>
      <c r="K54" s="1"/>
      <c r="L54" s="1"/>
    </row>
    <row r="55" ht="15" customHeight="1">
      <c r="A55" s="1"/>
      <c r="B55" s="56" t="s">
        <v>118</v>
      </c>
      <c r="C55" s="34" t="s">
        <v>38</v>
      </c>
      <c r="D55" s="34" t="s">
        <v>38</v>
      </c>
      <c r="E55" s="34" t="s">
        <v>38</v>
      </c>
      <c r="F55" s="34" t="s">
        <v>38</v>
      </c>
      <c r="G55" s="34" t="s">
        <v>38</v>
      </c>
      <c r="H55" s="32" t="s">
        <v>38</v>
      </c>
      <c r="I55" s="1"/>
      <c r="J55" s="1" t="s">
        <v>178</v>
      </c>
      <c r="K55" s="1"/>
      <c r="L55" s="1"/>
    </row>
    <row r="56" ht="15" customHeight="1">
      <c r="A56" s="1"/>
      <c r="B56" s="35" t="s">
        <v>179</v>
      </c>
      <c r="C56" s="24">
        <f t="shared" si="19" ref="C56:G56">C59/C49</f>
        <v>0.02476930548810102</v>
      </c>
      <c r="D56" s="24">
        <f t="shared" si="19"/>
        <v>0.02841173730787145</v>
      </c>
      <c r="E56" s="24">
        <f t="shared" si="19"/>
        <v>0.026243439140214948</v>
      </c>
      <c r="F56" s="24">
        <f t="shared" si="19"/>
        <v>0.02738283307003686</v>
      </c>
      <c r="G56" s="24">
        <f t="shared" si="19"/>
        <v>0.026278069756330624</v>
      </c>
      <c r="H56" s="57">
        <v>0.025</v>
      </c>
      <c r="I56" s="1"/>
      <c r="J56" s="1" t="s">
        <v>180</v>
      </c>
      <c r="K56" s="1"/>
      <c r="L56" s="1"/>
    </row>
    <row r="57" ht="15" customHeight="1">
      <c r="A57" s="1"/>
      <c r="B57" s="50" t="s">
        <v>114</v>
      </c>
      <c r="C57" s="52">
        <f>(C56-(Inputs!C34/Inputs!C32))*10000</f>
        <v>8.804165992121298</v>
      </c>
      <c r="D57" s="52">
        <f>(D56-(Inputs!E34/Inputs!E32))*10000</f>
        <v>79.42441251955323</v>
      </c>
      <c r="E57" s="52">
        <f>(E56-(Inputs!F34/Inputs!F32))*10000</f>
        <v>31.32207892749074</v>
      </c>
      <c r="F57" s="52">
        <f>(F56-(Inputs!G34/Inputs!G32))*10000</f>
        <v>24.52085147599186</v>
      </c>
      <c r="G57" s="52">
        <f>(G56-(Inputs!H34/Inputs!H32))*10000</f>
        <v>-3.4171929439765285</v>
      </c>
      <c r="H57" s="53">
        <f t="shared" si="20"/>
        <v>2.3069451189898156</v>
      </c>
      <c r="I57" s="1"/>
      <c r="J57" s="1"/>
      <c r="K57" s="1"/>
      <c r="L57" s="1"/>
    </row>
    <row r="58" ht="15" customHeight="1">
      <c r="A58" s="1"/>
      <c r="B58" s="50" t="s">
        <v>115</v>
      </c>
      <c r="C58" s="52">
        <f>(C56-(Inputs!H34/Inputs!H32))*10000</f>
        <v>-18.504835626272573</v>
      </c>
      <c r="D58" s="54">
        <f t="shared" si="12"/>
        <v>36.4243181977043</v>
      </c>
      <c r="E58" s="54"/>
      <c r="F58" s="54">
        <f t="shared" si="14"/>
        <v>-10.289042378345895</v>
      </c>
      <c r="G58" s="54">
        <f t="shared" si="12"/>
        <v>-11.047633137062363</v>
      </c>
      <c r="H58" s="53">
        <f t="shared" si="12"/>
        <v>-12.780697563306228</v>
      </c>
      <c r="I58" s="1"/>
      <c r="J58" s="1"/>
      <c r="K58" s="1"/>
      <c r="L58" s="1"/>
    </row>
    <row r="59" ht="15" customHeight="1">
      <c r="A59" s="1"/>
      <c r="B59" s="17" t="s">
        <v>181</v>
      </c>
      <c r="C59" s="33">
        <v>51</v>
      </c>
      <c r="D59" s="22">
        <f>E59-Inputs!D162</f>
        <v>61</v>
      </c>
      <c r="E59" s="33">
        <v>210</v>
      </c>
      <c r="F59" s="33">
        <v>52</v>
      </c>
      <c r="G59" s="33">
        <v>55</v>
      </c>
      <c r="H59" s="48">
        <f>H49*H56</f>
        <v>56.35175000000001</v>
      </c>
      <c r="I59" s="1"/>
      <c r="J59" s="1" t="s">
        <v>182</v>
      </c>
      <c r="K59" s="1"/>
      <c r="L59" s="1"/>
    </row>
    <row r="60" ht="15" customHeight="1">
      <c r="A60" s="1"/>
      <c r="B60" s="50" t="s">
        <v>111</v>
      </c>
      <c r="C60" s="42">
        <f>C59/Inputs!C34-1</f>
        <v>0.18604651162790709</v>
      </c>
      <c r="D60" s="42">
        <f>D59/Inputs!E34-1</f>
        <v>0.4878048780487805</v>
      </c>
      <c r="E60" s="42">
        <f>E59/Inputs!F34-1</f>
        <v>0.22807017543859653</v>
      </c>
      <c r="F60" s="42">
        <f>F59/Inputs!G34-1</f>
        <v>0.15555555555555545</v>
      </c>
      <c r="G60" s="42">
        <f>G59/Inputs!H34-1</f>
        <v>0.037735849056603765</v>
      </c>
      <c r="H60" s="49">
        <f t="shared" si="3"/>
        <v>0.10493627450980414</v>
      </c>
      <c r="I60" s="1"/>
      <c r="J60" s="1"/>
      <c r="K60" s="1"/>
      <c r="L60" s="1"/>
    </row>
    <row r="61" ht="15" customHeight="1">
      <c r="A61" s="1"/>
      <c r="B61" s="56" t="s">
        <v>144</v>
      </c>
      <c r="C61" s="22">
        <f>C59-Inputs!H34</f>
        <v>-2</v>
      </c>
      <c r="D61" s="23">
        <f t="shared" si="1"/>
        <v>10</v>
      </c>
      <c r="E61" s="23"/>
      <c r="F61" s="23">
        <f t="shared" si="4"/>
        <v>-9</v>
      </c>
      <c r="G61" s="23">
        <f t="shared" si="1"/>
        <v>3</v>
      </c>
      <c r="H61" s="48">
        <f t="shared" si="1"/>
        <v>1.3517500000000098</v>
      </c>
      <c r="I61" s="1"/>
      <c r="J61" s="1"/>
      <c r="K61" s="1"/>
      <c r="L61" s="1"/>
    </row>
    <row r="62" ht="15" customHeight="1">
      <c r="A62" s="1"/>
      <c r="B62" s="50" t="s">
        <v>119</v>
      </c>
      <c r="C62" s="24" t="s">
        <v>38</v>
      </c>
      <c r="D62" s="24" t="s">
        <v>38</v>
      </c>
      <c r="E62" s="24" t="s">
        <v>38</v>
      </c>
      <c r="F62" s="24" t="s">
        <v>38</v>
      </c>
      <c r="G62" s="24" t="s">
        <v>38</v>
      </c>
      <c r="H62" s="49">
        <f t="shared" si="22" ref="H62:H147">H60</f>
        <v>0.10493627450980414</v>
      </c>
      <c r="I62" s="1"/>
      <c r="J62" s="1" t="s">
        <v>234</v>
      </c>
      <c r="K62" s="1"/>
      <c r="L62" s="1"/>
    </row>
    <row r="63" ht="15" customHeight="1">
      <c r="A63" s="1"/>
      <c r="B63" s="50" t="s">
        <v>117</v>
      </c>
      <c r="C63" s="24" t="s">
        <v>38</v>
      </c>
      <c r="D63" s="24" t="s">
        <v>38</v>
      </c>
      <c r="E63" s="24" t="s">
        <v>38</v>
      </c>
      <c r="F63" s="24" t="s">
        <v>38</v>
      </c>
      <c r="G63" s="24" t="s">
        <v>38</v>
      </c>
      <c r="H63" s="57">
        <v>0</v>
      </c>
      <c r="I63" s="1"/>
      <c r="J63" s="1"/>
      <c r="K63" s="1"/>
      <c r="L63" s="1"/>
    </row>
    <row r="64" ht="15" customHeight="1">
      <c r="A64" s="1"/>
      <c r="B64" s="56" t="s">
        <v>118</v>
      </c>
      <c r="C64" s="34" t="s">
        <v>38</v>
      </c>
      <c r="D64" s="34" t="s">
        <v>38</v>
      </c>
      <c r="E64" s="34" t="s">
        <v>38</v>
      </c>
      <c r="F64" s="34" t="s">
        <v>38</v>
      </c>
      <c r="G64" s="34" t="s">
        <v>38</v>
      </c>
      <c r="H64" s="32" t="s">
        <v>38</v>
      </c>
      <c r="I64" s="1"/>
      <c r="J64" s="1"/>
      <c r="K64" s="1"/>
      <c r="L64" s="1"/>
    </row>
    <row r="65" ht="15" customHeight="1">
      <c r="A65" s="1"/>
      <c r="B65" s="4" t="s">
        <v>185</v>
      </c>
      <c r="C65" s="46">
        <f t="shared" si="21" ref="C65:H65">C49-C59</f>
        <v>2008</v>
      </c>
      <c r="D65" s="46">
        <f t="shared" si="21"/>
        <v>2086</v>
      </c>
      <c r="E65" s="46">
        <f t="shared" si="21"/>
        <v>7792</v>
      </c>
      <c r="F65" s="46">
        <f t="shared" si="21"/>
        <v>1847</v>
      </c>
      <c r="G65" s="46">
        <f t="shared" si="21"/>
        <v>2038</v>
      </c>
      <c r="H65" s="47">
        <f t="shared" si="21"/>
        <v>2197.7182500000004</v>
      </c>
      <c r="I65" s="1"/>
      <c r="J65" s="1"/>
      <c r="K65" s="1"/>
      <c r="L65" s="1"/>
    </row>
    <row r="66" ht="15" customHeight="1">
      <c r="A66" s="1"/>
      <c r="B66" s="50" t="s">
        <v>111</v>
      </c>
      <c r="C66" s="42">
        <f>C65/(Inputs!C32-Inputs!C34)-1</f>
        <v>0.1428571428571428</v>
      </c>
      <c r="D66" s="42">
        <f>D65/(Inputs!E32-Inputs!E34)-1</f>
        <v>0.06320081549439349</v>
      </c>
      <c r="E66" s="42">
        <f>E65/(Inputs!F32-Inputs!F34)-1</f>
        <v>0.07802988378527953</v>
      </c>
      <c r="F66" s="42">
        <f>F65/(Inputs!G32-Inputs!G34)-1</f>
        <v>0.04943181818181808</v>
      </c>
      <c r="G66" s="42">
        <f>G65/(Inputs!H32-Inputs!H34)-1</f>
        <v>0.05159958720330238</v>
      </c>
      <c r="H66" s="49">
        <f t="shared" si="3"/>
        <v>0.09448120019920325</v>
      </c>
      <c r="I66" s="1"/>
      <c r="J66" s="1"/>
      <c r="K66" s="1"/>
      <c r="L66" s="1"/>
    </row>
    <row r="67" ht="15" customHeight="1">
      <c r="A67" s="1"/>
      <c r="B67" s="56" t="s">
        <v>144</v>
      </c>
      <c r="C67" s="22">
        <f>C65-(Inputs!H32-Inputs!H34)</f>
        <v>70</v>
      </c>
      <c r="D67" s="23">
        <f t="shared" si="1"/>
        <v>78</v>
      </c>
      <c r="E67" s="23"/>
      <c r="F67" s="23">
        <f t="shared" si="4"/>
        <v>-239</v>
      </c>
      <c r="G67" s="23">
        <f t="shared" si="1"/>
        <v>191</v>
      </c>
      <c r="H67" s="48">
        <f t="shared" si="1"/>
        <v>159.71825000000035</v>
      </c>
      <c r="I67" s="1"/>
      <c r="J67" s="1"/>
      <c r="K67" s="1"/>
      <c r="L67" s="1"/>
    </row>
    <row r="68" ht="15" customHeight="1">
      <c r="A68" s="1"/>
      <c r="B68" s="50" t="s">
        <v>119</v>
      </c>
      <c r="C68" s="24" t="s">
        <v>38</v>
      </c>
      <c r="D68" s="24" t="s">
        <v>38</v>
      </c>
      <c r="E68" s="24" t="s">
        <v>38</v>
      </c>
      <c r="F68" s="24" t="s">
        <v>38</v>
      </c>
      <c r="G68" s="24" t="s">
        <v>38</v>
      </c>
      <c r="H68" s="49">
        <f t="shared" si="22"/>
        <v>0.09448120019920325</v>
      </c>
      <c r="I68" s="1"/>
      <c r="J68" s="1" t="s">
        <v>235</v>
      </c>
      <c r="K68" s="1"/>
      <c r="L68" s="1"/>
    </row>
    <row r="69" ht="15" customHeight="1">
      <c r="A69" s="1"/>
      <c r="B69" s="50" t="s">
        <v>117</v>
      </c>
      <c r="C69" s="24" t="s">
        <v>38</v>
      </c>
      <c r="D69" s="24" t="s">
        <v>38</v>
      </c>
      <c r="E69" s="24" t="s">
        <v>38</v>
      </c>
      <c r="F69" s="24" t="s">
        <v>38</v>
      </c>
      <c r="G69" s="24" t="s">
        <v>38</v>
      </c>
      <c r="H69" s="57">
        <v>0</v>
      </c>
      <c r="I69" s="1"/>
      <c r="J69" s="1"/>
      <c r="K69" s="1"/>
      <c r="L69" s="1"/>
    </row>
    <row r="70" ht="15" customHeight="1">
      <c r="A70" s="1"/>
      <c r="B70" s="56" t="s">
        <v>118</v>
      </c>
      <c r="C70" s="34" t="s">
        <v>38</v>
      </c>
      <c r="D70" s="34" t="s">
        <v>38</v>
      </c>
      <c r="E70" s="34" t="s">
        <v>38</v>
      </c>
      <c r="F70" s="34" t="s">
        <v>38</v>
      </c>
      <c r="G70" s="34" t="s">
        <v>38</v>
      </c>
      <c r="H70" s="32" t="s">
        <v>38</v>
      </c>
      <c r="I70" s="1"/>
      <c r="J70" s="1"/>
      <c r="K70" s="1"/>
      <c r="L70" s="1"/>
    </row>
    <row r="71" ht="15" customHeight="1">
      <c r="A71" s="1"/>
      <c r="B71" s="1"/>
      <c r="C71" s="1"/>
      <c r="D71" s="1"/>
      <c r="E71" s="1"/>
      <c r="F71" s="1"/>
      <c r="G71" s="1"/>
      <c r="H71" s="45"/>
      <c r="I71" s="1"/>
      <c r="J71" s="1"/>
      <c r="K71" s="1"/>
      <c r="L71" s="1"/>
    </row>
    <row r="72" ht="15" customHeight="1">
      <c r="A72" s="1"/>
      <c r="B72" s="4" t="s">
        <v>187</v>
      </c>
      <c r="C72" s="34"/>
      <c r="D72" s="34"/>
      <c r="E72" s="34"/>
      <c r="F72" s="34"/>
      <c r="G72" s="34"/>
      <c r="H72" s="32"/>
      <c r="I72" s="1"/>
      <c r="J72" s="1"/>
      <c r="K72" s="1"/>
      <c r="L72" s="1"/>
    </row>
    <row r="73" ht="15" customHeight="1">
      <c r="A73" s="1"/>
      <c r="B73" s="17" t="s">
        <v>124</v>
      </c>
      <c r="C73" s="33">
        <v>1570</v>
      </c>
      <c r="D73" s="22">
        <f>E73-Inputs!D163</f>
        <v>1745</v>
      </c>
      <c r="E73" s="33">
        <v>6377</v>
      </c>
      <c r="F73" s="33">
        <v>1591</v>
      </c>
      <c r="G73" s="33">
        <v>1738</v>
      </c>
      <c r="H73" s="48">
        <f>H65*H93</f>
        <v>1883.6574106231735</v>
      </c>
      <c r="I73" s="1"/>
      <c r="J73" s="1" t="s">
        <v>188</v>
      </c>
      <c r="K73" s="1"/>
      <c r="L73" s="1"/>
    </row>
    <row r="74" ht="15" customHeight="1">
      <c r="A74" s="1"/>
      <c r="B74" s="50" t="s">
        <v>111</v>
      </c>
      <c r="C74" s="42">
        <f>C73/Inputs!C36-1</f>
        <v>0.06657608695652173</v>
      </c>
      <c r="D74" s="42">
        <f>D73/Inputs!E36-1</f>
        <v>0.07649599012954966</v>
      </c>
      <c r="E74" s="42">
        <f>E73/Inputs!F36-1</f>
        <v>0.05300528401585214</v>
      </c>
      <c r="F74" s="42">
        <f>F73/Inputs!G36-1</f>
        <v>0.09648518263266714</v>
      </c>
      <c r="G74" s="42">
        <f>G73/Inputs!H36-1</f>
        <v>0.07883302296710126</v>
      </c>
      <c r="H74" s="49">
        <f t="shared" si="3"/>
        <v>0.19978179020584297</v>
      </c>
      <c r="I74" s="1"/>
      <c r="J74" s="1"/>
      <c r="K74" s="1"/>
      <c r="L74" s="1"/>
    </row>
    <row r="75" ht="15" customHeight="1">
      <c r="A75" s="1"/>
      <c r="B75" s="56" t="s">
        <v>144</v>
      </c>
      <c r="C75" s="22">
        <f>C73-Inputs!H36</f>
        <v>-41</v>
      </c>
      <c r="D75" s="23">
        <f t="shared" si="1"/>
        <v>175</v>
      </c>
      <c r="E75" s="23"/>
      <c r="F75" s="23">
        <f t="shared" si="4"/>
        <v>-154</v>
      </c>
      <c r="G75" s="23">
        <f t="shared" si="1"/>
        <v>147</v>
      </c>
      <c r="H75" s="48">
        <f t="shared" si="1"/>
        <v>145.65741062317352</v>
      </c>
      <c r="I75" s="1"/>
      <c r="J75" s="1"/>
      <c r="K75" s="1"/>
      <c r="L75" s="1"/>
    </row>
    <row r="76" ht="15" customHeight="1">
      <c r="A76" s="1"/>
      <c r="B76" s="50" t="s">
        <v>119</v>
      </c>
      <c r="C76" s="24" t="s">
        <v>38</v>
      </c>
      <c r="D76" s="24" t="s">
        <v>38</v>
      </c>
      <c r="E76" s="24" t="s">
        <v>38</v>
      </c>
      <c r="F76" s="24" t="s">
        <v>38</v>
      </c>
      <c r="G76" s="24" t="s">
        <v>38</v>
      </c>
      <c r="H76" s="49">
        <f t="shared" si="22"/>
        <v>0.19978179020584297</v>
      </c>
      <c r="I76" s="1"/>
      <c r="J76" s="1" t="s">
        <v>236</v>
      </c>
      <c r="K76" s="1"/>
      <c r="L76" s="1"/>
    </row>
    <row r="77" ht="15" customHeight="1">
      <c r="A77" s="1"/>
      <c r="B77" s="50" t="s">
        <v>117</v>
      </c>
      <c r="C77" s="24" t="s">
        <v>38</v>
      </c>
      <c r="D77" s="24" t="s">
        <v>38</v>
      </c>
      <c r="E77" s="24" t="s">
        <v>38</v>
      </c>
      <c r="F77" s="24" t="s">
        <v>38</v>
      </c>
      <c r="G77" s="24" t="s">
        <v>38</v>
      </c>
      <c r="H77" s="57">
        <v>0</v>
      </c>
      <c r="I77" s="1"/>
      <c r="J77" s="1"/>
      <c r="K77" s="1"/>
      <c r="L77" s="1"/>
    </row>
    <row r="78" ht="15" customHeight="1">
      <c r="A78" s="1"/>
      <c r="B78" s="56" t="s">
        <v>118</v>
      </c>
      <c r="C78" s="34" t="s">
        <v>38</v>
      </c>
      <c r="D78" s="34" t="s">
        <v>38</v>
      </c>
      <c r="E78" s="34" t="s">
        <v>38</v>
      </c>
      <c r="F78" s="34" t="s">
        <v>38</v>
      </c>
      <c r="G78" s="34" t="s">
        <v>38</v>
      </c>
      <c r="H78" s="32" t="s">
        <v>38</v>
      </c>
      <c r="I78" s="1"/>
      <c r="J78" s="1"/>
      <c r="K78" s="1"/>
      <c r="L78" s="1"/>
    </row>
    <row r="79" ht="15" customHeight="1">
      <c r="A79" s="1"/>
      <c r="B79" s="17" t="s">
        <v>127</v>
      </c>
      <c r="C79" s="33">
        <v>419</v>
      </c>
      <c r="D79" s="22">
        <f>E79-Inputs!D164</f>
        <v>324</v>
      </c>
      <c r="E79" s="33">
        <v>1337</v>
      </c>
      <c r="F79" s="33">
        <v>235</v>
      </c>
      <c r="G79" s="33">
        <v>279</v>
      </c>
      <c r="H79" s="48">
        <f>H65*H96</f>
        <v>290.2441571743201</v>
      </c>
      <c r="I79" s="1"/>
      <c r="J79" s="1" t="s">
        <v>188</v>
      </c>
      <c r="K79" s="1"/>
      <c r="L79" s="1"/>
    </row>
    <row r="80" ht="15" customHeight="1">
      <c r="A80" s="1"/>
      <c r="B80" s="50" t="s">
        <v>111</v>
      </c>
      <c r="C80" s="42">
        <f>C79/Inputs!C37-1</f>
        <v>0.5461254612546125</v>
      </c>
      <c r="D80" s="42">
        <f>D79/Inputs!E37-1</f>
        <v>0</v>
      </c>
      <c r="E80" s="42">
        <f>E79/Inputs!F37-1</f>
        <v>0.2143505903723888</v>
      </c>
      <c r="F80" s="42">
        <f>F79/Inputs!G37-1</f>
        <v>-0.18685121107266434</v>
      </c>
      <c r="G80" s="42">
        <f>G79/Inputs!H37-1</f>
        <v>-0.08524590163934431</v>
      </c>
      <c r="H80" s="49">
        <f t="shared" si="3"/>
        <v>-0.3072931809682098</v>
      </c>
      <c r="I80" s="1"/>
      <c r="J80" s="1"/>
      <c r="K80" s="1"/>
      <c r="L80" s="1"/>
    </row>
    <row r="81" ht="15" customHeight="1">
      <c r="A81" s="1"/>
      <c r="B81" s="56" t="s">
        <v>144</v>
      </c>
      <c r="C81" s="22">
        <f>C79-Inputs!H37</f>
        <v>114</v>
      </c>
      <c r="D81" s="23">
        <f t="shared" si="1"/>
        <v>-95</v>
      </c>
      <c r="E81" s="23"/>
      <c r="F81" s="23">
        <f t="shared" si="4"/>
        <v>-89</v>
      </c>
      <c r="G81" s="23">
        <f t="shared" si="1"/>
        <v>44</v>
      </c>
      <c r="H81" s="48">
        <f t="shared" si="1"/>
        <v>11.244157174320094</v>
      </c>
      <c r="I81" s="1"/>
      <c r="J81" s="1"/>
      <c r="K81" s="1"/>
      <c r="L81" s="1"/>
    </row>
    <row r="82" ht="15" customHeight="1">
      <c r="A82" s="1"/>
      <c r="B82" s="50" t="s">
        <v>119</v>
      </c>
      <c r="C82" s="24" t="s">
        <v>38</v>
      </c>
      <c r="D82" s="24" t="s">
        <v>38</v>
      </c>
      <c r="E82" s="24" t="s">
        <v>38</v>
      </c>
      <c r="F82" s="24" t="s">
        <v>38</v>
      </c>
      <c r="G82" s="24" t="s">
        <v>38</v>
      </c>
      <c r="H82" s="49">
        <f t="shared" si="22"/>
        <v>-0.3072931809682098</v>
      </c>
      <c r="I82" s="1"/>
      <c r="J82" s="1" t="s">
        <v>125</v>
      </c>
      <c r="K82" s="1"/>
      <c r="L82" s="1"/>
    </row>
    <row r="83" ht="15" customHeight="1">
      <c r="A83" s="1"/>
      <c r="B83" s="50" t="s">
        <v>117</v>
      </c>
      <c r="C83" s="24" t="s">
        <v>38</v>
      </c>
      <c r="D83" s="24" t="s">
        <v>38</v>
      </c>
      <c r="E83" s="24" t="s">
        <v>38</v>
      </c>
      <c r="F83" s="24" t="s">
        <v>38</v>
      </c>
      <c r="G83" s="24" t="s">
        <v>38</v>
      </c>
      <c r="H83" s="57">
        <v>0</v>
      </c>
      <c r="I83" s="1"/>
      <c r="J83" s="1"/>
      <c r="K83" s="1"/>
      <c r="L83" s="1"/>
    </row>
    <row r="84" ht="15" customHeight="1">
      <c r="A84" s="1"/>
      <c r="B84" s="56" t="s">
        <v>118</v>
      </c>
      <c r="C84" s="34" t="s">
        <v>38</v>
      </c>
      <c r="D84" s="34" t="s">
        <v>38</v>
      </c>
      <c r="E84" s="34" t="s">
        <v>38</v>
      </c>
      <c r="F84" s="34" t="s">
        <v>38</v>
      </c>
      <c r="G84" s="34" t="s">
        <v>38</v>
      </c>
      <c r="H84" s="32" t="s">
        <v>38</v>
      </c>
      <c r="I84" s="1"/>
      <c r="J84" s="1"/>
      <c r="K84" s="1"/>
      <c r="L84" s="1"/>
    </row>
    <row r="85" ht="15" customHeight="1">
      <c r="A85" s="1"/>
      <c r="B85" s="17" t="s">
        <v>130</v>
      </c>
      <c r="C85" s="33">
        <v>19</v>
      </c>
      <c r="D85" s="22">
        <f>E85-Inputs!D165</f>
        <v>17</v>
      </c>
      <c r="E85" s="33">
        <v>78</v>
      </c>
      <c r="F85" s="33">
        <v>21</v>
      </c>
      <c r="G85" s="33">
        <v>21</v>
      </c>
      <c r="H85" s="48">
        <f>H65*H99</f>
        <v>23.816682202506733</v>
      </c>
      <c r="I85" s="1"/>
      <c r="J85" s="1" t="s">
        <v>188</v>
      </c>
      <c r="K85" s="1"/>
      <c r="L85" s="1"/>
    </row>
    <row r="86" ht="15" customHeight="1">
      <c r="A86" s="1"/>
      <c r="B86" s="50" t="s">
        <v>111</v>
      </c>
      <c r="C86" s="42">
        <f>C85/Inputs!C38-1</f>
        <v>0.3571428571428572</v>
      </c>
      <c r="D86" s="42">
        <f>D85/Inputs!E38-1</f>
        <v>0</v>
      </c>
      <c r="E86" s="42">
        <f>E85/Inputs!F38-1</f>
        <v>0.09859154929577474</v>
      </c>
      <c r="F86" s="42">
        <f>F85/Inputs!G38-1</f>
        <v>0.050000000000000044</v>
      </c>
      <c r="G86" s="42">
        <f>G85/Inputs!H38-1</f>
        <v>-0.045454545454545414</v>
      </c>
      <c r="H86" s="49">
        <f t="shared" si="3"/>
        <v>0.25350958960561765</v>
      </c>
      <c r="I86" s="1"/>
      <c r="J86" s="1"/>
      <c r="K86" s="1"/>
      <c r="L86" s="1"/>
    </row>
    <row r="87" ht="15" customHeight="1">
      <c r="A87" s="1"/>
      <c r="B87" s="56" t="s">
        <v>144</v>
      </c>
      <c r="C87" s="22">
        <f>C85-Inputs!H38</f>
        <v>-3</v>
      </c>
      <c r="D87" s="23">
        <f t="shared" si="1"/>
        <v>-2</v>
      </c>
      <c r="E87" s="23"/>
      <c r="F87" s="23">
        <f t="shared" si="4"/>
        <v>4</v>
      </c>
      <c r="G87" s="23">
        <f t="shared" si="1"/>
        <v>0</v>
      </c>
      <c r="H87" s="48">
        <f t="shared" si="1"/>
        <v>2.8166822025067333</v>
      </c>
      <c r="I87" s="1"/>
      <c r="J87" s="1"/>
      <c r="K87" s="1"/>
      <c r="L87" s="1"/>
    </row>
    <row r="88" ht="15" customHeight="1">
      <c r="A88" s="1"/>
      <c r="B88" s="50" t="s">
        <v>119</v>
      </c>
      <c r="C88" s="24" t="s">
        <v>38</v>
      </c>
      <c r="D88" s="24" t="s">
        <v>38</v>
      </c>
      <c r="E88" s="24" t="s">
        <v>38</v>
      </c>
      <c r="F88" s="24" t="s">
        <v>38</v>
      </c>
      <c r="G88" s="24" t="s">
        <v>38</v>
      </c>
      <c r="H88" s="49">
        <f t="shared" si="22"/>
        <v>0.25350958960561765</v>
      </c>
      <c r="I88" s="1"/>
      <c r="J88" s="1" t="s">
        <v>237</v>
      </c>
      <c r="K88" s="1"/>
      <c r="L88" s="1"/>
    </row>
    <row r="89" ht="15" customHeight="1">
      <c r="A89" s="1"/>
      <c r="B89" s="50" t="s">
        <v>117</v>
      </c>
      <c r="C89" s="24" t="s">
        <v>38</v>
      </c>
      <c r="D89" s="24" t="s">
        <v>38</v>
      </c>
      <c r="E89" s="24" t="s">
        <v>38</v>
      </c>
      <c r="F89" s="24" t="s">
        <v>38</v>
      </c>
      <c r="G89" s="24" t="s">
        <v>38</v>
      </c>
      <c r="H89" s="57">
        <v>0</v>
      </c>
      <c r="I89" s="1"/>
      <c r="J89" s="1"/>
      <c r="K89" s="1"/>
      <c r="L89" s="1"/>
    </row>
    <row r="90" ht="15" customHeight="1">
      <c r="A90" s="1"/>
      <c r="B90" s="56" t="s">
        <v>118</v>
      </c>
      <c r="C90" s="34" t="s">
        <v>38</v>
      </c>
      <c r="D90" s="34" t="s">
        <v>38</v>
      </c>
      <c r="E90" s="34" t="s">
        <v>38</v>
      </c>
      <c r="F90" s="34" t="s">
        <v>38</v>
      </c>
      <c r="G90" s="34" t="s">
        <v>38</v>
      </c>
      <c r="H90" s="32" t="s">
        <v>38</v>
      </c>
      <c r="I90" s="1"/>
      <c r="J90" s="1"/>
      <c r="K90" s="1"/>
      <c r="L90" s="1"/>
    </row>
    <row r="91" ht="15" customHeight="1">
      <c r="A91" s="1"/>
      <c r="B91" s="4" t="s">
        <v>192</v>
      </c>
      <c r="C91" s="46">
        <f t="shared" si="23" ref="C91:H91">C73+C79+C85</f>
        <v>2008</v>
      </c>
      <c r="D91" s="46">
        <f t="shared" si="23"/>
        <v>2086</v>
      </c>
      <c r="E91" s="46">
        <f t="shared" si="23"/>
        <v>7792</v>
      </c>
      <c r="F91" s="46">
        <f t="shared" si="23"/>
        <v>1847</v>
      </c>
      <c r="G91" s="46">
        <f t="shared" si="23"/>
        <v>2038</v>
      </c>
      <c r="H91" s="47">
        <f t="shared" si="23"/>
        <v>2197.7182500000004</v>
      </c>
      <c r="I91" s="1"/>
      <c r="J91" s="1"/>
      <c r="K91" s="1"/>
      <c r="L91" s="1"/>
    </row>
    <row r="92" ht="15" customHeight="1">
      <c r="A92" s="1"/>
      <c r="B92" s="17" t="s">
        <v>193</v>
      </c>
      <c r="C92" s="23">
        <f t="shared" si="24" ref="C92:H92">C91-C65</f>
        <v>0</v>
      </c>
      <c r="D92" s="23">
        <f t="shared" si="24"/>
        <v>0</v>
      </c>
      <c r="E92" s="23">
        <f t="shared" si="24"/>
        <v>0</v>
      </c>
      <c r="F92" s="23">
        <f t="shared" si="24"/>
        <v>0</v>
      </c>
      <c r="G92" s="23">
        <f t="shared" si="24"/>
        <v>0</v>
      </c>
      <c r="H92" s="48">
        <f t="shared" si="24"/>
        <v>0</v>
      </c>
      <c r="I92" s="1"/>
      <c r="J92" s="1"/>
      <c r="K92" s="1"/>
      <c r="L92" s="1"/>
    </row>
    <row r="93" ht="15" customHeight="1">
      <c r="A93" s="1"/>
      <c r="B93" s="35" t="s">
        <v>194</v>
      </c>
      <c r="C93" s="24">
        <f t="shared" si="25" ref="C93:G93">C73/C65</f>
        <v>0.7818725099601593</v>
      </c>
      <c r="D93" s="24">
        <f t="shared" si="25"/>
        <v>0.836529242569511</v>
      </c>
      <c r="E93" s="24">
        <f t="shared" si="25"/>
        <v>0.8184034907597536</v>
      </c>
      <c r="F93" s="24">
        <f t="shared" si="25"/>
        <v>0.8613968597726043</v>
      </c>
      <c r="G93" s="24">
        <f t="shared" si="25"/>
        <v>0.8527968596663396</v>
      </c>
      <c r="H93" s="49">
        <f>1-H96-H99</f>
        <v>0.8570968597194719</v>
      </c>
      <c r="I93" s="1"/>
      <c r="J93" s="1"/>
      <c r="K93" s="1"/>
      <c r="L93" s="1"/>
    </row>
    <row r="94" ht="15" customHeight="1">
      <c r="A94" s="1"/>
      <c r="B94" s="50" t="s">
        <v>114</v>
      </c>
      <c r="C94" s="52">
        <f>(C93-(Inputs!C36/(Inputs!C32-Inputs!C34)))*10000</f>
        <v>-559.191804211725</v>
      </c>
      <c r="D94" s="52">
        <f>(D93-(Inputs!E36/(Inputs!E32-Inputs!E34)))*10000</f>
        <v>103.31485179093103</v>
      </c>
      <c r="E94" s="52">
        <f>(E93-(Inputs!F36/(Inputs!F32-Inputs!F34)))*10000</f>
        <v>-194.4930392757349</v>
      </c>
      <c r="F94" s="52">
        <f>(F93-(Inputs!G36/(Inputs!G32-Inputs!G34)))*10000</f>
        <v>369.65041590786063</v>
      </c>
      <c r="G94" s="52">
        <f>(G93-(Inputs!H36/(Inputs!H32-Inputs!H34)))*10000</f>
        <v>215.2750982113827</v>
      </c>
      <c r="H94" s="53">
        <f t="shared" si="20"/>
        <v>752.2434975931258</v>
      </c>
      <c r="I94" s="1"/>
      <c r="J94" s="1"/>
      <c r="K94" s="1"/>
      <c r="L94" s="1"/>
    </row>
    <row r="95" ht="15" customHeight="1">
      <c r="A95" s="1"/>
      <c r="B95" s="50" t="s">
        <v>115</v>
      </c>
      <c r="C95" s="52">
        <f>(C93-(Inputs!H36/(Inputs!H32-Inputs!H34)))*10000</f>
        <v>-493.96839885041953</v>
      </c>
      <c r="D95" s="54">
        <f t="shared" si="12"/>
        <v>546.5673260935166</v>
      </c>
      <c r="E95" s="54"/>
      <c r="F95" s="54">
        <f t="shared" si="14"/>
        <v>248.67617203093272</v>
      </c>
      <c r="G95" s="54">
        <f t="shared" si="12"/>
        <v>-86.00000106264716</v>
      </c>
      <c r="H95" s="53">
        <f t="shared" si="12"/>
        <v>43.00000053132358</v>
      </c>
      <c r="I95" s="1"/>
      <c r="J95" s="1"/>
      <c r="K95" s="1"/>
      <c r="L95" s="1"/>
    </row>
    <row r="96" ht="15" customHeight="1">
      <c r="A96" s="1"/>
      <c r="B96" s="35" t="s">
        <v>195</v>
      </c>
      <c r="C96" s="24">
        <f t="shared" si="26" ref="C96:G96">C79/C65</f>
        <v>0.20866533864541834</v>
      </c>
      <c r="D96" s="24">
        <f t="shared" si="26"/>
        <v>0.15532118887823587</v>
      </c>
      <c r="E96" s="24">
        <f t="shared" si="26"/>
        <v>0.17158624229979466</v>
      </c>
      <c r="F96" s="24">
        <f t="shared" si="26"/>
        <v>0.12723335138061723</v>
      </c>
      <c r="G96" s="24">
        <f t="shared" si="26"/>
        <v>0.13689892051030422</v>
      </c>
      <c r="H96" s="49">
        <f t="shared" si="28" ref="H96:H161">AVERAGE(F96,G96)</f>
        <v>0.13206613594546074</v>
      </c>
      <c r="I96" s="1"/>
      <c r="J96" s="1"/>
      <c r="K96" s="1"/>
      <c r="L96" s="1"/>
    </row>
    <row r="97" ht="15" customHeight="1">
      <c r="A97" s="1"/>
      <c r="B97" s="50" t="s">
        <v>114</v>
      </c>
      <c r="C97" s="52">
        <f>(C96-(Inputs!C37/(Inputs!C32-Inputs!C34)))*10000</f>
        <v>544.2515651679</v>
      </c>
      <c r="D97" s="52">
        <f>(D96-(Inputs!E37/(Inputs!E32-Inputs!E34)))*10000</f>
        <v>-98.1642580066322</v>
      </c>
      <c r="E97" s="52">
        <f>(E96-(Inputs!F37/(Inputs!F32-Inputs!F34)))*10000</f>
        <v>192.61947889169323</v>
      </c>
      <c r="F97" s="52">
        <f>(F96-(Inputs!G37/(Inputs!G32-Inputs!G34)))*10000</f>
        <v>-369.7119407392824</v>
      </c>
      <c r="G97" s="52">
        <f>(G96-(Inputs!H37/(Inputs!H32-Inputs!H34)))*10000</f>
        <v>-204.7982045976801</v>
      </c>
      <c r="H97" s="53">
        <f t="shared" si="20"/>
        <v>-765.992026999576</v>
      </c>
      <c r="I97" s="1"/>
      <c r="J97" s="1"/>
      <c r="K97" s="1"/>
      <c r="L97" s="1"/>
    </row>
    <row r="98" ht="15" customHeight="1">
      <c r="A98" s="1"/>
      <c r="B98" s="50" t="s">
        <v>115</v>
      </c>
      <c r="C98" s="52">
        <f>(C96-(Inputs!H37/(Inputs!H32-Inputs!H34)))*10000</f>
        <v>512.865976753461</v>
      </c>
      <c r="D98" s="54">
        <f t="shared" si="12"/>
        <v>-533.4414976718247</v>
      </c>
      <c r="E98" s="54"/>
      <c r="F98" s="54">
        <f t="shared" si="14"/>
        <v>-280.8783749761865</v>
      </c>
      <c r="G98" s="54">
        <f t="shared" si="12"/>
        <v>96.65569129686996</v>
      </c>
      <c r="H98" s="53">
        <f t="shared" si="12"/>
        <v>-48.327845648434845</v>
      </c>
      <c r="I98" s="1"/>
      <c r="J98" s="1"/>
      <c r="K98" s="1"/>
      <c r="L98" s="1"/>
    </row>
    <row r="99" ht="15" customHeight="1">
      <c r="A99" s="1"/>
      <c r="B99" s="35" t="s">
        <v>196</v>
      </c>
      <c r="C99" s="24">
        <f t="shared" si="27" ref="C99:G99">C85/C65</f>
        <v>0.009462151394422311</v>
      </c>
      <c r="D99" s="24">
        <f t="shared" si="27"/>
        <v>0.008149568552253116</v>
      </c>
      <c r="E99" s="24">
        <f t="shared" si="27"/>
        <v>0.010010266940451745</v>
      </c>
      <c r="F99" s="24">
        <f t="shared" si="27"/>
        <v>0.01136978884677856</v>
      </c>
      <c r="G99" s="24">
        <f t="shared" si="27"/>
        <v>0.010304219823356232</v>
      </c>
      <c r="H99" s="49">
        <f t="shared" si="28"/>
        <v>0.010837004335067395</v>
      </c>
      <c r="I99" s="1"/>
      <c r="J99" s="1"/>
      <c r="K99" s="1"/>
      <c r="L99" s="1"/>
    </row>
    <row r="100" ht="15" customHeight="1">
      <c r="A100" s="1"/>
      <c r="B100" s="50" t="s">
        <v>114</v>
      </c>
      <c r="C100" s="52">
        <f>(C99-(Inputs!C38/(Inputs!C32-Inputs!C34)))*10000</f>
        <v>14.940239043824706</v>
      </c>
      <c r="D100" s="52">
        <f>(D99-(Inputs!E38/(Inputs!E32-Inputs!E34)))*10000</f>
        <v>-5.150593784298604</v>
      </c>
      <c r="E100" s="52">
        <f>(E99-(Inputs!F38/(Inputs!F32-Inputs!F34)))*10000</f>
        <v>1.8735603840415103</v>
      </c>
      <c r="F100" s="52">
        <f>(F99-(Inputs!G38/(Inputs!G32-Inputs!G34)))*10000</f>
        <v>0.06152483142195242</v>
      </c>
      <c r="G100" s="52">
        <f>(G99-(Inputs!H38/(Inputs!H32-Inputs!H34)))*10000</f>
        <v>-10.476893613702906</v>
      </c>
      <c r="H100" s="53">
        <f t="shared" si="20"/>
        <v>13.748529406450837</v>
      </c>
      <c r="I100" s="1"/>
      <c r="J100" s="1"/>
      <c r="K100" s="1"/>
      <c r="L100" s="1"/>
    </row>
    <row r="101" ht="15" customHeight="1">
      <c r="A101" s="1"/>
      <c r="B101" s="50" t="s">
        <v>115</v>
      </c>
      <c r="C101" s="52">
        <f>(C99-(Inputs!H38/(Inputs!H32-Inputs!H34)))*10000</f>
        <v>-18.897577903042116</v>
      </c>
      <c r="D101" s="54">
        <f t="shared" si="12"/>
        <v>-13.125828421691951</v>
      </c>
      <c r="E101" s="54"/>
      <c r="F101" s="54">
        <f t="shared" si="14"/>
        <v>32.202202945254434</v>
      </c>
      <c r="G101" s="54">
        <f t="shared" si="12"/>
        <v>-10.655690234223272</v>
      </c>
      <c r="H101" s="53">
        <f t="shared" si="12"/>
        <v>5.327845117111627</v>
      </c>
      <c r="I101" s="1"/>
      <c r="J101" s="1"/>
      <c r="K101" s="1"/>
      <c r="L101" s="1"/>
    </row>
    <row r="102" ht="15" customHeight="1">
      <c r="A102" s="1"/>
      <c r="B102" s="1"/>
      <c r="C102" s="1"/>
      <c r="D102" s="1"/>
      <c r="E102" s="1"/>
      <c r="F102" s="1"/>
      <c r="G102" s="1"/>
      <c r="H102" s="45"/>
      <c r="I102" s="1"/>
      <c r="J102" s="1"/>
      <c r="K102" s="1"/>
      <c r="L102" s="1"/>
    </row>
    <row r="103" ht="15" customHeight="1">
      <c r="A103" s="1"/>
      <c r="B103" s="4" t="s">
        <v>197</v>
      </c>
      <c r="C103" s="34"/>
      <c r="D103" s="34"/>
      <c r="E103" s="34"/>
      <c r="F103" s="34"/>
      <c r="G103" s="34"/>
      <c r="H103" s="32"/>
      <c r="I103" s="1"/>
      <c r="J103" s="1"/>
      <c r="K103" s="1"/>
      <c r="L103" s="1"/>
    </row>
    <row r="104" ht="15" customHeight="1">
      <c r="A104" s="1"/>
      <c r="B104" s="17" t="s">
        <v>135</v>
      </c>
      <c r="C104" s="33">
        <v>1028</v>
      </c>
      <c r="D104" s="22">
        <f>E104-Inputs!D166</f>
        <v>1040</v>
      </c>
      <c r="E104" s="33">
        <v>4117</v>
      </c>
      <c r="F104" s="33">
        <v>1066</v>
      </c>
      <c r="G104" s="33">
        <v>1161</v>
      </c>
      <c r="H104" s="48">
        <f>H65*H118</f>
        <v>1260.20273313656</v>
      </c>
      <c r="I104" s="1"/>
      <c r="J104" s="1" t="s">
        <v>198</v>
      </c>
      <c r="K104" s="1"/>
      <c r="L104" s="1"/>
    </row>
    <row r="105" ht="15" customHeight="1">
      <c r="A105" s="1"/>
      <c r="B105" s="50" t="s">
        <v>111</v>
      </c>
      <c r="C105" s="42">
        <f>C104/Inputs!C39-1</f>
        <v>0.06528497409326417</v>
      </c>
      <c r="D105" s="42">
        <f>D104/Inputs!E39-1</f>
        <v>0.007751937984496138</v>
      </c>
      <c r="E105" s="42">
        <f>E104/Inputs!F39-1</f>
        <v>0.06245161290322576</v>
      </c>
      <c r="F105" s="42">
        <f>F104/Inputs!G39-1</f>
        <v>0.10466321243523313</v>
      </c>
      <c r="G105" s="42">
        <f>G104/Inputs!H39-1</f>
        <v>0.07103321033210341</v>
      </c>
      <c r="H105" s="49">
        <f t="shared" si="3"/>
        <v>0.22587814507447468</v>
      </c>
      <c r="I105" s="1"/>
      <c r="J105" s="1"/>
      <c r="K105" s="1"/>
      <c r="L105" s="1"/>
    </row>
    <row r="106" ht="15" customHeight="1">
      <c r="A106" s="1"/>
      <c r="B106" s="56" t="s">
        <v>144</v>
      </c>
      <c r="C106" s="22">
        <f>C104-Inputs!H39</f>
        <v>-56</v>
      </c>
      <c r="D106" s="23">
        <f t="shared" si="1"/>
        <v>12</v>
      </c>
      <c r="E106" s="23"/>
      <c r="F106" s="23">
        <f t="shared" si="4"/>
        <v>26</v>
      </c>
      <c r="G106" s="23">
        <f t="shared" si="1"/>
        <v>95</v>
      </c>
      <c r="H106" s="48">
        <f t="shared" si="1"/>
        <v>99.20273313656003</v>
      </c>
      <c r="I106" s="1"/>
      <c r="J106" s="1"/>
      <c r="K106" s="1"/>
      <c r="L106" s="1"/>
    </row>
    <row r="107" ht="15" customHeight="1">
      <c r="A107" s="1"/>
      <c r="B107" s="50" t="s">
        <v>119</v>
      </c>
      <c r="C107" s="24" t="s">
        <v>38</v>
      </c>
      <c r="D107" s="24" t="s">
        <v>38</v>
      </c>
      <c r="E107" s="24" t="s">
        <v>38</v>
      </c>
      <c r="F107" s="24" t="s">
        <v>38</v>
      </c>
      <c r="G107" s="24" t="s">
        <v>38</v>
      </c>
      <c r="H107" s="49">
        <f t="shared" si="22"/>
        <v>0.22587814507447468</v>
      </c>
      <c r="I107" s="1"/>
      <c r="J107" s="1" t="s">
        <v>238</v>
      </c>
      <c r="K107" s="1"/>
      <c r="L107" s="1"/>
    </row>
    <row r="108" ht="15" customHeight="1">
      <c r="A108" s="1"/>
      <c r="B108" s="50" t="s">
        <v>117</v>
      </c>
      <c r="C108" s="24" t="s">
        <v>38</v>
      </c>
      <c r="D108" s="24" t="s">
        <v>38</v>
      </c>
      <c r="E108" s="24" t="s">
        <v>38</v>
      </c>
      <c r="F108" s="24" t="s">
        <v>38</v>
      </c>
      <c r="G108" s="24" t="s">
        <v>38</v>
      </c>
      <c r="H108" s="57">
        <v>0</v>
      </c>
      <c r="I108" s="1"/>
      <c r="J108" s="1"/>
      <c r="K108" s="1"/>
      <c r="L108" s="1"/>
    </row>
    <row r="109" ht="15" customHeight="1">
      <c r="A109" s="1"/>
      <c r="B109" s="56" t="s">
        <v>118</v>
      </c>
      <c r="C109" s="34" t="s">
        <v>38</v>
      </c>
      <c r="D109" s="34" t="s">
        <v>38</v>
      </c>
      <c r="E109" s="34" t="s">
        <v>38</v>
      </c>
      <c r="F109" s="34" t="s">
        <v>38</v>
      </c>
      <c r="G109" s="34" t="s">
        <v>38</v>
      </c>
      <c r="H109" s="32" t="s">
        <v>38</v>
      </c>
      <c r="I109" s="1"/>
      <c r="J109" s="1"/>
      <c r="K109" s="1"/>
      <c r="L109" s="1"/>
    </row>
    <row r="110" ht="15" customHeight="1">
      <c r="A110" s="1"/>
      <c r="B110" s="17" t="s">
        <v>138</v>
      </c>
      <c r="C110" s="33">
        <v>980</v>
      </c>
      <c r="D110" s="22">
        <f>E110-Inputs!D167</f>
        <v>1046</v>
      </c>
      <c r="E110" s="33">
        <v>3675</v>
      </c>
      <c r="F110" s="33">
        <v>781</v>
      </c>
      <c r="G110" s="33">
        <v>877</v>
      </c>
      <c r="H110" s="48">
        <f>H65*H121</f>
        <v>937.5155168634402</v>
      </c>
      <c r="I110" s="1"/>
      <c r="J110" s="1" t="s">
        <v>198</v>
      </c>
      <c r="K110" s="1"/>
      <c r="L110" s="1"/>
    </row>
    <row r="111" ht="15" customHeight="1">
      <c r="A111" s="1"/>
      <c r="B111" s="50" t="s">
        <v>111</v>
      </c>
      <c r="C111" s="42">
        <f>C110/Inputs!C40-1</f>
        <v>0.23737373737373746</v>
      </c>
      <c r="D111" s="42">
        <f>D110/Inputs!E40-1</f>
        <v>0.12473118279569895</v>
      </c>
      <c r="E111" s="42">
        <f>E110/Inputs!F40-1</f>
        <v>0.09603340292275564</v>
      </c>
      <c r="F111" s="42">
        <f>F110/Inputs!G40-1</f>
        <v>-0.017610062893081757</v>
      </c>
      <c r="G111" s="42">
        <f>G110/Inputs!H40-1</f>
        <v>0.02693208430913341</v>
      </c>
      <c r="H111" s="49">
        <f t="shared" si="3"/>
        <v>-0.04335151340465282</v>
      </c>
      <c r="I111" s="1"/>
      <c r="J111" s="1"/>
      <c r="K111" s="1"/>
      <c r="L111" s="1"/>
    </row>
    <row r="112" ht="15" customHeight="1">
      <c r="A112" s="1"/>
      <c r="B112" s="56" t="s">
        <v>144</v>
      </c>
      <c r="C112" s="22">
        <f>C110-Inputs!H40</f>
        <v>126</v>
      </c>
      <c r="D112" s="23">
        <f t="shared" si="1"/>
        <v>66</v>
      </c>
      <c r="E112" s="23"/>
      <c r="F112" s="23">
        <f t="shared" si="4"/>
        <v>-265</v>
      </c>
      <c r="G112" s="23">
        <f t="shared" si="1"/>
        <v>96</v>
      </c>
      <c r="H112" s="48">
        <f t="shared" si="1"/>
        <v>60.51551686344021</v>
      </c>
      <c r="I112" s="1"/>
      <c r="J112" s="1"/>
      <c r="K112" s="1"/>
      <c r="L112" s="1"/>
    </row>
    <row r="113" ht="15" customHeight="1">
      <c r="A113" s="1"/>
      <c r="B113" s="50" t="s">
        <v>119</v>
      </c>
      <c r="C113" s="24" t="s">
        <v>38</v>
      </c>
      <c r="D113" s="24" t="s">
        <v>38</v>
      </c>
      <c r="E113" s="24" t="s">
        <v>38</v>
      </c>
      <c r="F113" s="24" t="s">
        <v>38</v>
      </c>
      <c r="G113" s="24" t="s">
        <v>38</v>
      </c>
      <c r="H113" s="49">
        <f t="shared" si="22"/>
        <v>-0.04335151340465282</v>
      </c>
      <c r="I113" s="1"/>
      <c r="J113" s="1" t="s">
        <v>239</v>
      </c>
      <c r="K113" s="1"/>
      <c r="L113" s="1"/>
    </row>
    <row r="114" ht="15" customHeight="1">
      <c r="A114" s="1"/>
      <c r="B114" s="50" t="s">
        <v>117</v>
      </c>
      <c r="C114" s="24" t="s">
        <v>38</v>
      </c>
      <c r="D114" s="24" t="s">
        <v>38</v>
      </c>
      <c r="E114" s="24" t="s">
        <v>38</v>
      </c>
      <c r="F114" s="24" t="s">
        <v>38</v>
      </c>
      <c r="G114" s="24" t="s">
        <v>38</v>
      </c>
      <c r="H114" s="57">
        <v>0</v>
      </c>
      <c r="I114" s="1"/>
      <c r="J114" s="1"/>
      <c r="K114" s="1"/>
      <c r="L114" s="1"/>
    </row>
    <row r="115" ht="15" customHeight="1">
      <c r="A115" s="1"/>
      <c r="B115" s="56" t="s">
        <v>118</v>
      </c>
      <c r="C115" s="34" t="s">
        <v>38</v>
      </c>
      <c r="D115" s="34" t="s">
        <v>38</v>
      </c>
      <c r="E115" s="34" t="s">
        <v>38</v>
      </c>
      <c r="F115" s="34" t="s">
        <v>38</v>
      </c>
      <c r="G115" s="34" t="s">
        <v>38</v>
      </c>
      <c r="H115" s="32" t="s">
        <v>38</v>
      </c>
      <c r="I115" s="1"/>
      <c r="J115" s="1"/>
      <c r="K115" s="1"/>
      <c r="L115" s="1"/>
    </row>
    <row r="116" ht="15" customHeight="1">
      <c r="A116" s="1"/>
      <c r="B116" s="4" t="s">
        <v>192</v>
      </c>
      <c r="C116" s="46">
        <f t="shared" si="29" ref="C116:H116">C104+C110</f>
        <v>2008</v>
      </c>
      <c r="D116" s="46">
        <f t="shared" si="29"/>
        <v>2086</v>
      </c>
      <c r="E116" s="46">
        <f t="shared" si="29"/>
        <v>7792</v>
      </c>
      <c r="F116" s="46">
        <f t="shared" si="29"/>
        <v>1847</v>
      </c>
      <c r="G116" s="46">
        <f t="shared" si="29"/>
        <v>2038</v>
      </c>
      <c r="H116" s="47">
        <f t="shared" si="29"/>
        <v>2197.7182500000004</v>
      </c>
      <c r="I116" s="1"/>
      <c r="J116" s="1"/>
      <c r="K116" s="1"/>
      <c r="L116" s="1"/>
    </row>
    <row r="117" ht="15" customHeight="1">
      <c r="A117" s="1"/>
      <c r="B117" s="17" t="s">
        <v>193</v>
      </c>
      <c r="C117" s="23">
        <f t="shared" si="30" ref="C117:H117">C116-C65</f>
        <v>0</v>
      </c>
      <c r="D117" s="23">
        <f t="shared" si="30"/>
        <v>0</v>
      </c>
      <c r="E117" s="23">
        <f t="shared" si="30"/>
        <v>0</v>
      </c>
      <c r="F117" s="23">
        <f t="shared" si="30"/>
        <v>0</v>
      </c>
      <c r="G117" s="23">
        <f t="shared" si="30"/>
        <v>0</v>
      </c>
      <c r="H117" s="48">
        <f t="shared" si="30"/>
        <v>0</v>
      </c>
      <c r="I117" s="1"/>
      <c r="J117" s="1"/>
      <c r="K117" s="1"/>
      <c r="L117" s="1"/>
    </row>
    <row r="118" ht="15" customHeight="1">
      <c r="A118" s="1"/>
      <c r="B118" s="35" t="s">
        <v>201</v>
      </c>
      <c r="C118" s="24">
        <f t="shared" si="31" ref="C118:G118">C104/C65</f>
        <v>0.5119521912350598</v>
      </c>
      <c r="D118" s="24">
        <f t="shared" si="31"/>
        <v>0.49856184084372</v>
      </c>
      <c r="E118" s="24">
        <f t="shared" si="31"/>
        <v>0.5283624229979466</v>
      </c>
      <c r="F118" s="24">
        <f t="shared" si="31"/>
        <v>0.5771521386031402</v>
      </c>
      <c r="G118" s="24">
        <f t="shared" si="31"/>
        <v>0.569676153091266</v>
      </c>
      <c r="H118" s="49">
        <f t="shared" si="28"/>
        <v>0.5734141458472031</v>
      </c>
      <c r="I118" s="1"/>
      <c r="J118" s="1"/>
      <c r="K118" s="1"/>
      <c r="L118" s="1"/>
    </row>
    <row r="119" ht="15" customHeight="1">
      <c r="A119" s="1"/>
      <c r="B119" s="50" t="s">
        <v>114</v>
      </c>
      <c r="C119" s="52">
        <f>(C118-(Inputs!C39/(Inputs!C32-Inputs!C34)))*10000</f>
        <v>-372.79453614115</v>
      </c>
      <c r="D119" s="52">
        <f>(D118-(Inputs!E39/(Inputs!E32-Inputs!E34)))*10000</f>
        <v>-274.32042948328905</v>
      </c>
      <c r="E119" s="52">
        <f>(E118-(Inputs!F39/(Inputs!F32-Inputs!F34)))*10000</f>
        <v>-77.47150881411535</v>
      </c>
      <c r="F119" s="52">
        <f>(F118-(Inputs!G39/(Inputs!G32-Inputs!G34)))*10000</f>
        <v>288.566840576856</v>
      </c>
      <c r="G119" s="52">
        <f>(G118-(Inputs!H39/(Inputs!H32-Inputs!H34)))*10000</f>
        <v>103.36627807468246</v>
      </c>
      <c r="H119" s="53">
        <f t="shared" si="20"/>
        <v>614.6195461214332</v>
      </c>
      <c r="I119" s="1"/>
      <c r="J119" s="1"/>
      <c r="K119" s="1"/>
      <c r="L119" s="1"/>
    </row>
    <row r="120" ht="15" customHeight="1">
      <c r="A120" s="1"/>
      <c r="B120" s="50" t="s">
        <v>115</v>
      </c>
      <c r="C120" s="52">
        <f>(C118-(Inputs!H39/(Inputs!H32-Inputs!H34)))*10000</f>
        <v>-473.8733404873796</v>
      </c>
      <c r="D120" s="54">
        <f t="shared" si="12"/>
        <v>-133.90350391339734</v>
      </c>
      <c r="E120" s="54"/>
      <c r="F120" s="54">
        <f t="shared" si="14"/>
        <v>785.9029775942017</v>
      </c>
      <c r="G120" s="54">
        <f t="shared" si="12"/>
        <v>-74.75985511874228</v>
      </c>
      <c r="H120" s="53">
        <f t="shared" si="12"/>
        <v>37.37992755937114</v>
      </c>
      <c r="I120" s="1"/>
      <c r="J120" s="1"/>
      <c r="K120" s="1"/>
      <c r="L120" s="1"/>
    </row>
    <row r="121" ht="15" customHeight="1">
      <c r="A121" s="1"/>
      <c r="B121" s="35" t="s">
        <v>202</v>
      </c>
      <c r="C121" s="24">
        <f t="shared" si="32" ref="C121:G121">C110/C65</f>
        <v>0.48804780876494025</v>
      </c>
      <c r="D121" s="24">
        <f t="shared" si="32"/>
        <v>0.50143815915628</v>
      </c>
      <c r="E121" s="24">
        <f t="shared" si="32"/>
        <v>0.4716375770020534</v>
      </c>
      <c r="F121" s="24">
        <f t="shared" si="32"/>
        <v>0.42284786139685976</v>
      </c>
      <c r="G121" s="24">
        <f t="shared" si="32"/>
        <v>0.43032384690873404</v>
      </c>
      <c r="H121" s="49">
        <f>1-H118</f>
        <v>0.42658585415279693</v>
      </c>
      <c r="I121" s="1"/>
      <c r="J121" s="1"/>
      <c r="K121" s="1"/>
      <c r="L121" s="1"/>
    </row>
    <row r="122" ht="15" customHeight="1">
      <c r="A122" s="1"/>
      <c r="B122" s="50" t="s">
        <v>114</v>
      </c>
      <c r="C122" s="52">
        <f>(C121-(Inputs!C40/(Inputs!C32-Inputs!C34)))*10000</f>
        <v>372.79453614115</v>
      </c>
      <c r="D122" s="52">
        <f>(D121-(Inputs!E40/(Inputs!E32-Inputs!E34)))*10000</f>
        <v>274.32042948328905</v>
      </c>
      <c r="E122" s="52">
        <f>(E121-(Inputs!F40/(Inputs!F32-Inputs!F34)))*10000</f>
        <v>77.47150881411424</v>
      </c>
      <c r="F122" s="52">
        <f>(F121-(Inputs!G40/(Inputs!G32-Inputs!G34)))*10000</f>
        <v>-288.5668405768571</v>
      </c>
      <c r="G122" s="52">
        <f>(G121-(Inputs!H40/(Inputs!H32-Inputs!H34)))*10000</f>
        <v>-103.36627807468246</v>
      </c>
      <c r="H122" s="53">
        <f t="shared" si="20"/>
        <v>-614.6195461214332</v>
      </c>
      <c r="I122" s="1"/>
      <c r="J122" s="1"/>
      <c r="K122" s="1"/>
      <c r="L122" s="1"/>
    </row>
    <row r="123" ht="15" customHeight="1">
      <c r="A123" s="1"/>
      <c r="B123" s="50" t="s">
        <v>115</v>
      </c>
      <c r="C123" s="52">
        <f>(C121-(Inputs!H40/(Inputs!H32-Inputs!H34)))*10000</f>
        <v>473.8733404873796</v>
      </c>
      <c r="D123" s="54">
        <f t="shared" si="12"/>
        <v>133.90350391339734</v>
      </c>
      <c r="E123" s="54"/>
      <c r="F123" s="54">
        <f t="shared" si="14"/>
        <v>-785.9029775942023</v>
      </c>
      <c r="G123" s="54">
        <f t="shared" si="12"/>
        <v>74.75985511874283</v>
      </c>
      <c r="H123" s="53">
        <f t="shared" si="12"/>
        <v>-37.37992755937114</v>
      </c>
      <c r="I123" s="1"/>
      <c r="J123" s="1"/>
      <c r="K123" s="1"/>
      <c r="L123" s="1"/>
    </row>
    <row r="124" ht="15" customHeight="1">
      <c r="A124" s="1"/>
      <c r="B124" s="1"/>
      <c r="C124" s="1"/>
      <c r="D124" s="1"/>
      <c r="E124" s="1"/>
      <c r="F124" s="1"/>
      <c r="G124" s="1"/>
      <c r="H124" s="45"/>
      <c r="I124" s="1"/>
      <c r="J124" s="1"/>
      <c r="K124" s="1"/>
      <c r="L124" s="1"/>
    </row>
    <row r="125" ht="15" customHeight="1">
      <c r="A125" s="1"/>
      <c r="B125" s="4" t="s">
        <v>203</v>
      </c>
      <c r="C125" s="34"/>
      <c r="D125" s="34"/>
      <c r="E125" s="34"/>
      <c r="F125" s="34"/>
      <c r="G125" s="34"/>
      <c r="H125" s="32"/>
      <c r="I125" s="1"/>
      <c r="J125" s="1"/>
      <c r="K125" s="1"/>
      <c r="L125" s="1"/>
    </row>
    <row r="126" ht="15" customHeight="1">
      <c r="A126" s="1"/>
      <c r="B126" s="17" t="s">
        <v>204</v>
      </c>
      <c r="C126" s="33">
        <v>1589</v>
      </c>
      <c r="D126" s="22">
        <f>E126-Inputs!D168</f>
        <v>1762</v>
      </c>
      <c r="E126" s="33">
        <v>6455</v>
      </c>
      <c r="F126" s="33">
        <v>1612</v>
      </c>
      <c r="G126" s="33">
        <v>1759</v>
      </c>
      <c r="H126" s="48">
        <f>H65*H152</f>
        <v>1907.4740928256804</v>
      </c>
      <c r="I126" s="1"/>
      <c r="J126" s="1" t="s">
        <v>205</v>
      </c>
      <c r="K126" s="1"/>
      <c r="L126" s="1"/>
    </row>
    <row r="127" ht="15" customHeight="1">
      <c r="A127" s="1"/>
      <c r="B127" s="50" t="s">
        <v>111</v>
      </c>
      <c r="C127" s="42">
        <f>C126/Inputs!C41-1</f>
        <v>0.06931359353970401</v>
      </c>
      <c r="D127" s="42">
        <f>D126/Inputs!E41-1</f>
        <v>0.07570207570207566</v>
      </c>
      <c r="E127" s="42">
        <f>E126/Inputs!F41-1</f>
        <v>0.053533540068549046</v>
      </c>
      <c r="F127" s="42">
        <f>F126/Inputs!G41-1</f>
        <v>0.09585316111488784</v>
      </c>
      <c r="G127" s="42">
        <f>G126/Inputs!H41-1</f>
        <v>0.07715860379669315</v>
      </c>
      <c r="H127" s="49">
        <f t="shared" si="3"/>
        <v>0.2004242245598995</v>
      </c>
      <c r="I127" s="1"/>
      <c r="J127" s="1"/>
      <c r="K127" s="1"/>
      <c r="L127" s="1"/>
    </row>
    <row r="128" ht="15" customHeight="1">
      <c r="A128" s="1"/>
      <c r="B128" s="56" t="s">
        <v>144</v>
      </c>
      <c r="C128" s="22">
        <f>C126-Inputs!H41</f>
        <v>-44</v>
      </c>
      <c r="D128" s="23">
        <f t="shared" si="1"/>
        <v>173</v>
      </c>
      <c r="E128" s="23"/>
      <c r="F128" s="23">
        <f t="shared" si="4"/>
        <v>-150</v>
      </c>
      <c r="G128" s="23">
        <f t="shared" si="1"/>
        <v>147</v>
      </c>
      <c r="H128" s="48">
        <f t="shared" si="1"/>
        <v>148.47409282568037</v>
      </c>
      <c r="I128" s="1"/>
      <c r="J128" s="1"/>
      <c r="K128" s="1"/>
      <c r="L128" s="1"/>
    </row>
    <row r="129" ht="15" customHeight="1">
      <c r="A129" s="1"/>
      <c r="B129" s="50" t="s">
        <v>119</v>
      </c>
      <c r="C129" s="24" t="s">
        <v>38</v>
      </c>
      <c r="D129" s="24" t="s">
        <v>38</v>
      </c>
      <c r="E129" s="24" t="s">
        <v>38</v>
      </c>
      <c r="F129" s="24" t="s">
        <v>38</v>
      </c>
      <c r="G129" s="24" t="s">
        <v>38</v>
      </c>
      <c r="H129" s="49">
        <f t="shared" si="22"/>
        <v>0.2004242245598995</v>
      </c>
      <c r="I129" s="1"/>
      <c r="J129" s="1" t="s">
        <v>240</v>
      </c>
      <c r="K129" s="1"/>
      <c r="L129" s="1"/>
    </row>
    <row r="130" ht="15" customHeight="1">
      <c r="A130" s="1"/>
      <c r="B130" s="50" t="s">
        <v>117</v>
      </c>
      <c r="C130" s="24" t="s">
        <v>38</v>
      </c>
      <c r="D130" s="24" t="s">
        <v>38</v>
      </c>
      <c r="E130" s="24" t="s">
        <v>38</v>
      </c>
      <c r="F130" s="24" t="s">
        <v>38</v>
      </c>
      <c r="G130" s="24" t="s">
        <v>38</v>
      </c>
      <c r="H130" s="57">
        <v>0</v>
      </c>
      <c r="I130" s="1"/>
      <c r="J130" s="1"/>
      <c r="K130" s="1"/>
      <c r="L130" s="1"/>
    </row>
    <row r="131" ht="15" customHeight="1">
      <c r="A131" s="1"/>
      <c r="B131" s="56" t="s">
        <v>118</v>
      </c>
      <c r="C131" s="34" t="s">
        <v>38</v>
      </c>
      <c r="D131" s="34" t="s">
        <v>38</v>
      </c>
      <c r="E131" s="34" t="s">
        <v>38</v>
      </c>
      <c r="F131" s="34" t="s">
        <v>38</v>
      </c>
      <c r="G131" s="34" t="s">
        <v>38</v>
      </c>
      <c r="H131" s="32" t="s">
        <v>38</v>
      </c>
      <c r="I131" s="1"/>
      <c r="J131" s="1"/>
      <c r="K131" s="1"/>
      <c r="L131" s="1"/>
    </row>
    <row r="132" ht="15" customHeight="1">
      <c r="A132" s="1"/>
      <c r="B132" s="17" t="s">
        <v>207</v>
      </c>
      <c r="C132" s="33">
        <v>111</v>
      </c>
      <c r="D132" s="22">
        <f>E132-Inputs!D169</f>
        <v>103</v>
      </c>
      <c r="E132" s="33">
        <v>374</v>
      </c>
      <c r="F132" s="33">
        <v>81</v>
      </c>
      <c r="G132" s="33">
        <v>110</v>
      </c>
      <c r="H132" s="48">
        <f>H65*H155</f>
        <v>107.50071199005576</v>
      </c>
      <c r="I132" s="1"/>
      <c r="J132" s="1" t="s">
        <v>205</v>
      </c>
      <c r="K132" s="1"/>
      <c r="L132" s="1"/>
    </row>
    <row r="133" ht="15" customHeight="1">
      <c r="A133" s="1"/>
      <c r="B133" s="50" t="s">
        <v>111</v>
      </c>
      <c r="C133" s="42">
        <f>C132/Inputs!C42-1</f>
        <v>0.5</v>
      </c>
      <c r="D133" s="42">
        <f>D132/Inputs!E42-1</f>
        <v>0.14444444444444438</v>
      </c>
      <c r="E133" s="42">
        <f>E132/Inputs!F42-1</f>
        <v>0.27210884353741505</v>
      </c>
      <c r="F133" s="42">
        <f>F132/Inputs!G42-1</f>
        <v>0</v>
      </c>
      <c r="G133" s="42">
        <f>G132/Inputs!H42-1</f>
        <v>0.39240506329113933</v>
      </c>
      <c r="H133" s="49">
        <f t="shared" si="3"/>
        <v>-0.03152511720670481</v>
      </c>
      <c r="I133" s="1"/>
      <c r="J133" s="1"/>
      <c r="K133" s="1"/>
      <c r="L133" s="1"/>
    </row>
    <row r="134" ht="15" customHeight="1">
      <c r="A134" s="1"/>
      <c r="B134" s="56" t="s">
        <v>144</v>
      </c>
      <c r="C134" s="22">
        <f>C132-Inputs!H42</f>
        <v>32</v>
      </c>
      <c r="D134" s="23">
        <f t="shared" si="1"/>
        <v>-8</v>
      </c>
      <c r="E134" s="23"/>
      <c r="F134" s="23">
        <f t="shared" si="4"/>
        <v>-22</v>
      </c>
      <c r="G134" s="23">
        <f t="shared" si="1"/>
        <v>29</v>
      </c>
      <c r="H134" s="48">
        <f t="shared" si="1"/>
        <v>-2.4992880099442374</v>
      </c>
      <c r="I134" s="1"/>
      <c r="J134" s="1"/>
      <c r="K134" s="1"/>
      <c r="L134" s="1"/>
    </row>
    <row r="135" ht="15" customHeight="1">
      <c r="A135" s="1"/>
      <c r="B135" s="50" t="s">
        <v>119</v>
      </c>
      <c r="C135" s="24" t="s">
        <v>38</v>
      </c>
      <c r="D135" s="24" t="s">
        <v>38</v>
      </c>
      <c r="E135" s="24" t="s">
        <v>38</v>
      </c>
      <c r="F135" s="24" t="s">
        <v>38</v>
      </c>
      <c r="G135" s="24" t="s">
        <v>38</v>
      </c>
      <c r="H135" s="49">
        <f t="shared" si="22"/>
        <v>-0.03152511720670481</v>
      </c>
      <c r="I135" s="1"/>
      <c r="J135" s="1" t="s">
        <v>241</v>
      </c>
      <c r="K135" s="1"/>
      <c r="L135" s="1"/>
    </row>
    <row r="136" ht="15" customHeight="1">
      <c r="A136" s="1"/>
      <c r="B136" s="50" t="s">
        <v>117</v>
      </c>
      <c r="C136" s="24" t="s">
        <v>38</v>
      </c>
      <c r="D136" s="24" t="s">
        <v>38</v>
      </c>
      <c r="E136" s="24" t="s">
        <v>38</v>
      </c>
      <c r="F136" s="24" t="s">
        <v>38</v>
      </c>
      <c r="G136" s="24" t="s">
        <v>38</v>
      </c>
      <c r="H136" s="57">
        <v>0</v>
      </c>
      <c r="I136" s="1"/>
      <c r="J136" s="1"/>
      <c r="K136" s="1"/>
      <c r="L136" s="1"/>
    </row>
    <row r="137" ht="15" customHeight="1">
      <c r="A137" s="1"/>
      <c r="B137" s="56" t="s">
        <v>118</v>
      </c>
      <c r="C137" s="34" t="s">
        <v>38</v>
      </c>
      <c r="D137" s="34" t="s">
        <v>38</v>
      </c>
      <c r="E137" s="34" t="s">
        <v>38</v>
      </c>
      <c r="F137" s="34" t="s">
        <v>38</v>
      </c>
      <c r="G137" s="34" t="s">
        <v>38</v>
      </c>
      <c r="H137" s="32" t="s">
        <v>38</v>
      </c>
      <c r="I137" s="1"/>
      <c r="J137" s="1"/>
      <c r="K137" s="1"/>
      <c r="L137" s="1"/>
    </row>
    <row r="138" ht="15" customHeight="1">
      <c r="A138" s="1"/>
      <c r="B138" s="17" t="s">
        <v>209</v>
      </c>
      <c r="C138" s="33">
        <v>251</v>
      </c>
      <c r="D138" s="22">
        <f>E138-Inputs!D170</f>
        <v>167</v>
      </c>
      <c r="E138" s="33">
        <v>756</v>
      </c>
      <c r="F138" s="33">
        <v>125</v>
      </c>
      <c r="G138" s="33">
        <v>129</v>
      </c>
      <c r="H138" s="48">
        <f>H65*H158</f>
        <v>143.92270567756884</v>
      </c>
      <c r="I138" s="1"/>
      <c r="J138" s="1" t="s">
        <v>205</v>
      </c>
      <c r="K138" s="1"/>
      <c r="L138" s="1"/>
    </row>
    <row r="139" ht="15" customHeight="1">
      <c r="A139" s="1"/>
      <c r="B139" s="50" t="s">
        <v>111</v>
      </c>
      <c r="C139" s="42">
        <f>C138/Inputs!C43-1</f>
        <v>0.7430555555555556</v>
      </c>
      <c r="D139" s="42">
        <f>D138/Inputs!E43-1</f>
        <v>-0.051136363636363646</v>
      </c>
      <c r="E139" s="42">
        <f>E138/Inputs!F43-1</f>
        <v>0.2272727272727273</v>
      </c>
      <c r="F139" s="42">
        <f>F138/Inputs!G43-1</f>
        <v>-0.2647058823529411</v>
      </c>
      <c r="G139" s="42">
        <f>G138/Inputs!H43-1</f>
        <v>-0.2321428571428571</v>
      </c>
      <c r="H139" s="49">
        <f t="shared" si="3"/>
        <v>-0.4266027662248253</v>
      </c>
      <c r="I139" s="1"/>
      <c r="J139" s="1"/>
      <c r="K139" s="1"/>
      <c r="L139" s="1"/>
    </row>
    <row r="140" ht="15" customHeight="1">
      <c r="A140" s="1"/>
      <c r="B140" s="56" t="s">
        <v>144</v>
      </c>
      <c r="C140" s="22">
        <f>C138-Inputs!H43</f>
        <v>83</v>
      </c>
      <c r="D140" s="23">
        <f t="shared" si="1"/>
        <v>-84</v>
      </c>
      <c r="E140" s="23"/>
      <c r="F140" s="23">
        <f t="shared" si="4"/>
        <v>-42</v>
      </c>
      <c r="G140" s="23">
        <f t="shared" si="1"/>
        <v>4</v>
      </c>
      <c r="H140" s="48">
        <f t="shared" si="1"/>
        <v>14.922705677568842</v>
      </c>
      <c r="I140" s="1"/>
      <c r="J140" s="1"/>
      <c r="K140" s="1"/>
      <c r="L140" s="1"/>
    </row>
    <row r="141" ht="15" customHeight="1">
      <c r="A141" s="1"/>
      <c r="B141" s="50" t="s">
        <v>119</v>
      </c>
      <c r="C141" s="24" t="s">
        <v>38</v>
      </c>
      <c r="D141" s="24" t="s">
        <v>38</v>
      </c>
      <c r="E141" s="24" t="s">
        <v>38</v>
      </c>
      <c r="F141" s="24" t="s">
        <v>38</v>
      </c>
      <c r="G141" s="24" t="s">
        <v>38</v>
      </c>
      <c r="H141" s="49">
        <f t="shared" si="22"/>
        <v>-0.4266027662248253</v>
      </c>
      <c r="I141" s="1"/>
      <c r="J141" s="1" t="s">
        <v>242</v>
      </c>
      <c r="K141" s="1"/>
      <c r="L141" s="1"/>
    </row>
    <row r="142" ht="15" customHeight="1">
      <c r="A142" s="1"/>
      <c r="B142" s="50" t="s">
        <v>117</v>
      </c>
      <c r="C142" s="24" t="s">
        <v>38</v>
      </c>
      <c r="D142" s="24" t="s">
        <v>38</v>
      </c>
      <c r="E142" s="24" t="s">
        <v>38</v>
      </c>
      <c r="F142" s="24" t="s">
        <v>38</v>
      </c>
      <c r="G142" s="24" t="s">
        <v>38</v>
      </c>
      <c r="H142" s="57">
        <v>0</v>
      </c>
      <c r="I142" s="1"/>
      <c r="J142" s="1"/>
      <c r="K142" s="1"/>
      <c r="L142" s="1"/>
    </row>
    <row r="143" ht="15" customHeight="1">
      <c r="A143" s="1"/>
      <c r="B143" s="56" t="s">
        <v>118</v>
      </c>
      <c r="C143" s="34" t="s">
        <v>38</v>
      </c>
      <c r="D143" s="34" t="s">
        <v>38</v>
      </c>
      <c r="E143" s="34" t="s">
        <v>38</v>
      </c>
      <c r="F143" s="34" t="s">
        <v>38</v>
      </c>
      <c r="G143" s="34" t="s">
        <v>38</v>
      </c>
      <c r="H143" s="32" t="s">
        <v>38</v>
      </c>
      <c r="I143" s="1"/>
      <c r="J143" s="1"/>
      <c r="K143" s="1"/>
      <c r="L143" s="1"/>
    </row>
    <row r="144" ht="15" customHeight="1">
      <c r="A144" s="1"/>
      <c r="B144" s="17" t="s">
        <v>211</v>
      </c>
      <c r="C144" s="33">
        <v>57</v>
      </c>
      <c r="D144" s="22">
        <f>E144-Inputs!D171</f>
        <v>54</v>
      </c>
      <c r="E144" s="33">
        <v>207</v>
      </c>
      <c r="F144" s="33">
        <v>29</v>
      </c>
      <c r="G144" s="33">
        <v>40</v>
      </c>
      <c r="H144" s="48">
        <f>H65*H161</f>
        <v>38.82073950669548</v>
      </c>
      <c r="I144" s="1"/>
      <c r="J144" s="1" t="s">
        <v>205</v>
      </c>
      <c r="K144" s="1"/>
      <c r="L144" s="1"/>
    </row>
    <row r="145" ht="15" customHeight="1">
      <c r="A145" s="1"/>
      <c r="B145" s="50" t="s">
        <v>111</v>
      </c>
      <c r="C145" s="42">
        <f>C144/Inputs!C44-1</f>
        <v>0.07547169811320753</v>
      </c>
      <c r="D145" s="42">
        <f>D144/Inputs!E44-1</f>
        <v>-0.06896551724137934</v>
      </c>
      <c r="E145" s="42">
        <f>E144/Inputs!F44-1</f>
        <v>0.08376963350785349</v>
      </c>
      <c r="F145" s="42">
        <f>F144/Inputs!G44-1</f>
        <v>-0.23684210526315785</v>
      </c>
      <c r="G145" s="42">
        <f>G144/Inputs!H44-1</f>
        <v>-0.31034482758620685</v>
      </c>
      <c r="H145" s="49">
        <f t="shared" si="3"/>
        <v>-0.31893439461937756</v>
      </c>
      <c r="I145" s="1"/>
      <c r="J145" s="1"/>
      <c r="K145" s="1"/>
      <c r="L145" s="1"/>
    </row>
    <row r="146" ht="15" customHeight="1">
      <c r="A146" s="1"/>
      <c r="B146" s="56" t="s">
        <v>144</v>
      </c>
      <c r="C146" s="22">
        <f>C144-Inputs!H44</f>
        <v>-1</v>
      </c>
      <c r="D146" s="23">
        <f t="shared" si="1"/>
        <v>-3</v>
      </c>
      <c r="E146" s="23"/>
      <c r="F146" s="23">
        <f t="shared" si="4"/>
        <v>-25</v>
      </c>
      <c r="G146" s="23">
        <f t="shared" si="1"/>
        <v>11</v>
      </c>
      <c r="H146" s="48">
        <f t="shared" si="1"/>
        <v>-1.1792604933045183</v>
      </c>
      <c r="I146" s="1"/>
      <c r="J146" s="1"/>
      <c r="K146" s="1"/>
      <c r="L146" s="1"/>
    </row>
    <row r="147" ht="15" customHeight="1">
      <c r="A147" s="1"/>
      <c r="B147" s="50" t="s">
        <v>119</v>
      </c>
      <c r="C147" s="24" t="s">
        <v>38</v>
      </c>
      <c r="D147" s="24" t="s">
        <v>38</v>
      </c>
      <c r="E147" s="24" t="s">
        <v>38</v>
      </c>
      <c r="F147" s="24" t="s">
        <v>38</v>
      </c>
      <c r="G147" s="24" t="s">
        <v>38</v>
      </c>
      <c r="H147" s="49">
        <f t="shared" si="22"/>
        <v>-0.31893439461937756</v>
      </c>
      <c r="I147" s="1"/>
      <c r="J147" s="1" t="s">
        <v>243</v>
      </c>
      <c r="K147" s="1"/>
      <c r="L147" s="1"/>
    </row>
    <row r="148" ht="15" customHeight="1">
      <c r="A148" s="1"/>
      <c r="B148" s="50" t="s">
        <v>117</v>
      </c>
      <c r="C148" s="24" t="s">
        <v>38</v>
      </c>
      <c r="D148" s="24" t="s">
        <v>38</v>
      </c>
      <c r="E148" s="24" t="s">
        <v>38</v>
      </c>
      <c r="F148" s="24" t="s">
        <v>38</v>
      </c>
      <c r="G148" s="24" t="s">
        <v>38</v>
      </c>
      <c r="H148" s="57">
        <v>0</v>
      </c>
      <c r="I148" s="1"/>
      <c r="J148" s="1"/>
      <c r="K148" s="1"/>
      <c r="L148" s="1"/>
    </row>
    <row r="149" ht="15" customHeight="1">
      <c r="A149" s="1"/>
      <c r="B149" s="56" t="s">
        <v>118</v>
      </c>
      <c r="C149" s="34" t="s">
        <v>38</v>
      </c>
      <c r="D149" s="34" t="s">
        <v>38</v>
      </c>
      <c r="E149" s="34" t="s">
        <v>38</v>
      </c>
      <c r="F149" s="34" t="s">
        <v>38</v>
      </c>
      <c r="G149" s="34" t="s">
        <v>38</v>
      </c>
      <c r="H149" s="32" t="s">
        <v>38</v>
      </c>
      <c r="I149" s="1"/>
      <c r="J149" s="1"/>
      <c r="K149" s="1"/>
      <c r="L149" s="1"/>
    </row>
    <row r="150" ht="15" customHeight="1">
      <c r="A150" s="1"/>
      <c r="B150" s="4" t="s">
        <v>192</v>
      </c>
      <c r="C150" s="46">
        <f t="shared" si="33" ref="C150:H150">C126+C132+C138+C144</f>
        <v>2008</v>
      </c>
      <c r="D150" s="46">
        <f t="shared" si="33"/>
        <v>2086</v>
      </c>
      <c r="E150" s="46">
        <f t="shared" si="33"/>
        <v>7792</v>
      </c>
      <c r="F150" s="46">
        <f t="shared" si="33"/>
        <v>1847</v>
      </c>
      <c r="G150" s="46">
        <f t="shared" si="33"/>
        <v>2038</v>
      </c>
      <c r="H150" s="47">
        <f t="shared" si="33"/>
        <v>2197.718250000001</v>
      </c>
      <c r="I150" s="1"/>
      <c r="J150" s="1"/>
      <c r="K150" s="1"/>
      <c r="L150" s="1"/>
    </row>
    <row r="151" ht="15" customHeight="1">
      <c r="A151" s="1"/>
      <c r="B151" s="17" t="s">
        <v>193</v>
      </c>
      <c r="C151" s="23">
        <f t="shared" si="34" ref="C151:H151">C150-C65</f>
        <v>0</v>
      </c>
      <c r="D151" s="23">
        <f t="shared" si="34"/>
        <v>0</v>
      </c>
      <c r="E151" s="23">
        <f t="shared" si="34"/>
        <v>0</v>
      </c>
      <c r="F151" s="23">
        <f t="shared" si="34"/>
        <v>0</v>
      </c>
      <c r="G151" s="23">
        <f t="shared" si="34"/>
        <v>0</v>
      </c>
      <c r="H151" s="48">
        <f t="shared" si="34"/>
        <v>0</v>
      </c>
      <c r="I151" s="1"/>
      <c r="J151" s="1"/>
      <c r="K151" s="1"/>
      <c r="L151" s="1"/>
    </row>
    <row r="152" ht="15" customHeight="1">
      <c r="A152" s="1"/>
      <c r="B152" s="35" t="s">
        <v>213</v>
      </c>
      <c r="C152" s="24">
        <f t="shared" si="35" ref="C152:G152">C126/C65</f>
        <v>0.7913346613545816</v>
      </c>
      <c r="D152" s="24">
        <f t="shared" si="35"/>
        <v>0.8446788111217641</v>
      </c>
      <c r="E152" s="24">
        <f t="shared" si="35"/>
        <v>0.8284137577002053</v>
      </c>
      <c r="F152" s="24">
        <f t="shared" si="35"/>
        <v>0.8727666486193828</v>
      </c>
      <c r="G152" s="24">
        <f t="shared" si="35"/>
        <v>0.8631010794896958</v>
      </c>
      <c r="H152" s="49">
        <f>1-H155-H158-H161</f>
        <v>0.8679338640545393</v>
      </c>
      <c r="I152" s="1"/>
      <c r="J152" s="1"/>
      <c r="K152" s="1"/>
      <c r="L152" s="1"/>
    </row>
    <row r="153" ht="15" customHeight="1">
      <c r="A153" s="1"/>
      <c r="B153" s="50" t="s">
        <v>114</v>
      </c>
      <c r="C153" s="52">
        <f>(C152-(Inputs!C41/(Inputs!C32-Inputs!C34)))*10000</f>
        <v>-544.2515651679003</v>
      </c>
      <c r="D153" s="52">
        <f>(D152-(Inputs!E41/(Inputs!E32-Inputs!E34)))*10000</f>
        <v>98.1642580066322</v>
      </c>
      <c r="E153" s="52">
        <f>(E152-(Inputs!F41/(Inputs!F32-Inputs!F34)))*10000</f>
        <v>-192.61947889169352</v>
      </c>
      <c r="F153" s="52">
        <f>(F152-(Inputs!G41/(Inputs!G32-Inputs!G34)))*10000</f>
        <v>369.7119407392824</v>
      </c>
      <c r="G153" s="52">
        <f>(G152-(Inputs!H41/(Inputs!H32-Inputs!H34)))*10000</f>
        <v>204.79820459768038</v>
      </c>
      <c r="H153" s="53">
        <f t="shared" si="20"/>
        <v>765.9920269995768</v>
      </c>
      <c r="I153" s="1"/>
      <c r="J153" s="1"/>
      <c r="K153" s="1"/>
      <c r="L153" s="1"/>
    </row>
    <row r="154" ht="15" customHeight="1">
      <c r="A154" s="1"/>
      <c r="B154" s="50" t="s">
        <v>115</v>
      </c>
      <c r="C154" s="52">
        <f>(C152-(Inputs!H41/(Inputs!H32-Inputs!H34)))*10000</f>
        <v>-512.8659767534616</v>
      </c>
      <c r="D154" s="54">
        <f t="shared" si="12"/>
        <v>533.4414976718249</v>
      </c>
      <c r="E154" s="54"/>
      <c r="F154" s="54">
        <f t="shared" si="14"/>
        <v>280.8783749761867</v>
      </c>
      <c r="G154" s="54">
        <f t="shared" si="12"/>
        <v>-96.65569129686969</v>
      </c>
      <c r="H154" s="53">
        <f t="shared" si="12"/>
        <v>48.327845648434845</v>
      </c>
      <c r="I154" s="1"/>
      <c r="J154" s="1"/>
      <c r="K154" s="1"/>
      <c r="L154" s="1"/>
    </row>
    <row r="155" ht="15" customHeight="1">
      <c r="A155" s="1"/>
      <c r="B155" s="35" t="s">
        <v>214</v>
      </c>
      <c r="C155" s="24">
        <f t="shared" si="36" ref="C155:G155">C132/C65</f>
        <v>0.055278884462151394</v>
      </c>
      <c r="D155" s="24">
        <f t="shared" si="36"/>
        <v>0.04937679769894535</v>
      </c>
      <c r="E155" s="24">
        <f t="shared" si="36"/>
        <v>0.04799794661190965</v>
      </c>
      <c r="F155" s="24">
        <f t="shared" si="36"/>
        <v>0.04385489983757444</v>
      </c>
      <c r="G155" s="24">
        <f t="shared" si="36"/>
        <v>0.053974484789008834</v>
      </c>
      <c r="H155" s="49">
        <f t="shared" si="28"/>
        <v>0.04891469231329164</v>
      </c>
      <c r="I155" s="1"/>
      <c r="J155" s="1"/>
      <c r="K155" s="1"/>
      <c r="L155" s="1"/>
    </row>
    <row r="156" ht="15" customHeight="1">
      <c r="A156" s="1"/>
      <c r="B156" s="50" t="s">
        <v>114</v>
      </c>
      <c r="C156" s="52">
        <f>(C155-(Inputs!C42/(Inputs!C32-Inputs!C34)))*10000</f>
        <v>131.61639157655094</v>
      </c>
      <c r="D156" s="52">
        <f>(D155-(Inputs!E42/(Inputs!E32-Inputs!E34)))*10000</f>
        <v>35.052380659178276</v>
      </c>
      <c r="E156" s="52">
        <f>(E155-(Inputs!F42/(Inputs!F32-Inputs!F34)))*10000</f>
        <v>73.22794425966096</v>
      </c>
      <c r="F156" s="52">
        <f>(F155-(Inputs!G42/(Inputs!G32-Inputs!G34)))*10000</f>
        <v>-21.678274351528277</v>
      </c>
      <c r="G156" s="52">
        <f>(G155-(Inputs!H42/(Inputs!H32-Inputs!H34)))*10000</f>
        <v>132.10810898399956</v>
      </c>
      <c r="H156" s="53">
        <f t="shared" si="20"/>
        <v>-63.64192148859755</v>
      </c>
      <c r="I156" s="1"/>
      <c r="J156" s="1"/>
      <c r="K156" s="1"/>
      <c r="L156" s="1"/>
    </row>
    <row r="157" ht="15" customHeight="1">
      <c r="A157" s="1"/>
      <c r="B157" s="50" t="s">
        <v>115</v>
      </c>
      <c r="C157" s="52">
        <f>(C155-(Inputs!H42/(Inputs!H32-Inputs!H34)))*10000</f>
        <v>145.15210571542517</v>
      </c>
      <c r="D157" s="54">
        <f t="shared" si="12"/>
        <v>-59.02086763206041</v>
      </c>
      <c r="E157" s="54"/>
      <c r="F157" s="54">
        <f t="shared" si="14"/>
        <v>-55.2189786137091</v>
      </c>
      <c r="G157" s="54">
        <f t="shared" si="12"/>
        <v>101.1958495143439</v>
      </c>
      <c r="H157" s="53">
        <f t="shared" si="12"/>
        <v>-50.59792475717195</v>
      </c>
      <c r="I157" s="1"/>
      <c r="J157" s="1"/>
      <c r="K157" s="1"/>
      <c r="L157" s="1"/>
    </row>
    <row r="158" ht="15" customHeight="1">
      <c r="A158" s="1"/>
      <c r="B158" s="35" t="s">
        <v>215</v>
      </c>
      <c r="C158" s="24">
        <f t="shared" si="37" ref="C158:G158">C138/C65</f>
        <v>0.125</v>
      </c>
      <c r="D158" s="24">
        <f t="shared" si="37"/>
        <v>0.0800575263662512</v>
      </c>
      <c r="E158" s="24">
        <f t="shared" si="37"/>
        <v>0.09702258726899383</v>
      </c>
      <c r="F158" s="24">
        <f t="shared" si="37"/>
        <v>0.0676773145641581</v>
      </c>
      <c r="G158" s="24">
        <f t="shared" si="37"/>
        <v>0.06329735034347399</v>
      </c>
      <c r="H158" s="49">
        <f t="shared" si="28"/>
        <v>0.06548733245381605</v>
      </c>
      <c r="I158" s="1"/>
      <c r="J158" s="1"/>
      <c r="K158" s="1"/>
      <c r="L158" s="1"/>
    </row>
    <row r="159" ht="15" customHeight="1">
      <c r="A159" s="1"/>
      <c r="B159" s="50" t="s">
        <v>114</v>
      </c>
      <c r="C159" s="52">
        <f>(C158-(Inputs!C43/(Inputs!C32-Inputs!C34)))*10000</f>
        <v>430.4211724530449</v>
      </c>
      <c r="D159" s="52">
        <f>(D158-(Inputs!E43/(Inputs!E32-Inputs!E34)))*10000</f>
        <v>-96.46856916113735</v>
      </c>
      <c r="E159" s="52">
        <f>(E158-(Inputs!F43/(Inputs!F32-Inputs!F34)))*10000</f>
        <v>117.98458879397816</v>
      </c>
      <c r="F159" s="52">
        <f>(F158-(Inputs!G43/(Inputs!G32-Inputs!G34)))*10000</f>
        <v>-289.1359452675099</v>
      </c>
      <c r="G159" s="52">
        <f>(G158-(Inputs!H43/(Inputs!H32-Inputs!H34)))*10000</f>
        <v>-233.89956158074003</v>
      </c>
      <c r="H159" s="53">
        <f t="shared" si="20"/>
        <v>-595.1266754618395</v>
      </c>
      <c r="I159" s="1"/>
      <c r="J159" s="1"/>
      <c r="K159" s="1"/>
      <c r="L159" s="1"/>
    </row>
    <row r="160" ht="15" customHeight="1">
      <c r="A160" s="1"/>
      <c r="B160" s="50" t="s">
        <v>115</v>
      </c>
      <c r="C160" s="52">
        <f>(C158-(Inputs!H43/(Inputs!H32-Inputs!H34)))*10000</f>
        <v>383.1269349845201</v>
      </c>
      <c r="D160" s="54">
        <f t="shared" si="12"/>
        <v>-449.424736337488</v>
      </c>
      <c r="E160" s="54"/>
      <c r="F160" s="54">
        <f t="shared" si="14"/>
        <v>-123.80211802093102</v>
      </c>
      <c r="G160" s="54">
        <f t="shared" si="12"/>
        <v>-43.7996422068411</v>
      </c>
      <c r="H160" s="53">
        <f t="shared" si="12"/>
        <v>21.89982110342062</v>
      </c>
      <c r="I160" s="1"/>
      <c r="J160" s="1"/>
      <c r="K160" s="1"/>
      <c r="L160" s="1"/>
    </row>
    <row r="161" ht="15" customHeight="1">
      <c r="A161" s="1"/>
      <c r="B161" s="35" t="s">
        <v>216</v>
      </c>
      <c r="C161" s="24">
        <f t="shared" si="38" ref="C161:G161">C144/C65</f>
        <v>0.02838645418326693</v>
      </c>
      <c r="D161" s="24">
        <f t="shared" si="38"/>
        <v>0.02588686481303931</v>
      </c>
      <c r="E161" s="24">
        <f t="shared" si="38"/>
        <v>0.026565708418891172</v>
      </c>
      <c r="F161" s="24">
        <f t="shared" si="38"/>
        <v>0.01570113697888468</v>
      </c>
      <c r="G161" s="24">
        <f t="shared" si="38"/>
        <v>0.019627085377821395</v>
      </c>
      <c r="H161" s="49">
        <f t="shared" si="28"/>
        <v>0.017664111178353037</v>
      </c>
      <c r="I161" s="1"/>
      <c r="J161" s="1"/>
      <c r="K161" s="1"/>
      <c r="L161" s="1"/>
    </row>
    <row r="162" ht="15" customHeight="1">
      <c r="A162" s="1"/>
      <c r="B162" s="50" t="s">
        <v>114</v>
      </c>
      <c r="C162" s="52">
        <f>(C161-(Inputs!C44/(Inputs!C32-Inputs!C34)))*10000</f>
        <v>-17.785998861696086</v>
      </c>
      <c r="D162" s="52">
        <f>(D161-(Inputs!E44/(Inputs!E32-Inputs!E34)))*10000</f>
        <v>-36.74806950467319</v>
      </c>
      <c r="E162" s="52">
        <f>(E161-(Inputs!F44/(Inputs!F32-Inputs!F34)))*10000</f>
        <v>1.4069458380539315</v>
      </c>
      <c r="F162" s="52">
        <f>(F161-(Inputs!G44/(Inputs!G32-Inputs!G34)))*10000</f>
        <v>-58.89772112024412</v>
      </c>
      <c r="G162" s="52">
        <f>(G161-(Inputs!H44/(Inputs!H32-Inputs!H34)))*10000</f>
        <v>-103.00675200093981</v>
      </c>
      <c r="H162" s="53">
        <f t="shared" si="20"/>
        <v>-107.22343004913894</v>
      </c>
      <c r="I162" s="1"/>
      <c r="J162" s="1"/>
      <c r="K162" s="1"/>
      <c r="L162" s="1"/>
    </row>
    <row r="163" ht="15" customHeight="1">
      <c r="A163" s="1"/>
      <c r="B163" s="50" t="s">
        <v>115</v>
      </c>
      <c r="C163" s="52">
        <f>(C161-(Inputs!H44/(Inputs!H32-Inputs!H34)))*10000</f>
        <v>-15.413063946484451</v>
      </c>
      <c r="D163" s="54">
        <f t="shared" si="12"/>
        <v>-24.995893702276227</v>
      </c>
      <c r="E163" s="54"/>
      <c r="F163" s="54">
        <f t="shared" si="14"/>
        <v>-101.85727834154629</v>
      </c>
      <c r="G163" s="54">
        <f t="shared" si="12"/>
        <v>39.259483989367155</v>
      </c>
      <c r="H163" s="53">
        <f t="shared" si="12"/>
        <v>-19.629741994683577</v>
      </c>
      <c r="I163" s="1"/>
      <c r="J163" s="1"/>
      <c r="K163" s="1"/>
      <c r="L163" s="1"/>
    </row>
    <row r="164" ht="15" customHeight="1">
      <c r="A164" s="1"/>
      <c r="B164" s="1"/>
      <c r="C164" s="1"/>
      <c r="D164" s="1"/>
      <c r="E164" s="1"/>
      <c r="F164" s="1"/>
      <c r="G164" s="1"/>
      <c r="H164" s="45"/>
      <c r="I164" s="1"/>
      <c r="J164" s="1"/>
      <c r="K164" s="1"/>
      <c r="L164" s="1"/>
    </row>
    <row r="165" ht="15" customHeight="1">
      <c r="A165" s="1"/>
      <c r="B165" s="4" t="s">
        <v>217</v>
      </c>
      <c r="C165" s="34"/>
      <c r="D165" s="34"/>
      <c r="E165" s="34"/>
      <c r="F165" s="34"/>
      <c r="G165" s="34"/>
      <c r="H165" s="32"/>
      <c r="I165" s="1"/>
      <c r="J165" s="1"/>
      <c r="K165" s="1"/>
      <c r="L165" s="1"/>
    </row>
    <row r="166" ht="15" customHeight="1">
      <c r="A166" s="1"/>
      <c r="B166" s="35" t="s">
        <v>82</v>
      </c>
      <c r="C166" s="24">
        <f t="shared" si="39" ref="C166:G166">C169/C49</f>
        <v>0.11364740165128703</v>
      </c>
      <c r="D166" s="24">
        <f t="shared" si="39"/>
        <v>0.09548206800186307</v>
      </c>
      <c r="E166" s="24">
        <f t="shared" si="39"/>
        <v>0.10884778805298675</v>
      </c>
      <c r="F166" s="24">
        <f t="shared" si="39"/>
        <v>0.09689310163243813</v>
      </c>
      <c r="G166" s="24">
        <f t="shared" si="39"/>
        <v>0.07453416149068323</v>
      </c>
      <c r="H166" s="57">
        <v>0.108</v>
      </c>
      <c r="I166" s="1"/>
      <c r="J166" s="1" t="s">
        <v>218</v>
      </c>
      <c r="K166" s="1"/>
      <c r="L166" s="1"/>
    </row>
    <row r="167" ht="15" customHeight="1">
      <c r="A167" s="1"/>
      <c r="B167" s="50" t="s">
        <v>114</v>
      </c>
      <c r="C167" s="52">
        <f>(C166-(Inputs!C35/Inputs!C32))*10000</f>
        <v>247.5851276239814</v>
      </c>
      <c r="D167" s="52">
        <f>(D166-(Inputs!E35/Inputs!E32))*10000</f>
        <v>-88.61416770977668</v>
      </c>
      <c r="E167" s="52">
        <f>(E166-(Inputs!F35/Inputs!F32))*10000</f>
        <v>120.77954291667665</v>
      </c>
      <c r="F167" s="52">
        <f>(F166-(Inputs!G35/Inputs!G32))*10000</f>
        <v>-22.758734368139578</v>
      </c>
      <c r="G167" s="52">
        <f>(G166-(Inputs!H35/Inputs!H32))*10000</f>
        <v>-525.3766171373667</v>
      </c>
      <c r="H167" s="53">
        <f t="shared" si="20"/>
        <v>-56.47401651287034</v>
      </c>
      <c r="I167" s="1"/>
      <c r="J167" s="1"/>
      <c r="K167" s="1"/>
      <c r="L167" s="1"/>
    </row>
    <row r="168" ht="15" customHeight="1">
      <c r="A168" s="1"/>
      <c r="B168" s="50" t="s">
        <v>115</v>
      </c>
      <c r="C168" s="52">
        <f>(C166-(Inputs!H35/Inputs!H32))*10000</f>
        <v>-134.24421553132865</v>
      </c>
      <c r="D168" s="54">
        <f t="shared" si="12"/>
        <v>-181.65333649423965</v>
      </c>
      <c r="E168" s="54"/>
      <c r="F168" s="54">
        <f t="shared" si="14"/>
        <v>14.110336305750565</v>
      </c>
      <c r="G168" s="54">
        <f t="shared" si="12"/>
        <v>-223.58940141754894</v>
      </c>
      <c r="H168" s="53">
        <f t="shared" si="12"/>
        <v>334.6583850931677</v>
      </c>
      <c r="I168" s="1"/>
      <c r="J168" s="1"/>
      <c r="K168" s="1"/>
      <c r="L168" s="1"/>
    </row>
    <row r="169" ht="15" customHeight="1">
      <c r="A169" s="1"/>
      <c r="B169" s="4" t="s">
        <v>244</v>
      </c>
      <c r="C169" s="67">
        <v>234</v>
      </c>
      <c r="D169" s="67">
        <v>205</v>
      </c>
      <c r="E169" s="67">
        <v>871</v>
      </c>
      <c r="F169" s="67">
        <v>184</v>
      </c>
      <c r="G169" s="67">
        <v>156</v>
      </c>
      <c r="H169" s="68">
        <f>H49*H166</f>
        <v>243.43956000000003</v>
      </c>
      <c r="I169" s="1"/>
      <c r="J169" s="1" t="s">
        <v>220</v>
      </c>
      <c r="K169" s="1"/>
      <c r="L169" s="1"/>
    </row>
    <row r="170" ht="15" customHeight="1">
      <c r="A170" s="1"/>
      <c r="B170" s="50" t="s">
        <v>111</v>
      </c>
      <c r="C170" s="42">
        <f>C169/Inputs!C35-1</f>
        <v>0.4624999999999999</v>
      </c>
      <c r="D170" s="42">
        <f>D169/Inputs!E35-1</f>
        <v>-0.019138755980861233</v>
      </c>
      <c r="E170" s="42">
        <f>E169/Inputs!F35-1</f>
        <v>0.21648044692737423</v>
      </c>
      <c r="F170" s="42">
        <f>F169/Inputs!G35-1</f>
        <v>0.027932960893854775</v>
      </c>
      <c r="G170" s="42">
        <f>G169/Inputs!H35-1</f>
        <v>-0.383399209486166</v>
      </c>
      <c r="H170" s="49">
        <f t="shared" si="3"/>
        <v>0.04034000000000004</v>
      </c>
      <c r="I170" s="1"/>
      <c r="J170" s="1"/>
      <c r="K170" s="1"/>
      <c r="L170" s="1"/>
    </row>
    <row r="171" ht="15" customHeight="1">
      <c r="A171" s="1"/>
      <c r="B171" s="56" t="s">
        <v>144</v>
      </c>
      <c r="C171" s="22">
        <f>C169-Inputs!H35</f>
        <v>-19</v>
      </c>
      <c r="D171" s="23">
        <f t="shared" si="1"/>
        <v>-29</v>
      </c>
      <c r="E171" s="23"/>
      <c r="F171" s="23">
        <f t="shared" si="4"/>
        <v>-21</v>
      </c>
      <c r="G171" s="23">
        <f t="shared" si="1"/>
        <v>-28</v>
      </c>
      <c r="H171" s="48">
        <f t="shared" si="1"/>
        <v>87.43956000000003</v>
      </c>
      <c r="I171" s="1"/>
      <c r="J171" s="1"/>
      <c r="K171" s="1"/>
      <c r="L171" s="1"/>
    </row>
    <row r="172" ht="15" customHeight="1">
      <c r="A172" s="1"/>
      <c r="B172" s="17" t="s">
        <v>221</v>
      </c>
      <c r="C172" s="33">
        <v>35</v>
      </c>
      <c r="D172" s="22">
        <f>E172-Inputs!D172</f>
        <v>27</v>
      </c>
      <c r="E172" s="33">
        <v>168</v>
      </c>
      <c r="F172" s="33">
        <v>15</v>
      </c>
      <c r="G172" s="33">
        <v>-40</v>
      </c>
      <c r="H172" s="48"/>
      <c r="I172" s="1"/>
      <c r="J172" s="1" t="s">
        <v>222</v>
      </c>
      <c r="K172" s="1"/>
      <c r="L172" s="1"/>
    </row>
    <row r="173" ht="15" customHeight="1">
      <c r="A173" s="1"/>
      <c r="B173" s="50" t="s">
        <v>111</v>
      </c>
      <c r="C173" s="42">
        <f>C172/Inputs!C45-1</f>
        <v>2.5</v>
      </c>
      <c r="D173" s="42">
        <f>D172/Inputs!E45-1</f>
        <v>-0.4</v>
      </c>
      <c r="E173" s="42">
        <f>E172/Inputs!F45-1</f>
        <v>0.8666666666666667</v>
      </c>
      <c r="F173" s="42">
        <f>F172/Inputs!G45-1</f>
        <v>-0.34782608695652173</v>
      </c>
      <c r="G173" s="42">
        <f>G172/Inputs!H45-1</f>
        <v>-1.4819277108433735</v>
      </c>
      <c r="H173" s="49"/>
      <c r="I173" s="1"/>
      <c r="J173" s="1"/>
      <c r="K173" s="1"/>
      <c r="L173" s="1"/>
    </row>
    <row r="174" ht="15" customHeight="1">
      <c r="A174" s="1"/>
      <c r="B174" s="56" t="s">
        <v>144</v>
      </c>
      <c r="C174" s="22">
        <f>C172-Inputs!H45</f>
        <v>-48</v>
      </c>
      <c r="D174" s="23">
        <f t="shared" si="1"/>
        <v>-8</v>
      </c>
      <c r="E174" s="23"/>
      <c r="F174" s="23">
        <f t="shared" si="4"/>
        <v>-12</v>
      </c>
      <c r="G174" s="23">
        <f t="shared" si="1"/>
        <v>-55</v>
      </c>
      <c r="H174" s="48"/>
      <c r="I174" s="1"/>
      <c r="J174" s="1"/>
      <c r="K174" s="1"/>
      <c r="L174" s="1"/>
    </row>
    <row r="175" ht="15" customHeight="1">
      <c r="A175" s="1"/>
      <c r="B175" s="35" t="s">
        <v>223</v>
      </c>
      <c r="C175" s="24">
        <f t="shared" si="40" ref="C175:G175">C172/C49</f>
        <v>0.016998542982030112</v>
      </c>
      <c r="D175" s="24">
        <f t="shared" si="40"/>
        <v>0.012575687005123428</v>
      </c>
      <c r="E175" s="24">
        <f t="shared" si="40"/>
        <v>0.020994751312171957</v>
      </c>
      <c r="F175" s="24">
        <f t="shared" si="40"/>
        <v>0.007898894154818325</v>
      </c>
      <c r="G175" s="24">
        <f t="shared" si="40"/>
        <v>-0.019111323459149548</v>
      </c>
      <c r="H175" s="49"/>
      <c r="I175" s="1"/>
      <c r="J175" s="1"/>
      <c r="K175" s="1"/>
      <c r="L175" s="1"/>
    </row>
    <row r="176" ht="15" customHeight="1">
      <c r="A176" s="1"/>
      <c r="B176" s="50" t="s">
        <v>114</v>
      </c>
      <c r="C176" s="52">
        <f>(C175-(Inputs!C45/Inputs!C32))*10000</f>
        <v>114.42987426474555</v>
      </c>
      <c r="D176" s="52">
        <f>(D175-(Inputs!E45/Inputs!E32))*10000</f>
        <v>-98.90613544052809</v>
      </c>
      <c r="E176" s="52">
        <f>(E175-(Inputs!F45/Inputs!F32))*10000</f>
        <v>88.30945392453077</v>
      </c>
      <c r="F176" s="52">
        <f>(F175-(Inputs!G45/Inputs!G32))*10000</f>
        <v>-48.4348811664982</v>
      </c>
      <c r="G176" s="52">
        <f>(G175-(Inputs!H45/Inputs!H32))*10000</f>
        <v>-607.9891763293156</v>
      </c>
      <c r="H176" s="53"/>
      <c r="I176" s="1"/>
      <c r="J176" s="1"/>
      <c r="K176" s="1"/>
      <c r="L176" s="1"/>
    </row>
    <row r="177" ht="15" customHeight="1">
      <c r="A177" s="1"/>
      <c r="B177" s="50" t="s">
        <v>115</v>
      </c>
      <c r="C177" s="52">
        <f>(C175-(Inputs!H45/Inputs!H32))*10000</f>
        <v>-246.89051191751906</v>
      </c>
      <c r="D177" s="54">
        <f t="shared" si="12"/>
        <v>-44.22855976906684</v>
      </c>
      <c r="E177" s="54"/>
      <c r="F177" s="54">
        <f t="shared" si="14"/>
        <v>-46.76792850305103</v>
      </c>
      <c r="G177" s="54">
        <f t="shared" si="12"/>
        <v>-270.1021761396787</v>
      </c>
      <c r="H177" s="53"/>
      <c r="I177" s="1"/>
      <c r="J177" s="1"/>
      <c r="K177" s="1"/>
      <c r="L177" s="1"/>
    </row>
    <row r="178" ht="15" customHeight="1">
      <c r="A178" s="1"/>
      <c r="B178" s="17" t="s">
        <v>224</v>
      </c>
      <c r="C178" s="23">
        <f t="shared" si="41" ref="C178:G178">C169-C172</f>
        <v>199</v>
      </c>
      <c r="D178" s="23">
        <f t="shared" si="41"/>
        <v>178</v>
      </c>
      <c r="E178" s="23">
        <f t="shared" si="41"/>
        <v>703</v>
      </c>
      <c r="F178" s="23">
        <f t="shared" si="41"/>
        <v>169</v>
      </c>
      <c r="G178" s="23">
        <f t="shared" si="41"/>
        <v>196</v>
      </c>
      <c r="H178" s="48"/>
      <c r="I178" s="1"/>
      <c r="J178" s="1"/>
      <c r="K178" s="1"/>
      <c r="L178" s="1"/>
    </row>
    <row r="179" ht="15" customHeight="1">
      <c r="A179" s="1"/>
      <c r="B179" s="50" t="s">
        <v>111</v>
      </c>
      <c r="C179" s="42">
        <f>C178/(Inputs!C35-Inputs!C45)-1</f>
        <v>0.32666666666666666</v>
      </c>
      <c r="D179" s="42">
        <f>D178/(Inputs!E35-Inputs!E45)-1</f>
        <v>0.08536585365853666</v>
      </c>
      <c r="E179" s="42">
        <f>E178/(Inputs!F35-Inputs!F45)-1</f>
        <v>0.1230031948881789</v>
      </c>
      <c r="F179" s="42">
        <f>F178/(Inputs!G35-Inputs!G45)-1</f>
        <v>0.08333333333333326</v>
      </c>
      <c r="G179" s="42">
        <f>G178/(Inputs!H35-Inputs!H45)-1</f>
        <v>0.15294117647058814</v>
      </c>
      <c r="H179" s="49"/>
      <c r="I179" s="1"/>
      <c r="J179" s="1"/>
      <c r="K179" s="1"/>
      <c r="L179" s="1"/>
    </row>
    <row r="180" ht="15" customHeight="1">
      <c r="A180" s="1"/>
      <c r="B180" s="56" t="s">
        <v>144</v>
      </c>
      <c r="C180" s="22">
        <f>C178-(Inputs!H35-Inputs!H45)</f>
        <v>29</v>
      </c>
      <c r="D180" s="23">
        <f t="shared" si="1"/>
        <v>-21</v>
      </c>
      <c r="E180" s="23"/>
      <c r="F180" s="23">
        <f t="shared" si="4"/>
        <v>-9</v>
      </c>
      <c r="G180" s="23">
        <f t="shared" si="1"/>
        <v>27</v>
      </c>
      <c r="H180" s="48"/>
      <c r="I180" s="1"/>
      <c r="J180" s="1"/>
      <c r="K180" s="1"/>
      <c r="L180" s="1"/>
    </row>
    <row r="181" ht="15" customHeight="1">
      <c r="A181" s="1"/>
      <c r="B181" s="35" t="s">
        <v>225</v>
      </c>
      <c r="C181" s="24">
        <f t="shared" si="42" ref="C181:G181">C178/C49</f>
        <v>0.09664885866925692</v>
      </c>
      <c r="D181" s="24">
        <f t="shared" si="42"/>
        <v>0.08290638099673964</v>
      </c>
      <c r="E181" s="24">
        <f t="shared" si="42"/>
        <v>0.0878530367408148</v>
      </c>
      <c r="F181" s="24">
        <f t="shared" si="42"/>
        <v>0.0889942074776198</v>
      </c>
      <c r="G181" s="24">
        <f t="shared" si="42"/>
        <v>0.09364548494983277</v>
      </c>
      <c r="H181" s="49"/>
      <c r="I181" s="1"/>
      <c r="J181" s="1"/>
      <c r="K181" s="1"/>
      <c r="L181" s="1"/>
    </row>
    <row r="182" ht="15" customHeight="1">
      <c r="A182" s="1"/>
      <c r="B182" s="50" t="s">
        <v>114</v>
      </c>
      <c r="C182" s="52">
        <f>(C181-((Inputs!C35-Inputs!C45)/Inputs!C32))*10000</f>
        <v>133.1552533592359</v>
      </c>
      <c r="D182" s="52">
        <f>(D181-((Inputs!E35-Inputs!E45)/Inputs!E32))*10000</f>
        <v>10.291967730751278</v>
      </c>
      <c r="E182" s="52">
        <f>(E181-((Inputs!F35-Inputs!F45)/Inputs!F32))*10000</f>
        <v>32.47008899214573</v>
      </c>
      <c r="F182" s="52">
        <f>(F181-((Inputs!G35-Inputs!G45)/Inputs!G32))*10000</f>
        <v>25.67614679835864</v>
      </c>
      <c r="G182" s="52">
        <f>(G181-((Inputs!H35-Inputs!H45)/Inputs!H32))*10000</f>
        <v>82.61255919194896</v>
      </c>
      <c r="H182" s="53"/>
      <c r="I182" s="1"/>
      <c r="J182" s="1"/>
      <c r="K182" s="1"/>
      <c r="L182" s="1"/>
    </row>
    <row r="183" ht="15" customHeight="1">
      <c r="A183" s="1"/>
      <c r="B183" s="50" t="s">
        <v>115</v>
      </c>
      <c r="C183" s="52">
        <f>(C181-((Inputs!H35-Inputs!H45)/Inputs!H32))*10000</f>
        <v>112.64629638619044</v>
      </c>
      <c r="D183" s="54">
        <f t="shared" si="12"/>
        <v>-137.42477672517282</v>
      </c>
      <c r="E183" s="54"/>
      <c r="F183" s="54">
        <f t="shared" si="14"/>
        <v>60.878264808801596</v>
      </c>
      <c r="G183" s="54">
        <f t="shared" si="12"/>
        <v>46.51277472212973</v>
      </c>
      <c r="H183" s="53"/>
      <c r="I183" s="1"/>
      <c r="J183" s="1"/>
      <c r="K183" s="1"/>
      <c r="L183" s="1"/>
    </row>
    <row r="184" ht="15" customHeight="1">
      <c r="A184" s="1"/>
      <c r="B184" s="1"/>
      <c r="C184" s="1"/>
      <c r="D184" s="1"/>
      <c r="E184" s="1"/>
      <c r="F184" s="1"/>
      <c r="G184" s="1"/>
      <c r="H184" s="45"/>
      <c r="I184" s="1"/>
      <c r="J184" s="1"/>
      <c r="K184" s="1"/>
      <c r="L184" s="1"/>
    </row>
    <row r="185" ht="15" customHeight="1">
      <c r="A185" s="1"/>
      <c r="B185" s="4" t="s">
        <v>226</v>
      </c>
      <c r="C185" s="34"/>
      <c r="D185" s="34"/>
      <c r="E185" s="34"/>
      <c r="F185" s="34"/>
      <c r="G185" s="34"/>
      <c r="H185" s="32"/>
      <c r="I185" s="1"/>
      <c r="J185" s="1"/>
      <c r="K185" s="1"/>
      <c r="L185" s="1"/>
    </row>
    <row r="186" ht="15" customHeight="1">
      <c r="A186" s="1"/>
      <c r="B186" s="17" t="s">
        <v>227</v>
      </c>
      <c r="C186" s="33">
        <v>47</v>
      </c>
      <c r="D186" s="22">
        <f>E186-Inputs!D173</f>
        <v>44</v>
      </c>
      <c r="E186" s="33">
        <v>176</v>
      </c>
      <c r="F186" s="33">
        <v>44</v>
      </c>
      <c r="G186" s="33">
        <v>44</v>
      </c>
      <c r="H186" s="48"/>
      <c r="I186" s="1"/>
      <c r="J186" s="1" t="s">
        <v>228</v>
      </c>
      <c r="K186" s="1"/>
      <c r="L186" s="1"/>
    </row>
    <row r="187" ht="15" customHeight="1">
      <c r="A187" s="1"/>
      <c r="B187" s="50" t="s">
        <v>111</v>
      </c>
      <c r="C187" s="42">
        <f>C186/Inputs!C46-1</f>
        <v>0.06818181818181812</v>
      </c>
      <c r="D187" s="42">
        <f>D186/Inputs!E46-1</f>
        <v>-0.04347826086956519</v>
      </c>
      <c r="E187" s="42">
        <f>E186/Inputs!F46-1</f>
        <v>0.005714285714285783</v>
      </c>
      <c r="F187" s="42">
        <f>F186/Inputs!G46-1</f>
        <v>0.023255813953488413</v>
      </c>
      <c r="G187" s="42">
        <f>G186/Inputs!H46-1</f>
        <v>0.04761904761904767</v>
      </c>
      <c r="H187" s="49"/>
      <c r="I187" s="1"/>
      <c r="J187" s="1"/>
      <c r="K187" s="1"/>
      <c r="L187" s="1"/>
    </row>
    <row r="188" ht="15" customHeight="1">
      <c r="A188" s="1"/>
      <c r="B188" s="56" t="s">
        <v>144</v>
      </c>
      <c r="C188" s="22">
        <f>C186-Inputs!H46</f>
        <v>5</v>
      </c>
      <c r="D188" s="23">
        <f t="shared" si="1"/>
        <v>-3</v>
      </c>
      <c r="E188" s="23"/>
      <c r="F188" s="23">
        <f t="shared" si="4"/>
        <v>0</v>
      </c>
      <c r="G188" s="23">
        <f t="shared" si="1"/>
        <v>0</v>
      </c>
      <c r="H188" s="48"/>
      <c r="I188" s="1"/>
      <c r="J188" s="1"/>
      <c r="K188" s="1"/>
      <c r="L188" s="1"/>
    </row>
    <row r="189" ht="15" customHeight="1">
      <c r="A189" s="1"/>
      <c r="B189" s="17" t="s">
        <v>229</v>
      </c>
      <c r="C189" s="33">
        <v>21</v>
      </c>
      <c r="D189" s="22">
        <f>E189-Inputs!D174</f>
        <v>66</v>
      </c>
      <c r="E189" s="33">
        <v>110</v>
      </c>
      <c r="F189" s="33">
        <v>16</v>
      </c>
      <c r="G189" s="33">
        <v>28</v>
      </c>
      <c r="H189" s="48"/>
      <c r="I189" s="1"/>
      <c r="J189" s="1"/>
      <c r="K189" s="1"/>
      <c r="L189" s="1"/>
    </row>
    <row r="190" ht="15" customHeight="1">
      <c r="A190" s="1"/>
      <c r="B190" s="50" t="s">
        <v>111</v>
      </c>
      <c r="C190" s="42">
        <f>C189/Inputs!C47-1</f>
        <v>-0.125</v>
      </c>
      <c r="D190" s="42">
        <f>D189/Inputs!E47-1</f>
        <v>-0.2584269662921348</v>
      </c>
      <c r="E190" s="42">
        <f>E189/Inputs!F47-1</f>
        <v>-0.18518518518518523</v>
      </c>
      <c r="F190" s="42">
        <f>F189/Inputs!G47-1</f>
        <v>0.33333333333333326</v>
      </c>
      <c r="G190" s="42">
        <f>G189/Inputs!H47-1</f>
        <v>1.5454545454545454</v>
      </c>
      <c r="H190" s="49"/>
      <c r="I190" s="1"/>
      <c r="J190" s="1"/>
      <c r="K190" s="1"/>
      <c r="L190" s="1"/>
    </row>
    <row r="191" ht="15" customHeight="1">
      <c r="A191" s="1"/>
      <c r="B191" s="56" t="s">
        <v>144</v>
      </c>
      <c r="C191" s="22">
        <f>C189-Inputs!H47</f>
        <v>10</v>
      </c>
      <c r="D191" s="23">
        <f t="shared" si="1"/>
        <v>45</v>
      </c>
      <c r="E191" s="23"/>
      <c r="F191" s="23">
        <f t="shared" si="4"/>
        <v>-50</v>
      </c>
      <c r="G191" s="23">
        <f t="shared" si="1"/>
        <v>12</v>
      </c>
      <c r="H191" s="48"/>
      <c r="I191" s="1"/>
      <c r="J191" s="1"/>
      <c r="K191" s="1"/>
      <c r="L191" s="1"/>
    </row>
    <row r="192" ht="15" customHeight="1">
      <c r="A192" s="1"/>
      <c r="B192" s="35" t="s">
        <v>230</v>
      </c>
      <c r="C192" s="24">
        <f t="shared" si="43" ref="C192:G192">C189/C49</f>
        <v>0.010199125789218067</v>
      </c>
      <c r="D192" s="24">
        <f t="shared" si="43"/>
        <v>0.030740568234746156</v>
      </c>
      <c r="E192" s="24">
        <f t="shared" si="43"/>
        <v>0.01374656335916021</v>
      </c>
      <c r="F192" s="24">
        <f t="shared" si="43"/>
        <v>0.00842548709847288</v>
      </c>
      <c r="G192" s="24">
        <f t="shared" si="43"/>
        <v>0.013377926421404682</v>
      </c>
      <c r="H192" s="49"/>
      <c r="I192" s="1"/>
      <c r="J192" s="1"/>
      <c r="K192" s="1"/>
      <c r="L192" s="1"/>
    </row>
    <row r="193" ht="15" customHeight="1">
      <c r="A193" s="1"/>
      <c r="B193" s="50" t="s">
        <v>114</v>
      </c>
      <c r="C193" s="52">
        <f>(C192-(Inputs!C47/Inputs!C32))*10000</f>
        <v>-31.342075441152666</v>
      </c>
      <c r="D193" s="52">
        <f>(D192-(Inputs!E47/Inputs!E32))*10000</f>
        <v>-136.92781740291286</v>
      </c>
      <c r="E193" s="52">
        <f>(E192-(Inputs!F47/Inputs!F32))*10000</f>
        <v>-44.99145520418113</v>
      </c>
      <c r="F193" s="52">
        <f>(F192-(Inputs!G47/Inputs!G32))*10000</f>
        <v>17.772876524895008</v>
      </c>
      <c r="G193" s="52">
        <f>(G192-(Inputs!H47/Inputs!H32))*10000</f>
        <v>78.53064542951644</v>
      </c>
      <c r="H193" s="53"/>
      <c r="I193" s="1"/>
      <c r="J193" s="1"/>
      <c r="K193" s="1"/>
      <c r="L193" s="1"/>
    </row>
    <row r="194" ht="15" customHeight="1">
      <c r="A194" s="1"/>
      <c r="B194" s="50" t="s">
        <v>115</v>
      </c>
      <c r="C194" s="52">
        <f>(C192-(Inputs!H47/Inputs!H32))*10000</f>
        <v>46.74263910765029</v>
      </c>
      <c r="D194" s="54">
        <f t="shared" si="12"/>
        <v>205.41442445528088</v>
      </c>
      <c r="E194" s="54"/>
      <c r="F194" s="54">
        <f t="shared" si="14"/>
        <v>-223.15081136273278</v>
      </c>
      <c r="G194" s="54">
        <f t="shared" si="12"/>
        <v>49.52439322931802</v>
      </c>
      <c r="H194" s="53"/>
      <c r="I194" s="1"/>
      <c r="J194" s="1"/>
      <c r="K194" s="1"/>
      <c r="L194" s="1"/>
    </row>
    <row r="195" ht="15" customHeight="1">
      <c r="A195" s="1"/>
      <c r="B195" s="1"/>
      <c r="C195" s="1"/>
      <c r="D195" s="1"/>
      <c r="E195" s="1"/>
      <c r="F195" s="1"/>
      <c r="G195" s="1"/>
      <c r="H195" s="45"/>
      <c r="I195" s="1"/>
      <c r="J195" s="1"/>
      <c r="K195" s="1"/>
      <c r="L19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24EF198-180D-EA78-3088-CF4783442F85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75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245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153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7" t="s">
        <v>143</v>
      </c>
      <c r="C10" s="22">
        <f>Inputs!H49</f>
        <v>17544</v>
      </c>
      <c r="D10" s="23">
        <f t="shared" si="0" ref="D10:H10">C21</f>
        <v>18197</v>
      </c>
      <c r="E10" s="22">
        <f>Inputs!F49</f>
        <v>16443</v>
      </c>
      <c r="F10" s="23">
        <f>D21</f>
        <v>18632</v>
      </c>
      <c r="G10" s="23">
        <f t="shared" si="0"/>
        <v>17803</v>
      </c>
      <c r="H10" s="48">
        <f t="shared" si="0"/>
        <v>18465</v>
      </c>
      <c r="I10" s="1"/>
      <c r="J10" s="1" t="s">
        <v>154</v>
      </c>
      <c r="K10" s="1"/>
      <c r="L10" s="1"/>
    </row>
    <row r="11" ht="15" customHeight="1">
      <c r="A11" s="1"/>
      <c r="B11" s="50" t="s">
        <v>111</v>
      </c>
      <c r="C11" s="24"/>
      <c r="D11" s="24"/>
      <c r="E11" s="24"/>
      <c r="F11" s="42">
        <f>F10/Inputs!G48-1</f>
        <v>0.13312655841391474</v>
      </c>
      <c r="G11" s="42">
        <f>G10/Inputs!H48-1</f>
        <v>0.010041983433564106</v>
      </c>
      <c r="H11" s="49">
        <f t="shared" si="3" ref="H11:H170">H10/C10-1</f>
        <v>0.052496580027359796</v>
      </c>
      <c r="I11" s="1"/>
      <c r="J11" s="1"/>
      <c r="K11" s="1"/>
      <c r="L11" s="1"/>
    </row>
    <row r="12" ht="15" customHeight="1">
      <c r="A12" s="1"/>
      <c r="B12" s="56" t="s">
        <v>144</v>
      </c>
      <c r="C12" s="22">
        <f>C10-Inputs!H48</f>
        <v>-82</v>
      </c>
      <c r="D12" s="23">
        <f t="shared" si="1" ref="D12:H191">D10-C10</f>
        <v>653</v>
      </c>
      <c r="E12" s="23"/>
      <c r="F12" s="23">
        <f t="shared" si="4" ref="F12:F191">F10-D10</f>
        <v>435</v>
      </c>
      <c r="G12" s="23">
        <f t="shared" si="1"/>
        <v>-829</v>
      </c>
      <c r="H12" s="48">
        <f t="shared" si="1"/>
        <v>662</v>
      </c>
      <c r="I12" s="1"/>
      <c r="J12" s="1"/>
      <c r="K12" s="1"/>
      <c r="L12" s="1"/>
    </row>
    <row r="13" ht="15" customHeight="1">
      <c r="A13" s="1"/>
      <c r="B13" s="17" t="s">
        <v>155</v>
      </c>
      <c r="C13" s="23">
        <f t="shared" si="2" ref="C13:G13">C21-C10+C49</f>
        <v>3746</v>
      </c>
      <c r="D13" s="23">
        <f t="shared" si="2"/>
        <v>3884</v>
      </c>
      <c r="E13" s="23">
        <f t="shared" si="2"/>
        <v>14695</v>
      </c>
      <c r="F13" s="23">
        <f t="shared" si="2"/>
        <v>2032</v>
      </c>
      <c r="G13" s="23">
        <f t="shared" si="2"/>
        <v>3912</v>
      </c>
      <c r="H13" s="48">
        <f>H49*H41</f>
        <v>3249.8399999999997</v>
      </c>
      <c r="I13" s="1"/>
      <c r="J13" s="1" t="s">
        <v>156</v>
      </c>
      <c r="K13" s="1"/>
      <c r="L13" s="1"/>
    </row>
    <row r="14" ht="15" customHeight="1">
      <c r="A14" s="1"/>
      <c r="B14" s="50" t="s">
        <v>111</v>
      </c>
      <c r="C14" s="24"/>
      <c r="D14" s="24"/>
      <c r="E14" s="24"/>
      <c r="F14" s="42">
        <f>F13/(Inputs!G49-Inputs!G48+Inputs!G51)-1</f>
        <v>-0.49072681704260657</v>
      </c>
      <c r="G14" s="42">
        <f>G13/(Inputs!H49-Inputs!H48+Inputs!H51)-1</f>
        <v>0.27219512195121953</v>
      </c>
      <c r="H14" s="49">
        <f t="shared" si="3"/>
        <v>-0.1324506139882542</v>
      </c>
      <c r="I14" s="1"/>
      <c r="J14" s="1"/>
      <c r="K14" s="1"/>
      <c r="L14" s="1"/>
    </row>
    <row r="15" ht="15" customHeight="1">
      <c r="A15" s="1"/>
      <c r="B15" s="56" t="s">
        <v>144</v>
      </c>
      <c r="C15" s="22">
        <f>C13-(Inputs!H49-Inputs!H48+Inputs!H51)</f>
        <v>671</v>
      </c>
      <c r="D15" s="23">
        <f t="shared" si="1"/>
        <v>138</v>
      </c>
      <c r="E15" s="23"/>
      <c r="F15" s="23">
        <f t="shared" si="4"/>
        <v>-1852</v>
      </c>
      <c r="G15" s="23">
        <f t="shared" si="1"/>
        <v>1880</v>
      </c>
      <c r="H15" s="48">
        <f t="shared" si="1"/>
        <v>-662.1600000000003</v>
      </c>
      <c r="I15" s="1"/>
      <c r="J15" s="1"/>
      <c r="K15" s="1"/>
      <c r="L15" s="1"/>
    </row>
    <row r="16" ht="15" customHeight="1">
      <c r="A16" s="1"/>
      <c r="B16" s="17" t="s">
        <v>157</v>
      </c>
      <c r="C16" s="23">
        <f t="shared" si="5" ref="C16:H16">-C49</f>
        <v>-3093</v>
      </c>
      <c r="D16" s="23">
        <f t="shared" si="5"/>
        <v>-3449</v>
      </c>
      <c r="E16" s="23">
        <f t="shared" si="5"/>
        <v>-12506</v>
      </c>
      <c r="F16" s="23">
        <f t="shared" si="5"/>
        <v>-2861</v>
      </c>
      <c r="G16" s="23">
        <f t="shared" si="5"/>
        <v>-3250</v>
      </c>
      <c r="H16" s="48">
        <f t="shared" si="5"/>
        <v>-3249.8399999999997</v>
      </c>
      <c r="I16" s="1"/>
      <c r="J16" s="1"/>
      <c r="K16" s="1"/>
      <c r="L16" s="1"/>
    </row>
    <row r="17" ht="15" customHeight="1">
      <c r="A17" s="1"/>
      <c r="B17" s="50" t="s">
        <v>111</v>
      </c>
      <c r="C17" s="42">
        <f>C16/(-Inputs!C51)-1</f>
        <v>0.09564293304994687</v>
      </c>
      <c r="D17" s="42">
        <f>D16/(-Inputs!E51)-1</f>
        <v>0.09701017811704826</v>
      </c>
      <c r="E17" s="42">
        <f>E16/(-Inputs!F51)-1</f>
        <v>0.09711378191069397</v>
      </c>
      <c r="F17" s="42">
        <f>F16/(-Inputs!G51)-1</f>
        <v>0.01923762023512654</v>
      </c>
      <c r="G17" s="42">
        <f>G16/(-Inputs!H51)-1</f>
        <v>0.029458346531517243</v>
      </c>
      <c r="H17" s="49">
        <f t="shared" si="3"/>
        <v>0.05070805043646942</v>
      </c>
      <c r="I17" s="1"/>
      <c r="J17" s="1"/>
      <c r="K17" s="1"/>
      <c r="L17" s="1"/>
    </row>
    <row r="18" ht="15" customHeight="1">
      <c r="A18" s="1"/>
      <c r="B18" s="56" t="s">
        <v>144</v>
      </c>
      <c r="C18" s="22">
        <f>C16-(-Inputs!H51)</f>
        <v>64</v>
      </c>
      <c r="D18" s="23">
        <f t="shared" si="1"/>
        <v>-356</v>
      </c>
      <c r="E18" s="23"/>
      <c r="F18" s="23">
        <f t="shared" si="4"/>
        <v>588</v>
      </c>
      <c r="G18" s="23">
        <f t="shared" si="1"/>
        <v>-389</v>
      </c>
      <c r="H18" s="48">
        <f t="shared" si="1"/>
        <v>0.16000000000030923</v>
      </c>
      <c r="I18" s="1"/>
      <c r="J18" s="1"/>
      <c r="K18" s="1"/>
      <c r="L18" s="1"/>
    </row>
    <row r="19" ht="15" customHeight="1">
      <c r="A19" s="1"/>
      <c r="B19" s="28" t="s">
        <v>158</v>
      </c>
      <c r="C19" s="46">
        <f t="shared" si="6" ref="C19:H19">C13+C16</f>
        <v>653</v>
      </c>
      <c r="D19" s="46">
        <f t="shared" si="6"/>
        <v>435</v>
      </c>
      <c r="E19" s="46">
        <f t="shared" si="6"/>
        <v>2189</v>
      </c>
      <c r="F19" s="46">
        <f t="shared" si="6"/>
        <v>-829</v>
      </c>
      <c r="G19" s="46">
        <f t="shared" si="6"/>
        <v>662</v>
      </c>
      <c r="H19" s="47">
        <f t="shared" si="6"/>
        <v>0</v>
      </c>
      <c r="I19" s="1"/>
      <c r="J19" s="1"/>
      <c r="K19" s="1"/>
      <c r="L19" s="1"/>
    </row>
    <row r="20" ht="15" customHeight="1">
      <c r="A20" s="1"/>
      <c r="B20" s="56" t="s">
        <v>144</v>
      </c>
      <c r="C20" s="22">
        <f>C19-((Inputs!H49-Inputs!H48+Inputs!H51)-Inputs!H51)</f>
        <v>735</v>
      </c>
      <c r="D20" s="23">
        <f t="shared" si="7" ref="D20:H20">D19-C19</f>
        <v>-218</v>
      </c>
      <c r="E20" s="23"/>
      <c r="F20" s="23">
        <f>F19-D19</f>
        <v>-1264</v>
      </c>
      <c r="G20" s="23">
        <f t="shared" si="7"/>
        <v>1491</v>
      </c>
      <c r="H20" s="48">
        <f t="shared" si="7"/>
        <v>-662</v>
      </c>
      <c r="I20" s="1"/>
      <c r="J20" s="1"/>
      <c r="K20" s="1"/>
      <c r="L20" s="1"/>
    </row>
    <row r="21" ht="15" customHeight="1">
      <c r="A21" s="1"/>
      <c r="B21" s="4" t="s">
        <v>146</v>
      </c>
      <c r="C21" s="65">
        <v>18197</v>
      </c>
      <c r="D21" s="65">
        <v>18632</v>
      </c>
      <c r="E21" s="46">
        <f t="shared" si="9" ref="E21:E27">D21</f>
        <v>18632</v>
      </c>
      <c r="F21" s="65">
        <v>17803</v>
      </c>
      <c r="G21" s="65">
        <v>18465</v>
      </c>
      <c r="H21" s="47">
        <f>H10+H13-H49</f>
        <v>18465</v>
      </c>
      <c r="I21" s="1"/>
      <c r="J21" s="1" t="s">
        <v>159</v>
      </c>
      <c r="K21" s="1"/>
      <c r="L21" s="1"/>
    </row>
    <row r="22" ht="15" customHeight="1">
      <c r="A22" s="1"/>
      <c r="B22" s="50" t="s">
        <v>111</v>
      </c>
      <c r="C22" s="24"/>
      <c r="D22" s="42">
        <f>D21/Inputs!E49-1</f>
        <v>0.13312655841391474</v>
      </c>
      <c r="E22" s="42">
        <f>E21/Inputs!F49-1</f>
        <v>0.13312655841391474</v>
      </c>
      <c r="F22" s="42">
        <f>F21/Inputs!G49-1</f>
        <v>0.010041983433564106</v>
      </c>
      <c r="G22" s="42">
        <f>G21/Inputs!H49-1</f>
        <v>0.052496580027359796</v>
      </c>
      <c r="H22" s="49">
        <f t="shared" si="3"/>
        <v>0.014727702368522388</v>
      </c>
      <c r="I22" s="1"/>
      <c r="J22" s="1"/>
      <c r="K22" s="1"/>
      <c r="L22" s="1"/>
    </row>
    <row r="23" ht="15" customHeight="1">
      <c r="A23" s="1"/>
      <c r="B23" s="56" t="s">
        <v>144</v>
      </c>
      <c r="C23" s="22">
        <f>C21-Inputs!H49</f>
        <v>653</v>
      </c>
      <c r="D23" s="23">
        <f t="shared" si="1"/>
        <v>435</v>
      </c>
      <c r="E23" s="23"/>
      <c r="F23" s="23">
        <f t="shared" si="4"/>
        <v>-829</v>
      </c>
      <c r="G23" s="23">
        <f t="shared" si="1"/>
        <v>662</v>
      </c>
      <c r="H23" s="48">
        <f t="shared" si="1"/>
        <v>0</v>
      </c>
      <c r="I23" s="1"/>
      <c r="J23" s="1"/>
      <c r="K23" s="1"/>
      <c r="L23" s="1"/>
    </row>
    <row r="24" ht="15" customHeight="1">
      <c r="A24" s="1"/>
      <c r="B24" s="17" t="s">
        <v>160</v>
      </c>
      <c r="C24" s="23">
        <f t="shared" si="8" ref="C24:H24">AVERAGE(C10,C21)</f>
        <v>17870.5</v>
      </c>
      <c r="D24" s="23">
        <f t="shared" si="8"/>
        <v>18414.5</v>
      </c>
      <c r="E24" s="23">
        <f t="shared" si="8"/>
        <v>17537.5</v>
      </c>
      <c r="F24" s="23">
        <f t="shared" si="8"/>
        <v>18217.5</v>
      </c>
      <c r="G24" s="23">
        <f t="shared" si="8"/>
        <v>18134</v>
      </c>
      <c r="H24" s="48">
        <f t="shared" si="8"/>
        <v>18465</v>
      </c>
      <c r="I24" s="1"/>
      <c r="J24" s="1"/>
      <c r="K24" s="1"/>
      <c r="L24" s="1"/>
    </row>
    <row r="25" ht="15" customHeight="1">
      <c r="A25" s="1"/>
      <c r="B25" s="50" t="s">
        <v>111</v>
      </c>
      <c r="C25" s="24"/>
      <c r="D25" s="24"/>
      <c r="E25" s="24"/>
      <c r="F25" s="42">
        <f>F24/((Inputs!G48+Inputs!G49)/2)-1</f>
        <v>0.06944729813026496</v>
      </c>
      <c r="G25" s="42">
        <f>G24/((Inputs!H48+Inputs!H49)/2)-1</f>
        <v>0.031219789593403435</v>
      </c>
      <c r="H25" s="49">
        <f t="shared" si="3"/>
        <v>0.033267116197084556</v>
      </c>
      <c r="I25" s="1"/>
      <c r="J25" s="1"/>
      <c r="K25" s="1"/>
      <c r="L25" s="1"/>
    </row>
    <row r="26" ht="15" customHeight="1">
      <c r="A26" s="1"/>
      <c r="B26" s="56" t="s">
        <v>144</v>
      </c>
      <c r="C26" s="22">
        <f>C24-((Inputs!H48+Inputs!H49)/2)</f>
        <v>285.5</v>
      </c>
      <c r="D26" s="23">
        <f t="shared" si="1"/>
        <v>544</v>
      </c>
      <c r="E26" s="23"/>
      <c r="F26" s="23">
        <f t="shared" si="4"/>
        <v>-197</v>
      </c>
      <c r="G26" s="23">
        <f t="shared" si="1"/>
        <v>-83.5</v>
      </c>
      <c r="H26" s="48">
        <f t="shared" si="1"/>
        <v>331</v>
      </c>
      <c r="I26" s="1"/>
      <c r="J26" s="1"/>
      <c r="K26" s="1"/>
      <c r="L26" s="1"/>
    </row>
    <row r="27" ht="15" customHeight="1">
      <c r="A27" s="1"/>
      <c r="B27" s="17" t="s">
        <v>161</v>
      </c>
      <c r="C27" s="33">
        <v>12311</v>
      </c>
      <c r="D27" s="33">
        <v>13251</v>
      </c>
      <c r="E27" s="23">
        <f t="shared" si="9"/>
        <v>13251</v>
      </c>
      <c r="F27" s="33">
        <v>12887</v>
      </c>
      <c r="G27" s="33">
        <v>12878</v>
      </c>
      <c r="H27" s="48"/>
      <c r="I27" s="1"/>
      <c r="J27" s="1" t="s">
        <v>162</v>
      </c>
      <c r="K27" s="1"/>
      <c r="L27" s="1"/>
    </row>
    <row r="28" ht="15" customHeight="1">
      <c r="A28" s="1"/>
      <c r="B28" s="50" t="s">
        <v>111</v>
      </c>
      <c r="C28" s="24"/>
      <c r="D28" s="24"/>
      <c r="E28" s="24"/>
      <c r="F28" s="42">
        <f>F27/Inputs!G50-1</f>
        <v>0.07346938775510203</v>
      </c>
      <c r="G28" s="42">
        <f>G27/Inputs!H50-1</f>
        <v>0.08227582149760493</v>
      </c>
      <c r="H28" s="49"/>
      <c r="I28" s="1"/>
      <c r="J28" s="1"/>
      <c r="K28" s="1"/>
      <c r="L28" s="1"/>
    </row>
    <row r="29" ht="15" customHeight="1">
      <c r="A29" s="1"/>
      <c r="B29" s="56" t="s">
        <v>144</v>
      </c>
      <c r="C29" s="22">
        <f>C27-Inputs!H50</f>
        <v>412</v>
      </c>
      <c r="D29" s="23">
        <f t="shared" si="1"/>
        <v>940</v>
      </c>
      <c r="E29" s="23"/>
      <c r="F29" s="23">
        <f t="shared" si="4"/>
        <v>-364</v>
      </c>
      <c r="G29" s="23">
        <f t="shared" si="1"/>
        <v>-9</v>
      </c>
      <c r="H29" s="48"/>
      <c r="I29" s="1"/>
      <c r="J29" s="1"/>
      <c r="K29" s="1"/>
      <c r="L29" s="1"/>
    </row>
    <row r="30" ht="15" customHeight="1">
      <c r="A30" s="1"/>
      <c r="B30" s="17" t="s">
        <v>163</v>
      </c>
      <c r="C30" s="23">
        <f t="shared" si="10" ref="C30:G30">C21-C27</f>
        <v>5886</v>
      </c>
      <c r="D30" s="23">
        <f t="shared" si="10"/>
        <v>5381</v>
      </c>
      <c r="E30" s="23">
        <f t="shared" si="10"/>
        <v>5381</v>
      </c>
      <c r="F30" s="23">
        <f t="shared" si="10"/>
        <v>4916</v>
      </c>
      <c r="G30" s="23">
        <f t="shared" si="10"/>
        <v>5587</v>
      </c>
      <c r="H30" s="48"/>
      <c r="I30" s="1"/>
      <c r="J30" s="1"/>
      <c r="K30" s="1"/>
      <c r="L30" s="1"/>
    </row>
    <row r="31" ht="15" customHeight="1">
      <c r="A31" s="1"/>
      <c r="B31" s="50" t="s">
        <v>111</v>
      </c>
      <c r="C31" s="24"/>
      <c r="D31" s="24"/>
      <c r="E31" s="24"/>
      <c r="F31" s="42">
        <f>F30/(Inputs!G49-Inputs!G50)-1</f>
        <v>-0.12542252268279663</v>
      </c>
      <c r="G31" s="42">
        <f>G30/(Inputs!H49-Inputs!H50)-1</f>
        <v>-0.010274579273693574</v>
      </c>
      <c r="H31" s="49"/>
      <c r="I31" s="1"/>
      <c r="J31" s="1"/>
      <c r="K31" s="1"/>
      <c r="L31" s="1"/>
    </row>
    <row r="32" ht="15" customHeight="1">
      <c r="A32" s="1"/>
      <c r="B32" s="56" t="s">
        <v>144</v>
      </c>
      <c r="C32" s="22">
        <f>C30-(Inputs!H49-Inputs!H50)</f>
        <v>241</v>
      </c>
      <c r="D32" s="23">
        <f t="shared" si="1"/>
        <v>-505</v>
      </c>
      <c r="E32" s="23"/>
      <c r="F32" s="23">
        <f t="shared" si="4"/>
        <v>-465</v>
      </c>
      <c r="G32" s="23">
        <f t="shared" si="1"/>
        <v>671</v>
      </c>
      <c r="H32" s="48"/>
      <c r="I32" s="1"/>
      <c r="J32" s="1"/>
      <c r="K32" s="1"/>
      <c r="L32" s="1"/>
    </row>
    <row r="33" ht="15" customHeight="1">
      <c r="A33" s="1"/>
      <c r="B33" s="35" t="s">
        <v>164</v>
      </c>
      <c r="C33" s="24">
        <f t="shared" si="11" ref="C33:G33">C27/C21</f>
        <v>0.6765400890256635</v>
      </c>
      <c r="D33" s="24">
        <f t="shared" si="11"/>
        <v>0.7111957921854873</v>
      </c>
      <c r="E33" s="24">
        <f t="shared" si="11"/>
        <v>0.7111957921854873</v>
      </c>
      <c r="F33" s="24">
        <f t="shared" si="11"/>
        <v>0.7238667640285346</v>
      </c>
      <c r="G33" s="24">
        <f t="shared" si="11"/>
        <v>0.6974275656647712</v>
      </c>
      <c r="H33" s="49"/>
      <c r="I33" s="1"/>
      <c r="J33" s="1"/>
      <c r="K33" s="1"/>
      <c r="L33" s="1"/>
    </row>
    <row r="34" ht="15" customHeight="1">
      <c r="A34" s="1"/>
      <c r="B34" s="50" t="s">
        <v>114</v>
      </c>
      <c r="C34" s="54"/>
      <c r="D34" s="54"/>
      <c r="E34" s="54"/>
      <c r="F34" s="52">
        <f>(F33-(Inputs!G50/Inputs!G49))*10000</f>
        <v>427.70656006294706</v>
      </c>
      <c r="G34" s="52">
        <f>(G33-(Inputs!H50/Inputs!H49))*10000</f>
        <v>191.8999156536394</v>
      </c>
      <c r="H34" s="53"/>
      <c r="I34" s="1"/>
      <c r="J34" s="1"/>
      <c r="K34" s="1"/>
      <c r="L34" s="1"/>
    </row>
    <row r="35" ht="15" customHeight="1">
      <c r="A35" s="1"/>
      <c r="B35" s="50" t="s">
        <v>115</v>
      </c>
      <c r="C35" s="52">
        <f>(C33-(Inputs!H50/Inputs!H49))*10000</f>
        <v>-16.974850737436764</v>
      </c>
      <c r="D35" s="54">
        <f t="shared" si="12" ref="D35:H194">(D33-C33)*10000</f>
        <v>346.55703159823804</v>
      </c>
      <c r="E35" s="54"/>
      <c r="F35" s="54">
        <f t="shared" si="14" ref="F35:F194">(F33-D33)*10000</f>
        <v>126.70971843047218</v>
      </c>
      <c r="G35" s="54">
        <f t="shared" si="12"/>
        <v>-264.39198363763404</v>
      </c>
      <c r="H35" s="53"/>
      <c r="I35" s="1"/>
      <c r="J35" s="1"/>
      <c r="K35" s="1"/>
      <c r="L35" s="1"/>
    </row>
    <row r="36" ht="15" customHeight="1">
      <c r="A36" s="1"/>
      <c r="B36" s="1"/>
      <c r="C36" s="1"/>
      <c r="D36" s="1"/>
      <c r="E36" s="1"/>
      <c r="F36" s="1"/>
      <c r="G36" s="1"/>
      <c r="H36" s="45"/>
      <c r="I36" s="1"/>
      <c r="J36" s="1"/>
      <c r="K36" s="1"/>
      <c r="L36" s="1"/>
    </row>
    <row r="37" ht="15" customHeight="1">
      <c r="A37" s="1"/>
      <c r="B37" s="4" t="s">
        <v>165</v>
      </c>
      <c r="C37" s="34"/>
      <c r="D37" s="34"/>
      <c r="E37" s="34"/>
      <c r="F37" s="34"/>
      <c r="G37" s="34"/>
      <c r="H37" s="32"/>
      <c r="I37" s="1"/>
      <c r="J37" s="1"/>
      <c r="K37" s="1"/>
      <c r="L37" s="1"/>
    </row>
    <row r="38" ht="15" customHeight="1">
      <c r="A38" s="1"/>
      <c r="B38" s="35" t="s">
        <v>166</v>
      </c>
      <c r="C38" s="24">
        <f t="shared" si="13" ref="C38:G38">C49/C10</f>
        <v>0.17629958960328318</v>
      </c>
      <c r="D38" s="24">
        <f t="shared" si="13"/>
        <v>0.18953673682475133</v>
      </c>
      <c r="E38" s="24">
        <f t="shared" si="13"/>
        <v>0.760566806543818</v>
      </c>
      <c r="F38" s="24">
        <f t="shared" si="13"/>
        <v>0.15355302705023616</v>
      </c>
      <c r="G38" s="24">
        <f t="shared" si="13"/>
        <v>0.18255350221872718</v>
      </c>
      <c r="H38" s="57">
        <v>0.176</v>
      </c>
      <c r="I38" s="1"/>
      <c r="J38" s="1" t="s">
        <v>167</v>
      </c>
      <c r="K38" s="1"/>
      <c r="L38" s="1"/>
    </row>
    <row r="39" ht="15" customHeight="1">
      <c r="A39" s="1"/>
      <c r="B39" s="50" t="s">
        <v>114</v>
      </c>
      <c r="C39" s="54"/>
      <c r="D39" s="54"/>
      <c r="E39" s="54"/>
      <c r="F39" s="52">
        <f>(F38-(Inputs!G51/Inputs!G48))*10000</f>
        <v>-171.5791377564721</v>
      </c>
      <c r="G39" s="52">
        <f>(G38-(Inputs!H51/Inputs!H48))*10000</f>
        <v>34.43097135327672</v>
      </c>
      <c r="H39" s="53">
        <f t="shared" si="20" ref="H39:H167">(H38-C38)*10000</f>
        <v>-2.9958960328319018</v>
      </c>
      <c r="I39" s="1"/>
      <c r="J39" s="1"/>
      <c r="K39" s="1"/>
      <c r="L39" s="1"/>
    </row>
    <row r="40" ht="15" customHeight="1">
      <c r="A40" s="1"/>
      <c r="B40" s="50" t="s">
        <v>115</v>
      </c>
      <c r="C40" s="52">
        <f>(C38-(Inputs!H51/Inputs!H48))*10000</f>
        <v>-28.1081548011633</v>
      </c>
      <c r="D40" s="54">
        <f t="shared" si="12"/>
        <v>132.37147221468155</v>
      </c>
      <c r="E40" s="54"/>
      <c r="F40" s="54">
        <f t="shared" si="14"/>
        <v>-359.83709774515177</v>
      </c>
      <c r="G40" s="54">
        <f t="shared" si="12"/>
        <v>290.0047516849102</v>
      </c>
      <c r="H40" s="53">
        <f t="shared" si="12"/>
        <v>-65.53502218727192</v>
      </c>
      <c r="I40" s="1"/>
      <c r="J40" s="1"/>
      <c r="K40" s="1"/>
      <c r="L40" s="1"/>
    </row>
    <row r="41" ht="15" customHeight="1">
      <c r="A41" s="1"/>
      <c r="B41" s="17" t="s">
        <v>168</v>
      </c>
      <c r="C41" s="60">
        <f t="shared" si="15" ref="C41:G41">C13/C49</f>
        <v>1.2111218881344972</v>
      </c>
      <c r="D41" s="60">
        <f t="shared" si="15"/>
        <v>1.126123514062047</v>
      </c>
      <c r="E41" s="60">
        <f t="shared" si="15"/>
        <v>1.1750359827282904</v>
      </c>
      <c r="F41" s="60">
        <f t="shared" si="15"/>
        <v>0.7102411744145404</v>
      </c>
      <c r="G41" s="60">
        <f t="shared" si="15"/>
        <v>1.2036923076923076</v>
      </c>
      <c r="H41" s="66">
        <v>1</v>
      </c>
      <c r="I41" s="1"/>
      <c r="J41" s="1" t="s">
        <v>169</v>
      </c>
      <c r="K41" s="1"/>
      <c r="L41" s="1"/>
    </row>
    <row r="42" ht="15" customHeight="1">
      <c r="A42" s="1"/>
      <c r="B42" s="50" t="s">
        <v>149</v>
      </c>
      <c r="C42" s="62"/>
      <c r="D42" s="62"/>
      <c r="E42" s="62"/>
      <c r="F42" s="63">
        <f>F41-((Inputs!G49-Inputs!G48+Inputs!G51)/Inputs!G51)</f>
        <v>-0.7112052096253599</v>
      </c>
      <c r="G42" s="63">
        <f>G41-((Inputs!H49-Inputs!H48+Inputs!H51)/Inputs!H51)</f>
        <v>0.2296663336663336</v>
      </c>
      <c r="H42" s="64">
        <f t="shared" si="17" ref="H42:H45">H41-C41</f>
        <v>-0.21112188813449717</v>
      </c>
      <c r="I42" s="1"/>
      <c r="J42" s="1"/>
      <c r="K42" s="1"/>
      <c r="L42" s="1"/>
    </row>
    <row r="43" ht="15" customHeight="1">
      <c r="A43" s="1"/>
      <c r="B43" s="50" t="s">
        <v>150</v>
      </c>
      <c r="C43" s="63">
        <f>C41-((Inputs!H49-Inputs!H48+Inputs!H51)/Inputs!H51)</f>
        <v>0.23709591410852315</v>
      </c>
      <c r="D43" s="62">
        <f t="shared" si="1"/>
        <v>-0.08499837407245026</v>
      </c>
      <c r="E43" s="62"/>
      <c r="F43" s="62">
        <f t="shared" si="4"/>
        <v>-0.41588233964750654</v>
      </c>
      <c r="G43" s="62">
        <f t="shared" si="1"/>
        <v>0.49345113327776724</v>
      </c>
      <c r="H43" s="64">
        <f t="shared" si="1"/>
        <v>-0.20369230769230762</v>
      </c>
      <c r="I43" s="1"/>
      <c r="J43" s="1"/>
      <c r="K43" s="1"/>
      <c r="L43" s="1"/>
    </row>
    <row r="44" ht="15" customHeight="1">
      <c r="A44" s="1"/>
      <c r="B44" s="17" t="s">
        <v>170</v>
      </c>
      <c r="C44" s="60">
        <f t="shared" si="16" ref="C44:H44">C21/C49</f>
        <v>5.883284836728095</v>
      </c>
      <c r="D44" s="60">
        <f t="shared" si="16"/>
        <v>5.402145549434619</v>
      </c>
      <c r="E44" s="60"/>
      <c r="F44" s="60">
        <f t="shared" si="16"/>
        <v>6.222649423278574</v>
      </c>
      <c r="G44" s="60">
        <f t="shared" si="16"/>
        <v>5.681538461538461</v>
      </c>
      <c r="H44" s="61">
        <f t="shared" si="16"/>
        <v>5.6818181818181825</v>
      </c>
      <c r="I44" s="1"/>
      <c r="J44" s="1" t="s">
        <v>171</v>
      </c>
      <c r="K44" s="1"/>
      <c r="L44" s="1"/>
    </row>
    <row r="45" ht="15" customHeight="1">
      <c r="A45" s="1"/>
      <c r="B45" s="50" t="s">
        <v>149</v>
      </c>
      <c r="C45" s="62"/>
      <c r="D45" s="63">
        <f>D44-(Inputs!E49/Inputs!E51)</f>
        <v>0.17218371737355032</v>
      </c>
      <c r="E45" s="62"/>
      <c r="F45" s="63">
        <f>F44-(Inputs!G49/Inputs!G51)</f>
        <v>-0.05665232235733697</v>
      </c>
      <c r="G45" s="63">
        <f>G44-(Inputs!H49/Inputs!H51)</f>
        <v>0.1243639287541729</v>
      </c>
      <c r="H45" s="64">
        <f t="shared" si="17"/>
        <v>-0.2014666549099129</v>
      </c>
      <c r="I45" s="1"/>
      <c r="J45" s="1"/>
      <c r="K45" s="1"/>
      <c r="L45" s="1"/>
    </row>
    <row r="46" ht="15" customHeight="1">
      <c r="A46" s="1"/>
      <c r="B46" s="50" t="s">
        <v>150</v>
      </c>
      <c r="C46" s="63">
        <f>C44-(Inputs!H49/Inputs!H51)</f>
        <v>0.3261103039438069</v>
      </c>
      <c r="D46" s="62">
        <f t="shared" si="1"/>
        <v>-0.48113928729347677</v>
      </c>
      <c r="E46" s="62"/>
      <c r="F46" s="62">
        <f t="shared" si="4"/>
        <v>0.820503873843955</v>
      </c>
      <c r="G46" s="62">
        <f t="shared" si="1"/>
        <v>-0.5411109617401122</v>
      </c>
      <c r="H46" s="64">
        <f t="shared" si="1"/>
        <v>0.00027972027972111846</v>
      </c>
      <c r="I46" s="1"/>
      <c r="J46" s="1"/>
      <c r="K46" s="1"/>
      <c r="L46" s="1"/>
    </row>
    <row r="47" ht="15" customHeight="1">
      <c r="A47" s="1"/>
      <c r="B47" s="1"/>
      <c r="C47" s="1"/>
      <c r="D47" s="1"/>
      <c r="E47" s="1"/>
      <c r="F47" s="1"/>
      <c r="G47" s="1"/>
      <c r="H47" s="45"/>
      <c r="I47" s="1"/>
      <c r="J47" s="1"/>
      <c r="K47" s="1"/>
      <c r="L47" s="1"/>
    </row>
    <row r="48" ht="15" customHeight="1">
      <c r="A48" s="1"/>
      <c r="B48" s="4" t="s">
        <v>172</v>
      </c>
      <c r="C48" s="34"/>
      <c r="D48" s="34"/>
      <c r="E48" s="34"/>
      <c r="F48" s="34"/>
      <c r="G48" s="34"/>
      <c r="H48" s="32"/>
      <c r="I48" s="1"/>
      <c r="J48" s="1"/>
      <c r="K48" s="1"/>
      <c r="L48" s="1"/>
    </row>
    <row r="49" ht="15" customHeight="1">
      <c r="A49" s="1"/>
      <c r="B49" s="4" t="s">
        <v>246</v>
      </c>
      <c r="C49" s="67">
        <v>3093</v>
      </c>
      <c r="D49" s="67">
        <v>3449</v>
      </c>
      <c r="E49" s="67">
        <v>12506</v>
      </c>
      <c r="F49" s="67">
        <v>2861</v>
      </c>
      <c r="G49" s="67">
        <v>3250</v>
      </c>
      <c r="H49" s="68">
        <f>H10*H38</f>
        <v>3249.8399999999997</v>
      </c>
      <c r="I49" s="1"/>
      <c r="J49" s="1" t="s">
        <v>174</v>
      </c>
      <c r="K49" s="1"/>
      <c r="L49" s="1"/>
    </row>
    <row r="50" ht="15" customHeight="1">
      <c r="A50" s="1"/>
      <c r="B50" s="50" t="s">
        <v>111</v>
      </c>
      <c r="C50" s="42">
        <f>C49/Inputs!C51-1</f>
        <v>0.09564293304994687</v>
      </c>
      <c r="D50" s="42">
        <f>D49/Inputs!E51-1</f>
        <v>0.09701017811704826</v>
      </c>
      <c r="E50" s="42">
        <f>E49/Inputs!F51-1</f>
        <v>0.09711378191069397</v>
      </c>
      <c r="F50" s="42">
        <f>F49/Inputs!G51-1</f>
        <v>0.01923762023512654</v>
      </c>
      <c r="G50" s="42">
        <f>G49/Inputs!H51-1</f>
        <v>0.029458346531517243</v>
      </c>
      <c r="H50" s="49">
        <f t="shared" si="3"/>
        <v>0.05070805043646942</v>
      </c>
      <c r="I50" s="1"/>
      <c r="J50" s="1"/>
      <c r="K50" s="1"/>
      <c r="L50" s="1"/>
    </row>
    <row r="51" ht="15" customHeight="1">
      <c r="A51" s="1"/>
      <c r="B51" s="56" t="s">
        <v>144</v>
      </c>
      <c r="C51" s="22">
        <f>C49-Inputs!H51</f>
        <v>-64</v>
      </c>
      <c r="D51" s="23">
        <f t="shared" si="1"/>
        <v>356</v>
      </c>
      <c r="E51" s="23"/>
      <c r="F51" s="23">
        <f t="shared" si="4"/>
        <v>-588</v>
      </c>
      <c r="G51" s="23">
        <f t="shared" si="1"/>
        <v>389</v>
      </c>
      <c r="H51" s="48">
        <f t="shared" si="1"/>
        <v>-0.16000000000030923</v>
      </c>
      <c r="I51" s="1"/>
      <c r="J51" s="1"/>
      <c r="K51" s="1"/>
      <c r="L51" s="1"/>
    </row>
    <row r="52" ht="15" customHeight="1">
      <c r="A52" s="1"/>
      <c r="B52" s="56" t="s">
        <v>175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69">
        <v>0</v>
      </c>
      <c r="I52" s="1"/>
      <c r="J52" s="1" t="s">
        <v>176</v>
      </c>
      <c r="K52" s="1"/>
      <c r="L52" s="1"/>
    </row>
    <row r="53" ht="15" customHeight="1">
      <c r="A53" s="1"/>
      <c r="B53" s="50" t="s">
        <v>177</v>
      </c>
      <c r="C53" s="42">
        <f>(C49-C52)/(Inputs!C51-Inputs!C52)-1</f>
        <v>0.09564293304994687</v>
      </c>
      <c r="D53" s="42">
        <f>(D49-D52)/(Inputs!E51-Inputs!E52)-1</f>
        <v>0.09701017811704826</v>
      </c>
      <c r="E53" s="42">
        <f>(E49-E52)/(Inputs!F51-Inputs!F52)-1</f>
        <v>0.09711378191069397</v>
      </c>
      <c r="F53" s="42">
        <f>(F49-F52)/(Inputs!G51-Inputs!G52)-1</f>
        <v>0.01923762023512654</v>
      </c>
      <c r="G53" s="42">
        <f>(G49-G52)/(Inputs!H51-Inputs!H52)-1</f>
        <v>0.029458346531517243</v>
      </c>
      <c r="H53" s="49">
        <f>(H49-H52)/(C49-C52)-1</f>
        <v>0.05070805043646942</v>
      </c>
      <c r="I53" s="1"/>
      <c r="J53" s="1"/>
      <c r="K53" s="1"/>
      <c r="L53" s="1"/>
    </row>
    <row r="54" ht="15" customHeight="1">
      <c r="A54" s="1"/>
      <c r="B54" s="50" t="s">
        <v>117</v>
      </c>
      <c r="C54" s="24">
        <f t="shared" si="18" ref="C54:H54">(1+C50)/(1+C53)-1</f>
        <v>0</v>
      </c>
      <c r="D54" s="24">
        <f t="shared" si="18"/>
        <v>0</v>
      </c>
      <c r="E54" s="24">
        <f t="shared" si="18"/>
        <v>0</v>
      </c>
      <c r="F54" s="24">
        <f t="shared" si="18"/>
        <v>0</v>
      </c>
      <c r="G54" s="24">
        <f t="shared" si="18"/>
        <v>0</v>
      </c>
      <c r="H54" s="49">
        <f t="shared" si="18"/>
        <v>0</v>
      </c>
      <c r="I54" s="1"/>
      <c r="J54" s="1"/>
      <c r="K54" s="1"/>
      <c r="L54" s="1"/>
    </row>
    <row r="55" ht="15" customHeight="1">
      <c r="A55" s="1"/>
      <c r="B55" s="56" t="s">
        <v>118</v>
      </c>
      <c r="C55" s="34" t="s">
        <v>38</v>
      </c>
      <c r="D55" s="34" t="s">
        <v>38</v>
      </c>
      <c r="E55" s="34" t="s">
        <v>38</v>
      </c>
      <c r="F55" s="34" t="s">
        <v>38</v>
      </c>
      <c r="G55" s="34" t="s">
        <v>38</v>
      </c>
      <c r="H55" s="32" t="s">
        <v>38</v>
      </c>
      <c r="I55" s="1"/>
      <c r="J55" s="1" t="s">
        <v>178</v>
      </c>
      <c r="K55" s="1"/>
      <c r="L55" s="1"/>
    </row>
    <row r="56" ht="15" customHeight="1">
      <c r="A56" s="1"/>
      <c r="B56" s="35" t="s">
        <v>179</v>
      </c>
      <c r="C56" s="24">
        <f t="shared" si="19" ref="C56:G56">C59/C49</f>
        <v>0.1096023278370514</v>
      </c>
      <c r="D56" s="24">
        <f t="shared" si="19"/>
        <v>0.12148448825746594</v>
      </c>
      <c r="E56" s="24">
        <f t="shared" si="19"/>
        <v>0.11466496081880698</v>
      </c>
      <c r="F56" s="24">
        <f t="shared" si="19"/>
        <v>0.13456833275078645</v>
      </c>
      <c r="G56" s="24">
        <f t="shared" si="19"/>
        <v>0.14276923076923076</v>
      </c>
      <c r="H56" s="57">
        <v>0.13</v>
      </c>
      <c r="I56" s="1"/>
      <c r="J56" s="1" t="s">
        <v>180</v>
      </c>
      <c r="K56" s="1"/>
      <c r="L56" s="1"/>
    </row>
    <row r="57" ht="15" customHeight="1">
      <c r="A57" s="1"/>
      <c r="B57" s="50" t="s">
        <v>114</v>
      </c>
      <c r="C57" s="52">
        <f>(C56-(Inputs!C53/Inputs!C51))*10000</f>
        <v>121.88229360253669</v>
      </c>
      <c r="D57" s="52">
        <f>(D56-(Inputs!E53/Inputs!E51))*10000</f>
        <v>171.58788511918863</v>
      </c>
      <c r="E57" s="52">
        <f>(E56-(Inputs!F53/Inputs!F51))*10000</f>
        <v>114.10289356397999</v>
      </c>
      <c r="F57" s="52">
        <f>(F56-(Inputs!G53/Inputs!G51))*10000</f>
        <v>152.2383684768705</v>
      </c>
      <c r="G57" s="52">
        <f>(G56-(Inputs!H53/Inputs!H51))*10000</f>
        <v>347.55293487000796</v>
      </c>
      <c r="H57" s="53">
        <f t="shared" si="20"/>
        <v>203.97672162948604</v>
      </c>
      <c r="I57" s="1"/>
      <c r="J57" s="1"/>
      <c r="K57" s="1"/>
      <c r="L57" s="1"/>
    </row>
    <row r="58" ht="15" customHeight="1">
      <c r="A58" s="1"/>
      <c r="B58" s="50" t="s">
        <v>115</v>
      </c>
      <c r="C58" s="52">
        <f>(C56-(Inputs!H53/Inputs!H51))*10000</f>
        <v>15.883905548214338</v>
      </c>
      <c r="D58" s="54">
        <f t="shared" si="12"/>
        <v>118.82160420414539</v>
      </c>
      <c r="E58" s="54"/>
      <c r="F58" s="54">
        <f t="shared" si="14"/>
        <v>130.83844493320507</v>
      </c>
      <c r="G58" s="54">
        <f t="shared" si="12"/>
        <v>82.00898018444313</v>
      </c>
      <c r="H58" s="53">
        <f t="shared" si="12"/>
        <v>-127.69230769230755</v>
      </c>
      <c r="I58" s="1"/>
      <c r="J58" s="1"/>
      <c r="K58" s="1"/>
      <c r="L58" s="1"/>
    </row>
    <row r="59" ht="15" customHeight="1">
      <c r="A59" s="1"/>
      <c r="B59" s="17" t="s">
        <v>181</v>
      </c>
      <c r="C59" s="33">
        <v>339</v>
      </c>
      <c r="D59" s="22">
        <f>E59-Inputs!D175</f>
        <v>419</v>
      </c>
      <c r="E59" s="33">
        <v>1434</v>
      </c>
      <c r="F59" s="33">
        <v>385</v>
      </c>
      <c r="G59" s="33">
        <v>464</v>
      </c>
      <c r="H59" s="48">
        <f>H49*H56</f>
        <v>422.4792</v>
      </c>
      <c r="I59" s="1"/>
      <c r="J59" s="1" t="s">
        <v>182</v>
      </c>
      <c r="K59" s="1"/>
      <c r="L59" s="1"/>
    </row>
    <row r="60" ht="15" customHeight="1">
      <c r="A60" s="1"/>
      <c r="B60" s="50" t="s">
        <v>111</v>
      </c>
      <c r="C60" s="42">
        <f>C59/Inputs!C53-1</f>
        <v>0.23272727272727267</v>
      </c>
      <c r="D60" s="42">
        <f>D59/Inputs!E53-1</f>
        <v>0.2774390243902438</v>
      </c>
      <c r="E60" s="42">
        <f>E59/Inputs!F53-1</f>
        <v>0.21835174171622773</v>
      </c>
      <c r="F60" s="42">
        <f>F59/Inputs!G53-1</f>
        <v>0.14925373134328357</v>
      </c>
      <c r="G60" s="42">
        <f>G59/Inputs!H53-1</f>
        <v>0.36070381231671544</v>
      </c>
      <c r="H60" s="49">
        <f t="shared" si="3"/>
        <v>0.2462513274336282</v>
      </c>
      <c r="I60" s="1"/>
      <c r="J60" s="1"/>
      <c r="K60" s="1"/>
      <c r="L60" s="1"/>
    </row>
    <row r="61" ht="15" customHeight="1">
      <c r="A61" s="1"/>
      <c r="B61" s="56" t="s">
        <v>144</v>
      </c>
      <c r="C61" s="22">
        <f>C59-Inputs!H53</f>
        <v>-2</v>
      </c>
      <c r="D61" s="23">
        <f t="shared" si="1"/>
        <v>80</v>
      </c>
      <c r="E61" s="23"/>
      <c r="F61" s="23">
        <f t="shared" si="4"/>
        <v>-34</v>
      </c>
      <c r="G61" s="23">
        <f t="shared" si="1"/>
        <v>79</v>
      </c>
      <c r="H61" s="48">
        <f t="shared" si="1"/>
        <v>-41.52080000000001</v>
      </c>
      <c r="I61" s="1"/>
      <c r="J61" s="1"/>
      <c r="K61" s="1"/>
      <c r="L61" s="1"/>
    </row>
    <row r="62" ht="15" customHeight="1">
      <c r="A62" s="1"/>
      <c r="B62" s="50" t="s">
        <v>119</v>
      </c>
      <c r="C62" s="24">
        <f t="shared" si="21" ref="C62:H147">C60</f>
        <v>0.23272727272727267</v>
      </c>
      <c r="D62" s="24">
        <f t="shared" si="21"/>
        <v>0.2774390243902438</v>
      </c>
      <c r="E62" s="24">
        <f t="shared" si="21"/>
        <v>0.21835174171622773</v>
      </c>
      <c r="F62" s="24">
        <f t="shared" si="21"/>
        <v>0.14925373134328357</v>
      </c>
      <c r="G62" s="24">
        <f t="shared" si="21"/>
        <v>0.36070381231671544</v>
      </c>
      <c r="H62" s="49">
        <f t="shared" si="21"/>
        <v>0.2462513274336282</v>
      </c>
      <c r="I62" s="1"/>
      <c r="J62" s="1" t="s">
        <v>183</v>
      </c>
      <c r="K62" s="1"/>
      <c r="L62" s="1"/>
    </row>
    <row r="63" ht="15" customHeight="1">
      <c r="A63" s="1"/>
      <c r="B63" s="50" t="s">
        <v>117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57">
        <v>0</v>
      </c>
      <c r="I63" s="1"/>
      <c r="J63" s="1" t="s">
        <v>184</v>
      </c>
      <c r="K63" s="1"/>
      <c r="L63" s="1"/>
    </row>
    <row r="64" ht="15" customHeight="1">
      <c r="A64" s="1"/>
      <c r="B64" s="56" t="s">
        <v>118</v>
      </c>
      <c r="C64" s="34" t="s">
        <v>38</v>
      </c>
      <c r="D64" s="34" t="s">
        <v>38</v>
      </c>
      <c r="E64" s="34" t="s">
        <v>38</v>
      </c>
      <c r="F64" s="34" t="s">
        <v>38</v>
      </c>
      <c r="G64" s="34" t="s">
        <v>38</v>
      </c>
      <c r="H64" s="32" t="s">
        <v>38</v>
      </c>
      <c r="I64" s="1"/>
      <c r="J64" s="1"/>
      <c r="K64" s="1"/>
      <c r="L64" s="1"/>
    </row>
    <row r="65" ht="15" customHeight="1">
      <c r="A65" s="1"/>
      <c r="B65" s="4" t="s">
        <v>185</v>
      </c>
      <c r="C65" s="46">
        <f t="shared" si="22" ref="C65:H65">C49-C59</f>
        <v>2754</v>
      </c>
      <c r="D65" s="46">
        <f t="shared" si="22"/>
        <v>3030</v>
      </c>
      <c r="E65" s="46">
        <f t="shared" si="22"/>
        <v>11072</v>
      </c>
      <c r="F65" s="46">
        <f t="shared" si="22"/>
        <v>2476</v>
      </c>
      <c r="G65" s="46">
        <f t="shared" si="22"/>
        <v>2786</v>
      </c>
      <c r="H65" s="47">
        <f t="shared" si="22"/>
        <v>2827.3607999999995</v>
      </c>
      <c r="I65" s="1"/>
      <c r="J65" s="1"/>
      <c r="K65" s="1"/>
      <c r="L65" s="1"/>
    </row>
    <row r="66" ht="15" customHeight="1">
      <c r="A66" s="1"/>
      <c r="B66" s="50" t="s">
        <v>111</v>
      </c>
      <c r="C66" s="42">
        <f>C65/(Inputs!C51-Inputs!C53)-1</f>
        <v>0.08084772370486659</v>
      </c>
      <c r="D66" s="42">
        <f>D65/(Inputs!E51-Inputs!E53)-1</f>
        <v>0.07599431818181812</v>
      </c>
      <c r="E66" s="42">
        <f>E65/(Inputs!F51-Inputs!F53)-1</f>
        <v>0.08315398160829579</v>
      </c>
      <c r="F66" s="42">
        <f>F65/(Inputs!G51-Inputs!G53)-1</f>
        <v>0.0016181229773462036</v>
      </c>
      <c r="G66" s="42">
        <f>G65/(Inputs!H51-Inputs!H53)-1</f>
        <v>-0.01065340909090906</v>
      </c>
      <c r="H66" s="49">
        <f t="shared" si="3"/>
        <v>0.026637908496731866</v>
      </c>
      <c r="I66" s="1"/>
      <c r="J66" s="1"/>
      <c r="K66" s="1"/>
      <c r="L66" s="1"/>
    </row>
    <row r="67" ht="15" customHeight="1">
      <c r="A67" s="1"/>
      <c r="B67" s="56" t="s">
        <v>144</v>
      </c>
      <c r="C67" s="22">
        <f>C65-(Inputs!H51-Inputs!H53)</f>
        <v>-62</v>
      </c>
      <c r="D67" s="23">
        <f t="shared" si="1"/>
        <v>276</v>
      </c>
      <c r="E67" s="23"/>
      <c r="F67" s="23">
        <f t="shared" si="4"/>
        <v>-554</v>
      </c>
      <c r="G67" s="23">
        <f t="shared" si="1"/>
        <v>310</v>
      </c>
      <c r="H67" s="48">
        <f t="shared" si="1"/>
        <v>41.36079999999947</v>
      </c>
      <c r="I67" s="1"/>
      <c r="J67" s="1"/>
      <c r="K67" s="1"/>
      <c r="L67" s="1"/>
    </row>
    <row r="68" ht="15" customHeight="1">
      <c r="A68" s="1"/>
      <c r="B68" s="50" t="s">
        <v>119</v>
      </c>
      <c r="C68" s="24">
        <f t="shared" si="21"/>
        <v>0.08084772370486659</v>
      </c>
      <c r="D68" s="24">
        <f t="shared" si="21"/>
        <v>0.07599431818181812</v>
      </c>
      <c r="E68" s="24">
        <f t="shared" si="21"/>
        <v>0.08315398160829579</v>
      </c>
      <c r="F68" s="24">
        <f t="shared" si="21"/>
        <v>0.0016181229773462036</v>
      </c>
      <c r="G68" s="24">
        <f t="shared" si="21"/>
        <v>-0.01065340909090906</v>
      </c>
      <c r="H68" s="49">
        <f t="shared" si="21"/>
        <v>0.026637908496731866</v>
      </c>
      <c r="I68" s="1"/>
      <c r="J68" s="1" t="s">
        <v>186</v>
      </c>
      <c r="K68" s="1"/>
      <c r="L68" s="1"/>
    </row>
    <row r="69" ht="15" customHeight="1">
      <c r="A69" s="1"/>
      <c r="B69" s="50" t="s">
        <v>117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57">
        <v>0</v>
      </c>
      <c r="I69" s="1"/>
      <c r="J69" s="1" t="s">
        <v>184</v>
      </c>
      <c r="K69" s="1"/>
      <c r="L69" s="1"/>
    </row>
    <row r="70" ht="15" customHeight="1">
      <c r="A70" s="1"/>
      <c r="B70" s="56" t="s">
        <v>118</v>
      </c>
      <c r="C70" s="34" t="s">
        <v>38</v>
      </c>
      <c r="D70" s="34" t="s">
        <v>38</v>
      </c>
      <c r="E70" s="34" t="s">
        <v>38</v>
      </c>
      <c r="F70" s="34" t="s">
        <v>38</v>
      </c>
      <c r="G70" s="34" t="s">
        <v>38</v>
      </c>
      <c r="H70" s="32" t="s">
        <v>38</v>
      </c>
      <c r="I70" s="1"/>
      <c r="J70" s="1"/>
      <c r="K70" s="1"/>
      <c r="L70" s="1"/>
    </row>
    <row r="71" ht="15" customHeight="1">
      <c r="A71" s="1"/>
      <c r="B71" s="1"/>
      <c r="C71" s="1"/>
      <c r="D71" s="1"/>
      <c r="E71" s="1"/>
      <c r="F71" s="1"/>
      <c r="G71" s="1"/>
      <c r="H71" s="45"/>
      <c r="I71" s="1"/>
      <c r="J71" s="1"/>
      <c r="K71" s="1"/>
      <c r="L71" s="1"/>
    </row>
    <row r="72" ht="15" customHeight="1">
      <c r="A72" s="1"/>
      <c r="B72" s="4" t="s">
        <v>187</v>
      </c>
      <c r="C72" s="34"/>
      <c r="D72" s="34"/>
      <c r="E72" s="34"/>
      <c r="F72" s="34"/>
      <c r="G72" s="34"/>
      <c r="H72" s="32"/>
      <c r="I72" s="1"/>
      <c r="J72" s="1"/>
      <c r="K72" s="1"/>
      <c r="L72" s="1"/>
    </row>
    <row r="73" ht="15" customHeight="1">
      <c r="A73" s="1"/>
      <c r="B73" s="17" t="s">
        <v>124</v>
      </c>
      <c r="C73" s="33">
        <v>2166</v>
      </c>
      <c r="D73" s="22">
        <f>E73-Inputs!D176</f>
        <v>2406</v>
      </c>
      <c r="E73" s="33">
        <v>8827</v>
      </c>
      <c r="F73" s="33">
        <v>1979</v>
      </c>
      <c r="G73" s="33">
        <v>2180</v>
      </c>
      <c r="H73" s="48">
        <f>H65*H93</f>
        <v>2236.0986830050315</v>
      </c>
      <c r="I73" s="1"/>
      <c r="J73" s="1" t="s">
        <v>188</v>
      </c>
      <c r="K73" s="1"/>
      <c r="L73" s="1"/>
    </row>
    <row r="74" ht="15" customHeight="1">
      <c r="A74" s="1"/>
      <c r="B74" s="50" t="s">
        <v>111</v>
      </c>
      <c r="C74" s="42">
        <f>C73/Inputs!C55-1</f>
        <v>0.03487816531294796</v>
      </c>
      <c r="D74" s="42">
        <f>D73/Inputs!E55-1</f>
        <v>0.051114023591087854</v>
      </c>
      <c r="E74" s="42">
        <f>E73/Inputs!F55-1</f>
        <v>0.060682528238404254</v>
      </c>
      <c r="F74" s="42">
        <f>F73/Inputs!G55-1</f>
        <v>0.003041054232133744</v>
      </c>
      <c r="G74" s="42">
        <f>G73/Inputs!H55-1</f>
        <v>-0.04469763365468882</v>
      </c>
      <c r="H74" s="49">
        <f t="shared" si="3"/>
        <v>0.03236319621654271</v>
      </c>
      <c r="I74" s="1"/>
      <c r="J74" s="1"/>
      <c r="K74" s="1"/>
      <c r="L74" s="1"/>
    </row>
    <row r="75" ht="15" customHeight="1">
      <c r="A75" s="1"/>
      <c r="B75" s="56" t="s">
        <v>144</v>
      </c>
      <c r="C75" s="22">
        <f>C73-Inputs!H55</f>
        <v>-116</v>
      </c>
      <c r="D75" s="23">
        <f t="shared" si="1"/>
        <v>240</v>
      </c>
      <c r="E75" s="23"/>
      <c r="F75" s="23">
        <f t="shared" si="4"/>
        <v>-427</v>
      </c>
      <c r="G75" s="23">
        <f t="shared" si="1"/>
        <v>201</v>
      </c>
      <c r="H75" s="48">
        <f t="shared" si="1"/>
        <v>56.09868300503149</v>
      </c>
      <c r="I75" s="1"/>
      <c r="J75" s="1"/>
      <c r="K75" s="1"/>
      <c r="L75" s="1"/>
    </row>
    <row r="76" ht="15" customHeight="1">
      <c r="A76" s="1"/>
      <c r="B76" s="50" t="s">
        <v>119</v>
      </c>
      <c r="C76" s="24">
        <f t="shared" si="21"/>
        <v>0.03487816531294796</v>
      </c>
      <c r="D76" s="24">
        <f t="shared" si="21"/>
        <v>0.051114023591087854</v>
      </c>
      <c r="E76" s="24">
        <f t="shared" si="21"/>
        <v>0.060682528238404254</v>
      </c>
      <c r="F76" s="24">
        <f t="shared" si="21"/>
        <v>0.003041054232133744</v>
      </c>
      <c r="G76" s="24">
        <f t="shared" si="21"/>
        <v>-0.04469763365468882</v>
      </c>
      <c r="H76" s="49">
        <f t="shared" si="21"/>
        <v>0.03236319621654271</v>
      </c>
      <c r="I76" s="1"/>
      <c r="J76" s="1" t="s">
        <v>189</v>
      </c>
      <c r="K76" s="1"/>
      <c r="L76" s="1"/>
    </row>
    <row r="77" ht="15" customHeight="1">
      <c r="A77" s="1"/>
      <c r="B77" s="50" t="s">
        <v>117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57">
        <v>0</v>
      </c>
      <c r="I77" s="1"/>
      <c r="J77" s="1" t="s">
        <v>184</v>
      </c>
      <c r="K77" s="1"/>
      <c r="L77" s="1"/>
    </row>
    <row r="78" ht="15" customHeight="1">
      <c r="A78" s="1"/>
      <c r="B78" s="56" t="s">
        <v>118</v>
      </c>
      <c r="C78" s="34" t="s">
        <v>38</v>
      </c>
      <c r="D78" s="34" t="s">
        <v>38</v>
      </c>
      <c r="E78" s="34" t="s">
        <v>38</v>
      </c>
      <c r="F78" s="34" t="s">
        <v>38</v>
      </c>
      <c r="G78" s="34" t="s">
        <v>38</v>
      </c>
      <c r="H78" s="32" t="s">
        <v>38</v>
      </c>
      <c r="I78" s="1"/>
      <c r="J78" s="1"/>
      <c r="K78" s="1"/>
      <c r="L78" s="1"/>
    </row>
    <row r="79" ht="15" customHeight="1">
      <c r="A79" s="1"/>
      <c r="B79" s="17" t="s">
        <v>127</v>
      </c>
      <c r="C79" s="33">
        <v>557</v>
      </c>
      <c r="D79" s="22">
        <f>E79-Inputs!D177</f>
        <v>588</v>
      </c>
      <c r="E79" s="33">
        <v>2125</v>
      </c>
      <c r="F79" s="33">
        <v>464</v>
      </c>
      <c r="G79" s="33">
        <v>563</v>
      </c>
      <c r="H79" s="48">
        <f>H65*H96</f>
        <v>550.6014699096683</v>
      </c>
      <c r="I79" s="1"/>
      <c r="J79" s="1" t="s">
        <v>188</v>
      </c>
      <c r="K79" s="1"/>
      <c r="L79" s="1"/>
    </row>
    <row r="80" ht="15" customHeight="1">
      <c r="A80" s="1"/>
      <c r="B80" s="50" t="s">
        <v>111</v>
      </c>
      <c r="C80" s="42">
        <f>C79/Inputs!C56-1</f>
        <v>0.3044496487119437</v>
      </c>
      <c r="D80" s="42">
        <f>D79/Inputs!E56-1</f>
        <v>0.17365269461077837</v>
      </c>
      <c r="E80" s="42">
        <f>E79/Inputs!F56-1</f>
        <v>0.17468214483139866</v>
      </c>
      <c r="F80" s="42">
        <f>F79/Inputs!G56-1</f>
        <v>-0.023157894736842155</v>
      </c>
      <c r="G80" s="42">
        <f>G79/Inputs!H56-1</f>
        <v>0.11485148514851495</v>
      </c>
      <c r="H80" s="49">
        <f t="shared" si="3"/>
        <v>-0.011487486697184468</v>
      </c>
      <c r="I80" s="1"/>
      <c r="J80" s="1"/>
      <c r="K80" s="1"/>
      <c r="L80" s="1"/>
    </row>
    <row r="81" ht="15" customHeight="1">
      <c r="A81" s="1"/>
      <c r="B81" s="56" t="s">
        <v>144</v>
      </c>
      <c r="C81" s="22">
        <f>C79-Inputs!H56</f>
        <v>52</v>
      </c>
      <c r="D81" s="23">
        <f t="shared" si="1"/>
        <v>31</v>
      </c>
      <c r="E81" s="23"/>
      <c r="F81" s="23">
        <f t="shared" si="4"/>
        <v>-124</v>
      </c>
      <c r="G81" s="23">
        <f t="shared" si="1"/>
        <v>99</v>
      </c>
      <c r="H81" s="48">
        <f t="shared" si="1"/>
        <v>-12.398530090331747</v>
      </c>
      <c r="I81" s="1"/>
      <c r="J81" s="1"/>
      <c r="K81" s="1"/>
      <c r="L81" s="1"/>
    </row>
    <row r="82" ht="15" customHeight="1">
      <c r="A82" s="1"/>
      <c r="B82" s="50" t="s">
        <v>119</v>
      </c>
      <c r="C82" s="24">
        <f t="shared" si="21"/>
        <v>0.3044496487119437</v>
      </c>
      <c r="D82" s="24">
        <f t="shared" si="21"/>
        <v>0.17365269461077837</v>
      </c>
      <c r="E82" s="24">
        <f t="shared" si="21"/>
        <v>0.17468214483139866</v>
      </c>
      <c r="F82" s="24">
        <f t="shared" si="21"/>
        <v>-0.023157894736842155</v>
      </c>
      <c r="G82" s="24">
        <f t="shared" si="21"/>
        <v>0.11485148514851495</v>
      </c>
      <c r="H82" s="49">
        <f t="shared" si="21"/>
        <v>-0.011487486697184468</v>
      </c>
      <c r="I82" s="1"/>
      <c r="J82" s="1" t="s">
        <v>190</v>
      </c>
      <c r="K82" s="1"/>
      <c r="L82" s="1"/>
    </row>
    <row r="83" ht="15" customHeight="1">
      <c r="A83" s="1"/>
      <c r="B83" s="50" t="s">
        <v>117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57">
        <v>0</v>
      </c>
      <c r="I83" s="1"/>
      <c r="J83" s="1" t="s">
        <v>184</v>
      </c>
      <c r="K83" s="1"/>
      <c r="L83" s="1"/>
    </row>
    <row r="84" ht="15" customHeight="1">
      <c r="A84" s="1"/>
      <c r="B84" s="56" t="s">
        <v>118</v>
      </c>
      <c r="C84" s="34" t="s">
        <v>38</v>
      </c>
      <c r="D84" s="34" t="s">
        <v>38</v>
      </c>
      <c r="E84" s="34" t="s">
        <v>38</v>
      </c>
      <c r="F84" s="34" t="s">
        <v>38</v>
      </c>
      <c r="G84" s="34" t="s">
        <v>38</v>
      </c>
      <c r="H84" s="32" t="s">
        <v>38</v>
      </c>
      <c r="I84" s="1"/>
      <c r="J84" s="1"/>
      <c r="K84" s="1"/>
      <c r="L84" s="1"/>
    </row>
    <row r="85" ht="15" customHeight="1">
      <c r="A85" s="1"/>
      <c r="B85" s="17" t="s">
        <v>130</v>
      </c>
      <c r="C85" s="33">
        <v>31</v>
      </c>
      <c r="D85" s="22">
        <f>E85-Inputs!D178</f>
        <v>36</v>
      </c>
      <c r="E85" s="33">
        <v>120</v>
      </c>
      <c r="F85" s="33">
        <v>33</v>
      </c>
      <c r="G85" s="33">
        <v>43</v>
      </c>
      <c r="H85" s="48">
        <f>H65*H99</f>
        <v>40.66064708529956</v>
      </c>
      <c r="I85" s="1"/>
      <c r="J85" s="1" t="s">
        <v>188</v>
      </c>
      <c r="K85" s="1"/>
      <c r="L85" s="1"/>
    </row>
    <row r="86" ht="15" customHeight="1">
      <c r="A86" s="1"/>
      <c r="B86" s="50" t="s">
        <v>111</v>
      </c>
      <c r="C86" s="42">
        <f>C85/Inputs!C57-1</f>
        <v>0.1071428571428572</v>
      </c>
      <c r="D86" s="42">
        <f>D85/Inputs!E57-1</f>
        <v>0.3846153846153846</v>
      </c>
      <c r="E86" s="42">
        <f>E85/Inputs!F57-1</f>
        <v>0.31868131868131866</v>
      </c>
      <c r="F86" s="42">
        <f>F85/Inputs!G57-1</f>
        <v>0.375</v>
      </c>
      <c r="G86" s="42">
        <f>G85/Inputs!H57-1</f>
        <v>0.48275862068965525</v>
      </c>
      <c r="H86" s="49">
        <f t="shared" si="3"/>
        <v>0.31163377694514716</v>
      </c>
      <c r="I86" s="1"/>
      <c r="J86" s="1"/>
      <c r="K86" s="1"/>
      <c r="L86" s="1"/>
    </row>
    <row r="87" ht="15" customHeight="1">
      <c r="A87" s="1"/>
      <c r="B87" s="56" t="s">
        <v>144</v>
      </c>
      <c r="C87" s="22">
        <f>C85-Inputs!H57</f>
        <v>2</v>
      </c>
      <c r="D87" s="23">
        <f t="shared" si="1"/>
        <v>5</v>
      </c>
      <c r="E87" s="23"/>
      <c r="F87" s="23">
        <f t="shared" si="4"/>
        <v>-3</v>
      </c>
      <c r="G87" s="23">
        <f t="shared" si="1"/>
        <v>10</v>
      </c>
      <c r="H87" s="48">
        <f t="shared" si="1"/>
        <v>-2.3393529147004415</v>
      </c>
      <c r="I87" s="1"/>
      <c r="J87" s="1"/>
      <c r="K87" s="1"/>
      <c r="L87" s="1"/>
    </row>
    <row r="88" ht="15" customHeight="1">
      <c r="A88" s="1"/>
      <c r="B88" s="50" t="s">
        <v>119</v>
      </c>
      <c r="C88" s="24">
        <f t="shared" si="21"/>
        <v>0.1071428571428572</v>
      </c>
      <c r="D88" s="24">
        <f t="shared" si="21"/>
        <v>0.3846153846153846</v>
      </c>
      <c r="E88" s="24">
        <f t="shared" si="21"/>
        <v>0.31868131868131866</v>
      </c>
      <c r="F88" s="24">
        <f t="shared" si="21"/>
        <v>0.375</v>
      </c>
      <c r="G88" s="24">
        <f t="shared" si="21"/>
        <v>0.48275862068965525</v>
      </c>
      <c r="H88" s="49">
        <f t="shared" si="21"/>
        <v>0.31163377694514716</v>
      </c>
      <c r="I88" s="1"/>
      <c r="J88" s="1" t="s">
        <v>191</v>
      </c>
      <c r="K88" s="1"/>
      <c r="L88" s="1"/>
    </row>
    <row r="89" ht="15" customHeight="1">
      <c r="A89" s="1"/>
      <c r="B89" s="50" t="s">
        <v>117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57">
        <v>0</v>
      </c>
      <c r="I89" s="1"/>
      <c r="J89" s="1" t="s">
        <v>184</v>
      </c>
      <c r="K89" s="1"/>
      <c r="L89" s="1"/>
    </row>
    <row r="90" ht="15" customHeight="1">
      <c r="A90" s="1"/>
      <c r="B90" s="56" t="s">
        <v>118</v>
      </c>
      <c r="C90" s="34" t="s">
        <v>38</v>
      </c>
      <c r="D90" s="34" t="s">
        <v>38</v>
      </c>
      <c r="E90" s="34" t="s">
        <v>38</v>
      </c>
      <c r="F90" s="34" t="s">
        <v>38</v>
      </c>
      <c r="G90" s="34" t="s">
        <v>38</v>
      </c>
      <c r="H90" s="32" t="s">
        <v>38</v>
      </c>
      <c r="I90" s="1"/>
      <c r="J90" s="1"/>
      <c r="K90" s="1"/>
      <c r="L90" s="1"/>
    </row>
    <row r="91" ht="15" customHeight="1">
      <c r="A91" s="1"/>
      <c r="B91" s="4" t="s">
        <v>192</v>
      </c>
      <c r="C91" s="46">
        <f t="shared" si="23" ref="C91:H91">C73+C79+C85</f>
        <v>2754</v>
      </c>
      <c r="D91" s="46">
        <f t="shared" si="23"/>
        <v>3030</v>
      </c>
      <c r="E91" s="46">
        <f t="shared" si="23"/>
        <v>11072</v>
      </c>
      <c r="F91" s="46">
        <f t="shared" si="23"/>
        <v>2476</v>
      </c>
      <c r="G91" s="46">
        <f t="shared" si="23"/>
        <v>2786</v>
      </c>
      <c r="H91" s="47">
        <f t="shared" si="23"/>
        <v>2827.360799999999</v>
      </c>
      <c r="I91" s="1"/>
      <c r="J91" s="1"/>
      <c r="K91" s="1"/>
      <c r="L91" s="1"/>
    </row>
    <row r="92" ht="15" customHeight="1">
      <c r="A92" s="1"/>
      <c r="B92" s="17" t="s">
        <v>193</v>
      </c>
      <c r="C92" s="23">
        <f t="shared" si="24" ref="C92:H92">C91-C65</f>
        <v>0</v>
      </c>
      <c r="D92" s="23">
        <f t="shared" si="24"/>
        <v>0</v>
      </c>
      <c r="E92" s="23">
        <f t="shared" si="24"/>
        <v>0</v>
      </c>
      <c r="F92" s="23">
        <f t="shared" si="24"/>
        <v>0</v>
      </c>
      <c r="G92" s="23">
        <f t="shared" si="24"/>
        <v>0</v>
      </c>
      <c r="H92" s="48">
        <f t="shared" si="24"/>
        <v>0</v>
      </c>
      <c r="I92" s="1"/>
      <c r="J92" s="1"/>
      <c r="K92" s="1"/>
      <c r="L92" s="1"/>
    </row>
    <row r="93" ht="15" customHeight="1">
      <c r="A93" s="1"/>
      <c r="B93" s="35" t="s">
        <v>194</v>
      </c>
      <c r="C93" s="24">
        <f t="shared" si="25" ref="C93:G93">C73/C65</f>
        <v>0.7864923747276689</v>
      </c>
      <c r="D93" s="24">
        <f t="shared" si="25"/>
        <v>0.7940594059405941</v>
      </c>
      <c r="E93" s="24">
        <f t="shared" si="25"/>
        <v>0.7972362716763006</v>
      </c>
      <c r="F93" s="24">
        <f t="shared" si="25"/>
        <v>0.7992730210016155</v>
      </c>
      <c r="G93" s="24">
        <f t="shared" si="25"/>
        <v>0.782483847810481</v>
      </c>
      <c r="H93" s="49">
        <f>1-H96-H99</f>
        <v>0.7908784344060482</v>
      </c>
      <c r="I93" s="1"/>
      <c r="J93" s="1"/>
      <c r="K93" s="1"/>
      <c r="L93" s="1"/>
    </row>
    <row r="94" ht="15" customHeight="1">
      <c r="A94" s="1"/>
      <c r="B94" s="50" t="s">
        <v>114</v>
      </c>
      <c r="C94" s="52">
        <f>(C93-(Inputs!C55/(Inputs!C51-Inputs!C53)))*10000</f>
        <v>-349.3619670090253</v>
      </c>
      <c r="D94" s="52">
        <f>(D93-(Inputs!E55/(Inputs!E51-Inputs!E53)))*10000</f>
        <v>-187.95707695769548</v>
      </c>
      <c r="E94" s="52">
        <f>(E93-(Inputs!F55/(Inputs!F51-Inputs!F53)))*10000</f>
        <v>-168.90122375743942</v>
      </c>
      <c r="F94" s="52">
        <f>(F93-(Inputs!G55/(Inputs!G51-Inputs!G53)))*10000</f>
        <v>11.338624255636809</v>
      </c>
      <c r="G94" s="52">
        <f>(G93-(Inputs!H55/(Inputs!H51-Inputs!H53)))*10000</f>
        <v>-278.8547037133726</v>
      </c>
      <c r="H94" s="53">
        <f t="shared" si="20"/>
        <v>43.860596783793504</v>
      </c>
      <c r="I94" s="1"/>
      <c r="J94" s="1"/>
      <c r="K94" s="1"/>
      <c r="L94" s="1"/>
    </row>
    <row r="95" ht="15" customHeight="1">
      <c r="A95" s="1"/>
      <c r="B95" s="50" t="s">
        <v>115</v>
      </c>
      <c r="C95" s="52">
        <f>(C93-(Inputs!H55/(Inputs!H51-Inputs!H53)))*10000</f>
        <v>-238.7694345414937</v>
      </c>
      <c r="D95" s="54">
        <f t="shared" si="12"/>
        <v>75.67031212925235</v>
      </c>
      <c r="E95" s="54"/>
      <c r="F95" s="54">
        <f t="shared" si="14"/>
        <v>52.13615061021359</v>
      </c>
      <c r="G95" s="54">
        <f t="shared" si="12"/>
        <v>-167.8917319113449</v>
      </c>
      <c r="H95" s="53">
        <f t="shared" si="12"/>
        <v>83.94586595567245</v>
      </c>
      <c r="I95" s="1"/>
      <c r="J95" s="1"/>
      <c r="K95" s="1"/>
      <c r="L95" s="1"/>
    </row>
    <row r="96" ht="15" customHeight="1">
      <c r="A96" s="1"/>
      <c r="B96" s="35" t="s">
        <v>195</v>
      </c>
      <c r="C96" s="24">
        <f t="shared" si="26" ref="C96:G96">C79/C65</f>
        <v>0.20225127087872186</v>
      </c>
      <c r="D96" s="24">
        <f t="shared" si="26"/>
        <v>0.19405940594059407</v>
      </c>
      <c r="E96" s="24">
        <f t="shared" si="26"/>
        <v>0.19192557803468208</v>
      </c>
      <c r="F96" s="24">
        <f t="shared" si="26"/>
        <v>0.18739903069466882</v>
      </c>
      <c r="G96" s="24">
        <f t="shared" si="26"/>
        <v>0.20208183776022973</v>
      </c>
      <c r="H96" s="49">
        <f t="shared" si="28" ref="H96:H161">AVERAGE(F96,G96)</f>
        <v>0.19474043422744927</v>
      </c>
      <c r="I96" s="1"/>
      <c r="J96" s="1"/>
      <c r="K96" s="1"/>
      <c r="L96" s="1"/>
    </row>
    <row r="97" ht="15" customHeight="1">
      <c r="A97" s="1"/>
      <c r="B97" s="50" t="s">
        <v>114</v>
      </c>
      <c r="C97" s="52">
        <f>(C96-(Inputs!C56/(Inputs!C51-Inputs!C53)))*10000</f>
        <v>346.68853296304286</v>
      </c>
      <c r="D97" s="52">
        <f>(D96-(Inputs!E56/(Inputs!E51-Inputs!E53)))*10000</f>
        <v>161.47474122412243</v>
      </c>
      <c r="E97" s="52">
        <f>(E96-(Inputs!F56/(Inputs!F51-Inputs!F53)))*10000</f>
        <v>149.5433952949718</v>
      </c>
      <c r="F97" s="52">
        <f>(F96-(Inputs!G56/(Inputs!G51-Inputs!G53)))*10000</f>
        <v>-47.53072865201741</v>
      </c>
      <c r="G97" s="52">
        <f>(G96-(Inputs!H56/(Inputs!H51-Inputs!H53)))*10000</f>
        <v>227.49451396593372</v>
      </c>
      <c r="H97" s="53">
        <f t="shared" si="20"/>
        <v>-75.10836651272584</v>
      </c>
      <c r="I97" s="1"/>
      <c r="J97" s="1"/>
      <c r="K97" s="1"/>
      <c r="L97" s="1"/>
    </row>
    <row r="98" ht="15" customHeight="1">
      <c r="A98" s="1"/>
      <c r="B98" s="50" t="s">
        <v>115</v>
      </c>
      <c r="C98" s="52">
        <f>(C96-(Inputs!H56/(Inputs!H51-Inputs!H53)))*10000</f>
        <v>229.18884515085503</v>
      </c>
      <c r="D98" s="54">
        <f t="shared" si="12"/>
        <v>-81.9186493812779</v>
      </c>
      <c r="E98" s="54"/>
      <c r="F98" s="54">
        <f t="shared" si="14"/>
        <v>-66.60375245925249</v>
      </c>
      <c r="G98" s="54">
        <f t="shared" si="12"/>
        <v>146.8280706556091</v>
      </c>
      <c r="H98" s="53">
        <f t="shared" si="12"/>
        <v>-73.41403532780456</v>
      </c>
      <c r="I98" s="1"/>
      <c r="J98" s="1"/>
      <c r="K98" s="1"/>
      <c r="L98" s="1"/>
    </row>
    <row r="99" ht="15" customHeight="1">
      <c r="A99" s="1"/>
      <c r="B99" s="35" t="s">
        <v>196</v>
      </c>
      <c r="C99" s="24">
        <f t="shared" si="27" ref="C99:G99">C85/C65</f>
        <v>0.011256354393609296</v>
      </c>
      <c r="D99" s="24">
        <f t="shared" si="27"/>
        <v>0.011881188118811881</v>
      </c>
      <c r="E99" s="24">
        <f t="shared" si="27"/>
        <v>0.01083815028901734</v>
      </c>
      <c r="F99" s="24">
        <f t="shared" si="27"/>
        <v>0.01332794830371567</v>
      </c>
      <c r="G99" s="24">
        <f t="shared" si="27"/>
        <v>0.015434314429289303</v>
      </c>
      <c r="H99" s="49">
        <f t="shared" si="28"/>
        <v>0.014381131366502486</v>
      </c>
      <c r="I99" s="1"/>
      <c r="J99" s="1"/>
      <c r="K99" s="1"/>
      <c r="L99" s="1"/>
    </row>
    <row r="100" ht="15" customHeight="1">
      <c r="A100" s="1"/>
      <c r="B100" s="50" t="s">
        <v>114</v>
      </c>
      <c r="C100" s="52">
        <f>(C99-(Inputs!C57/(Inputs!C51-Inputs!C53)))*10000</f>
        <v>2.67343404598306</v>
      </c>
      <c r="D100" s="52">
        <f>(D99-(Inputs!E57/(Inputs!E51-Inputs!E53)))*10000</f>
        <v>26.482335733573354</v>
      </c>
      <c r="E100" s="52">
        <f>(E99-(Inputs!F57/(Inputs!F51-Inputs!F53)))*10000</f>
        <v>19.357828462468458</v>
      </c>
      <c r="F100" s="52">
        <f>(F99-(Inputs!G57/(Inputs!G51-Inputs!G53)))*10000</f>
        <v>36.19210439638001</v>
      </c>
      <c r="G100" s="52">
        <f>(G99-(Inputs!H57/(Inputs!H51-Inputs!H53)))*10000</f>
        <v>51.36018974743849</v>
      </c>
      <c r="H100" s="53">
        <f t="shared" si="20"/>
        <v>31.247769728931907</v>
      </c>
      <c r="I100" s="1"/>
      <c r="J100" s="1"/>
      <c r="K100" s="1"/>
      <c r="L100" s="1"/>
    </row>
    <row r="101" ht="15" customHeight="1">
      <c r="A101" s="1"/>
      <c r="B101" s="50" t="s">
        <v>115</v>
      </c>
      <c r="C101" s="52">
        <f>(C99-(Inputs!H57/(Inputs!H51-Inputs!H53)))*10000</f>
        <v>9.580589390638417</v>
      </c>
      <c r="D101" s="54">
        <f t="shared" si="12"/>
        <v>6.248337252025855</v>
      </c>
      <c r="E101" s="54"/>
      <c r="F101" s="54">
        <f t="shared" si="14"/>
        <v>14.467601849037885</v>
      </c>
      <c r="G101" s="54">
        <f t="shared" si="12"/>
        <v>21.06366125573633</v>
      </c>
      <c r="H101" s="53">
        <f t="shared" si="12"/>
        <v>-10.531830627868166</v>
      </c>
      <c r="I101" s="1"/>
      <c r="J101" s="1"/>
      <c r="K101" s="1"/>
      <c r="L101" s="1"/>
    </row>
    <row r="102" ht="15" customHeight="1">
      <c r="A102" s="1"/>
      <c r="B102" s="1"/>
      <c r="C102" s="1"/>
      <c r="D102" s="1"/>
      <c r="E102" s="1"/>
      <c r="F102" s="1"/>
      <c r="G102" s="1"/>
      <c r="H102" s="45"/>
      <c r="I102" s="1"/>
      <c r="J102" s="1"/>
      <c r="K102" s="1"/>
      <c r="L102" s="1"/>
    </row>
    <row r="103" ht="15" customHeight="1">
      <c r="A103" s="1"/>
      <c r="B103" s="4" t="s">
        <v>197</v>
      </c>
      <c r="C103" s="34"/>
      <c r="D103" s="34"/>
      <c r="E103" s="34"/>
      <c r="F103" s="34"/>
      <c r="G103" s="34"/>
      <c r="H103" s="32"/>
      <c r="I103" s="1"/>
      <c r="J103" s="1"/>
      <c r="K103" s="1"/>
      <c r="L103" s="1"/>
    </row>
    <row r="104" ht="15" customHeight="1">
      <c r="A104" s="1"/>
      <c r="B104" s="17" t="s">
        <v>135</v>
      </c>
      <c r="C104" s="33">
        <v>1219</v>
      </c>
      <c r="D104" s="22">
        <f>E104-Inputs!D179</f>
        <v>1224</v>
      </c>
      <c r="E104" s="33">
        <v>5012</v>
      </c>
      <c r="F104" s="33">
        <v>1181</v>
      </c>
      <c r="G104" s="33">
        <v>1075</v>
      </c>
      <c r="H104" s="48">
        <f>H65*H118</f>
        <v>1219.7755561308734</v>
      </c>
      <c r="I104" s="1"/>
      <c r="J104" s="1" t="s">
        <v>198</v>
      </c>
      <c r="K104" s="1"/>
      <c r="L104" s="1"/>
    </row>
    <row r="105" ht="15" customHeight="1">
      <c r="A105" s="1"/>
      <c r="B105" s="50" t="s">
        <v>111</v>
      </c>
      <c r="C105" s="42">
        <f>C104/Inputs!C58-1</f>
        <v>0.002467105263157965</v>
      </c>
      <c r="D105" s="42">
        <f>D104/Inputs!E58-1</f>
        <v>0.020850708924103456</v>
      </c>
      <c r="E105" s="42">
        <f>E104/Inputs!F58-1</f>
        <v>0.09217694486816308</v>
      </c>
      <c r="F105" s="42">
        <f>F104/Inputs!G58-1</f>
        <v>0.015477214101461634</v>
      </c>
      <c r="G105" s="42">
        <f>G104/Inputs!H58-1</f>
        <v>-0.23541963015647227</v>
      </c>
      <c r="H105" s="49">
        <f t="shared" si="3"/>
        <v>0.0006362232410774826</v>
      </c>
      <c r="I105" s="1"/>
      <c r="J105" s="1"/>
      <c r="K105" s="1"/>
      <c r="L105" s="1"/>
    </row>
    <row r="106" ht="15" customHeight="1">
      <c r="A106" s="1"/>
      <c r="B106" s="56" t="s">
        <v>144</v>
      </c>
      <c r="C106" s="22">
        <f>C104-Inputs!H58</f>
        <v>-187</v>
      </c>
      <c r="D106" s="23">
        <f t="shared" si="1"/>
        <v>5</v>
      </c>
      <c r="E106" s="23"/>
      <c r="F106" s="23">
        <f t="shared" si="4"/>
        <v>-43</v>
      </c>
      <c r="G106" s="23">
        <f t="shared" si="1"/>
        <v>-106</v>
      </c>
      <c r="H106" s="48">
        <f t="shared" si="1"/>
        <v>144.77555613087338</v>
      </c>
      <c r="I106" s="1"/>
      <c r="J106" s="1"/>
      <c r="K106" s="1"/>
      <c r="L106" s="1"/>
    </row>
    <row r="107" ht="15" customHeight="1">
      <c r="A107" s="1"/>
      <c r="B107" s="50" t="s">
        <v>119</v>
      </c>
      <c r="C107" s="24">
        <f t="shared" si="21"/>
        <v>0.002467105263157965</v>
      </c>
      <c r="D107" s="24">
        <f t="shared" si="21"/>
        <v>0.020850708924103456</v>
      </c>
      <c r="E107" s="24">
        <f t="shared" si="21"/>
        <v>0.09217694486816308</v>
      </c>
      <c r="F107" s="24">
        <f t="shared" si="21"/>
        <v>0.015477214101461634</v>
      </c>
      <c r="G107" s="24">
        <f t="shared" si="21"/>
        <v>-0.23541963015647227</v>
      </c>
      <c r="H107" s="49">
        <f t="shared" si="21"/>
        <v>0.0006362232410774826</v>
      </c>
      <c r="I107" s="1"/>
      <c r="J107" s="1" t="s">
        <v>199</v>
      </c>
      <c r="K107" s="1"/>
      <c r="L107" s="1"/>
    </row>
    <row r="108" ht="15" customHeight="1">
      <c r="A108" s="1"/>
      <c r="B108" s="50" t="s">
        <v>117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57">
        <v>0</v>
      </c>
      <c r="I108" s="1"/>
      <c r="J108" s="1" t="s">
        <v>184</v>
      </c>
      <c r="K108" s="1"/>
      <c r="L108" s="1"/>
    </row>
    <row r="109" ht="15" customHeight="1">
      <c r="A109" s="1"/>
      <c r="B109" s="56" t="s">
        <v>118</v>
      </c>
      <c r="C109" s="34" t="s">
        <v>38</v>
      </c>
      <c r="D109" s="34" t="s">
        <v>38</v>
      </c>
      <c r="E109" s="34" t="s">
        <v>38</v>
      </c>
      <c r="F109" s="34" t="s">
        <v>38</v>
      </c>
      <c r="G109" s="34" t="s">
        <v>38</v>
      </c>
      <c r="H109" s="32" t="s">
        <v>38</v>
      </c>
      <c r="I109" s="1"/>
      <c r="J109" s="1"/>
      <c r="K109" s="1"/>
      <c r="L109" s="1"/>
    </row>
    <row r="110" ht="15" customHeight="1">
      <c r="A110" s="1"/>
      <c r="B110" s="17" t="s">
        <v>138</v>
      </c>
      <c r="C110" s="33">
        <v>1535</v>
      </c>
      <c r="D110" s="22">
        <f>E110-Inputs!D180</f>
        <v>1806</v>
      </c>
      <c r="E110" s="33">
        <v>6060</v>
      </c>
      <c r="F110" s="33">
        <v>1295</v>
      </c>
      <c r="G110" s="33">
        <v>1711</v>
      </c>
      <c r="H110" s="48">
        <f>H65*H121</f>
        <v>1607.585243869126</v>
      </c>
      <c r="I110" s="1"/>
      <c r="J110" s="1" t="s">
        <v>198</v>
      </c>
      <c r="K110" s="1"/>
      <c r="L110" s="1"/>
    </row>
    <row r="111" ht="15" customHeight="1">
      <c r="A111" s="1"/>
      <c r="B111" s="50" t="s">
        <v>111</v>
      </c>
      <c r="C111" s="42">
        <f>C110/Inputs!C59-1</f>
        <v>0.15240240240240244</v>
      </c>
      <c r="D111" s="42">
        <f>D110/Inputs!E59-1</f>
        <v>0.11688311688311681</v>
      </c>
      <c r="E111" s="42">
        <f>E110/Inputs!F59-1</f>
        <v>0.07580330197053087</v>
      </c>
      <c r="F111" s="42">
        <f>F110/Inputs!G59-1</f>
        <v>-0.010695187165775444</v>
      </c>
      <c r="G111" s="42">
        <f>G110/Inputs!H59-1</f>
        <v>0.21347517730496457</v>
      </c>
      <c r="H111" s="49">
        <f t="shared" si="3"/>
        <v>0.047286803823535006</v>
      </c>
      <c r="I111" s="1"/>
      <c r="J111" s="1"/>
      <c r="K111" s="1"/>
      <c r="L111" s="1"/>
    </row>
    <row r="112" ht="15" customHeight="1">
      <c r="A112" s="1"/>
      <c r="B112" s="56" t="s">
        <v>144</v>
      </c>
      <c r="C112" s="22">
        <f>C110-Inputs!H59</f>
        <v>125</v>
      </c>
      <c r="D112" s="23">
        <f t="shared" si="1"/>
        <v>271</v>
      </c>
      <c r="E112" s="23"/>
      <c r="F112" s="23">
        <f t="shared" si="4"/>
        <v>-511</v>
      </c>
      <c r="G112" s="23">
        <f t="shared" si="1"/>
        <v>416</v>
      </c>
      <c r="H112" s="48">
        <f t="shared" si="1"/>
        <v>-103.41475613087391</v>
      </c>
      <c r="I112" s="1"/>
      <c r="J112" s="1"/>
      <c r="K112" s="1"/>
      <c r="L112" s="1"/>
    </row>
    <row r="113" ht="15" customHeight="1">
      <c r="A113" s="1"/>
      <c r="B113" s="50" t="s">
        <v>119</v>
      </c>
      <c r="C113" s="24">
        <f t="shared" si="21"/>
        <v>0.15240240240240244</v>
      </c>
      <c r="D113" s="24">
        <f t="shared" si="21"/>
        <v>0.11688311688311681</v>
      </c>
      <c r="E113" s="24">
        <f t="shared" si="21"/>
        <v>0.07580330197053087</v>
      </c>
      <c r="F113" s="24">
        <f t="shared" si="21"/>
        <v>-0.010695187165775444</v>
      </c>
      <c r="G113" s="24">
        <f t="shared" si="21"/>
        <v>0.21347517730496457</v>
      </c>
      <c r="H113" s="49">
        <f t="shared" si="21"/>
        <v>0.047286803823535006</v>
      </c>
      <c r="I113" s="1"/>
      <c r="J113" s="1" t="s">
        <v>200</v>
      </c>
      <c r="K113" s="1"/>
      <c r="L113" s="1"/>
    </row>
    <row r="114" ht="15" customHeight="1">
      <c r="A114" s="1"/>
      <c r="B114" s="50" t="s">
        <v>117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57">
        <v>0</v>
      </c>
      <c r="I114" s="1"/>
      <c r="J114" s="1" t="s">
        <v>184</v>
      </c>
      <c r="K114" s="1"/>
      <c r="L114" s="1"/>
    </row>
    <row r="115" ht="15" customHeight="1">
      <c r="A115" s="1"/>
      <c r="B115" s="56" t="s">
        <v>118</v>
      </c>
      <c r="C115" s="34" t="s">
        <v>38</v>
      </c>
      <c r="D115" s="34" t="s">
        <v>38</v>
      </c>
      <c r="E115" s="34" t="s">
        <v>38</v>
      </c>
      <c r="F115" s="34" t="s">
        <v>38</v>
      </c>
      <c r="G115" s="34" t="s">
        <v>38</v>
      </c>
      <c r="H115" s="32" t="s">
        <v>38</v>
      </c>
      <c r="I115" s="1"/>
      <c r="J115" s="1"/>
      <c r="K115" s="1"/>
      <c r="L115" s="1"/>
    </row>
    <row r="116" ht="15" customHeight="1">
      <c r="A116" s="1"/>
      <c r="B116" s="4" t="s">
        <v>192</v>
      </c>
      <c r="C116" s="46">
        <f t="shared" si="29" ref="C116:H116">C104+C110</f>
        <v>2754</v>
      </c>
      <c r="D116" s="46">
        <f t="shared" si="29"/>
        <v>3030</v>
      </c>
      <c r="E116" s="46">
        <f t="shared" si="29"/>
        <v>11072</v>
      </c>
      <c r="F116" s="46">
        <f t="shared" si="29"/>
        <v>2476</v>
      </c>
      <c r="G116" s="46">
        <f t="shared" si="29"/>
        <v>2786</v>
      </c>
      <c r="H116" s="47">
        <f t="shared" si="29"/>
        <v>2827.3607999999995</v>
      </c>
      <c r="I116" s="1"/>
      <c r="J116" s="1"/>
      <c r="K116" s="1"/>
      <c r="L116" s="1"/>
    </row>
    <row r="117" ht="15" customHeight="1">
      <c r="A117" s="1"/>
      <c r="B117" s="17" t="s">
        <v>193</v>
      </c>
      <c r="C117" s="23">
        <f t="shared" si="30" ref="C117:H117">C116-C65</f>
        <v>0</v>
      </c>
      <c r="D117" s="23">
        <f t="shared" si="30"/>
        <v>0</v>
      </c>
      <c r="E117" s="23">
        <f t="shared" si="30"/>
        <v>0</v>
      </c>
      <c r="F117" s="23">
        <f t="shared" si="30"/>
        <v>0</v>
      </c>
      <c r="G117" s="23">
        <f t="shared" si="30"/>
        <v>0</v>
      </c>
      <c r="H117" s="48">
        <f t="shared" si="30"/>
        <v>0</v>
      </c>
      <c r="I117" s="1"/>
      <c r="J117" s="1"/>
      <c r="K117" s="1"/>
      <c r="L117" s="1"/>
    </row>
    <row r="118" ht="15" customHeight="1">
      <c r="A118" s="1"/>
      <c r="B118" s="35" t="s">
        <v>201</v>
      </c>
      <c r="C118" s="24">
        <f t="shared" si="31" ref="C118:G118">C104/C65</f>
        <v>0.44262890341321715</v>
      </c>
      <c r="D118" s="24">
        <f t="shared" si="31"/>
        <v>0.403960396039604</v>
      </c>
      <c r="E118" s="24">
        <f t="shared" si="31"/>
        <v>0.4526734104046243</v>
      </c>
      <c r="F118" s="24">
        <f t="shared" si="31"/>
        <v>0.4769789983844911</v>
      </c>
      <c r="G118" s="24">
        <f t="shared" si="31"/>
        <v>0.3858578607322326</v>
      </c>
      <c r="H118" s="49">
        <f t="shared" si="28"/>
        <v>0.43141842955836185</v>
      </c>
      <c r="I118" s="1"/>
      <c r="J118" s="1"/>
      <c r="K118" s="1"/>
      <c r="L118" s="1"/>
    </row>
    <row r="119" ht="15" customHeight="1">
      <c r="A119" s="1"/>
      <c r="B119" s="50" t="s">
        <v>114</v>
      </c>
      <c r="C119" s="52">
        <f>(C118-(Inputs!C58/(Inputs!C51-Inputs!C53)))*10000</f>
        <v>-346.08145252402966</v>
      </c>
      <c r="D119" s="52">
        <f>(D118-(Inputs!E58/(Inputs!E51-Inputs!E53)))*10000</f>
        <v>-218.20853960396013</v>
      </c>
      <c r="E119" s="52">
        <f>(E118-(Inputs!F58/(Inputs!F51-Inputs!F53)))*10000</f>
        <v>37.39737933483589</v>
      </c>
      <c r="F119" s="52">
        <f>(F118-(Inputs!G58/(Inputs!G51-Inputs!G53)))*10000</f>
        <v>65.09742721060697</v>
      </c>
      <c r="G119" s="52">
        <f>(G118-(Inputs!H58/(Inputs!H51-Inputs!H53)))*10000</f>
        <v>-1134.319119950401</v>
      </c>
      <c r="H119" s="53">
        <f t="shared" si="20"/>
        <v>-112.10473854855296</v>
      </c>
      <c r="I119" s="1"/>
      <c r="J119" s="1"/>
      <c r="K119" s="1"/>
      <c r="L119" s="1"/>
    </row>
    <row r="120" ht="15" customHeight="1">
      <c r="A120" s="1"/>
      <c r="B120" s="50" t="s">
        <v>115</v>
      </c>
      <c r="C120" s="52">
        <f>(C118-(Inputs!H58/(Inputs!H51-Inputs!H53)))*10000</f>
        <v>-566.6086931405556</v>
      </c>
      <c r="D120" s="54">
        <f t="shared" si="12"/>
        <v>-386.6850737361316</v>
      </c>
      <c r="E120" s="54"/>
      <c r="F120" s="54">
        <f t="shared" si="14"/>
        <v>730.1860234488711</v>
      </c>
      <c r="G120" s="54">
        <f t="shared" si="12"/>
        <v>-911.2113765225848</v>
      </c>
      <c r="H120" s="53">
        <f t="shared" si="12"/>
        <v>455.6056882612924</v>
      </c>
      <c r="I120" s="1"/>
      <c r="J120" s="1"/>
      <c r="K120" s="1"/>
      <c r="L120" s="1"/>
    </row>
    <row r="121" ht="15" customHeight="1">
      <c r="A121" s="1"/>
      <c r="B121" s="35" t="s">
        <v>202</v>
      </c>
      <c r="C121" s="24">
        <f t="shared" si="32" ref="C121:G121">C110/C65</f>
        <v>0.5573710965867829</v>
      </c>
      <c r="D121" s="24">
        <f t="shared" si="32"/>
        <v>0.596039603960396</v>
      </c>
      <c r="E121" s="24">
        <f t="shared" si="32"/>
        <v>0.5473265895953757</v>
      </c>
      <c r="F121" s="24">
        <f t="shared" si="32"/>
        <v>0.5230210016155089</v>
      </c>
      <c r="G121" s="24">
        <f t="shared" si="32"/>
        <v>0.6141421392677674</v>
      </c>
      <c r="H121" s="49">
        <f>1-H118</f>
        <v>0.5685815704416382</v>
      </c>
      <c r="I121" s="1"/>
      <c r="J121" s="1"/>
      <c r="K121" s="1"/>
      <c r="L121" s="1"/>
    </row>
    <row r="122" ht="15" customHeight="1">
      <c r="A122" s="1"/>
      <c r="B122" s="50" t="s">
        <v>114</v>
      </c>
      <c r="C122" s="52">
        <f>(C121-(Inputs!C59/(Inputs!C51-Inputs!C53)))*10000</f>
        <v>346.08145252402966</v>
      </c>
      <c r="D122" s="52">
        <f>(D121-(Inputs!E59/(Inputs!E51-Inputs!E53)))*10000</f>
        <v>218.20853960396013</v>
      </c>
      <c r="E122" s="52">
        <f>(E121-(Inputs!F59/(Inputs!F51-Inputs!F53)))*10000</f>
        <v>-37.39737933483589</v>
      </c>
      <c r="F122" s="52">
        <f>(F121-(Inputs!G59/(Inputs!G51-Inputs!G53)))*10000</f>
        <v>-65.09742721060641</v>
      </c>
      <c r="G122" s="52">
        <f>(G121-(Inputs!H59/(Inputs!H51-Inputs!H53)))*10000</f>
        <v>1134.319119950401</v>
      </c>
      <c r="H122" s="53">
        <f t="shared" si="20"/>
        <v>112.10473854855296</v>
      </c>
      <c r="I122" s="1"/>
      <c r="J122" s="1"/>
      <c r="K122" s="1"/>
      <c r="L122" s="1"/>
    </row>
    <row r="123" ht="15" customHeight="1">
      <c r="A123" s="1"/>
      <c r="B123" s="50" t="s">
        <v>115</v>
      </c>
      <c r="C123" s="52">
        <f>(C121-(Inputs!H59/(Inputs!H51-Inputs!H53)))*10000</f>
        <v>566.6086931405556</v>
      </c>
      <c r="D123" s="54">
        <f t="shared" si="12"/>
        <v>386.6850737361316</v>
      </c>
      <c r="E123" s="54"/>
      <c r="F123" s="54">
        <f t="shared" si="14"/>
        <v>-730.1860234488711</v>
      </c>
      <c r="G123" s="54">
        <f t="shared" si="12"/>
        <v>911.2113765225848</v>
      </c>
      <c r="H123" s="53">
        <f t="shared" si="12"/>
        <v>-455.6056882612924</v>
      </c>
      <c r="I123" s="1"/>
      <c r="J123" s="1"/>
      <c r="K123" s="1"/>
      <c r="L123" s="1"/>
    </row>
    <row r="124" ht="15" customHeight="1">
      <c r="A124" s="1"/>
      <c r="B124" s="1"/>
      <c r="C124" s="1"/>
      <c r="D124" s="1"/>
      <c r="E124" s="1"/>
      <c r="F124" s="1"/>
      <c r="G124" s="1"/>
      <c r="H124" s="45"/>
      <c r="I124" s="1"/>
      <c r="J124" s="1"/>
      <c r="K124" s="1"/>
      <c r="L124" s="1"/>
    </row>
    <row r="125" ht="15" customHeight="1">
      <c r="A125" s="1"/>
      <c r="B125" s="4" t="s">
        <v>203</v>
      </c>
      <c r="C125" s="34"/>
      <c r="D125" s="34"/>
      <c r="E125" s="34"/>
      <c r="F125" s="34"/>
      <c r="G125" s="34"/>
      <c r="H125" s="32"/>
      <c r="I125" s="1"/>
      <c r="J125" s="1"/>
      <c r="K125" s="1"/>
      <c r="L125" s="1"/>
    </row>
    <row r="126" ht="15" customHeight="1">
      <c r="A126" s="1"/>
      <c r="B126" s="17" t="s">
        <v>204</v>
      </c>
      <c r="C126" s="33">
        <v>2197</v>
      </c>
      <c r="D126" s="22">
        <f>E126-Inputs!D181</f>
        <v>2442</v>
      </c>
      <c r="E126" s="33">
        <v>8947</v>
      </c>
      <c r="F126" s="33">
        <v>2012</v>
      </c>
      <c r="G126" s="33">
        <v>2223</v>
      </c>
      <c r="H126" s="48">
        <f>H65*H152</f>
        <v>2276.7593300903313</v>
      </c>
      <c r="I126" s="1"/>
      <c r="J126" s="1" t="s">
        <v>205</v>
      </c>
      <c r="K126" s="1"/>
      <c r="L126" s="1"/>
    </row>
    <row r="127" ht="15" customHeight="1">
      <c r="A127" s="1"/>
      <c r="B127" s="50" t="s">
        <v>111</v>
      </c>
      <c r="C127" s="42">
        <f>C126/Inputs!C60-1</f>
        <v>0.035832154644035885</v>
      </c>
      <c r="D127" s="42">
        <f>D126/Inputs!E60-1</f>
        <v>0.0548596112311015</v>
      </c>
      <c r="E127" s="42">
        <f>E126/Inputs!F60-1</f>
        <v>0.06347319624390835</v>
      </c>
      <c r="F127" s="42">
        <f>F126/Inputs!G60-1</f>
        <v>0.007511266900350533</v>
      </c>
      <c r="G127" s="42">
        <f>G126/Inputs!H60-1</f>
        <v>-0.038078753786239705</v>
      </c>
      <c r="H127" s="49">
        <f t="shared" si="3"/>
        <v>0.036303746058412134</v>
      </c>
      <c r="I127" s="1"/>
      <c r="J127" s="1"/>
      <c r="K127" s="1"/>
      <c r="L127" s="1"/>
    </row>
    <row r="128" ht="15" customHeight="1">
      <c r="A128" s="1"/>
      <c r="B128" s="56" t="s">
        <v>144</v>
      </c>
      <c r="C128" s="22">
        <f>C126-Inputs!H60</f>
        <v>-114</v>
      </c>
      <c r="D128" s="23">
        <f t="shared" si="1"/>
        <v>245</v>
      </c>
      <c r="E128" s="23"/>
      <c r="F128" s="23">
        <f t="shared" si="4"/>
        <v>-430</v>
      </c>
      <c r="G128" s="23">
        <f t="shared" si="1"/>
        <v>211</v>
      </c>
      <c r="H128" s="48">
        <f t="shared" si="1"/>
        <v>53.75933009033133</v>
      </c>
      <c r="I128" s="1"/>
      <c r="J128" s="1"/>
      <c r="K128" s="1"/>
      <c r="L128" s="1"/>
    </row>
    <row r="129" ht="15" customHeight="1">
      <c r="A129" s="1"/>
      <c r="B129" s="50" t="s">
        <v>119</v>
      </c>
      <c r="C129" s="24">
        <f t="shared" si="21"/>
        <v>0.035832154644035885</v>
      </c>
      <c r="D129" s="24">
        <f t="shared" si="21"/>
        <v>0.0548596112311015</v>
      </c>
      <c r="E129" s="24">
        <f t="shared" si="21"/>
        <v>0.06347319624390835</v>
      </c>
      <c r="F129" s="24">
        <f t="shared" si="21"/>
        <v>0.007511266900350533</v>
      </c>
      <c r="G129" s="24">
        <f t="shared" si="21"/>
        <v>-0.038078753786239705</v>
      </c>
      <c r="H129" s="49">
        <f t="shared" si="21"/>
        <v>0.036303746058412134</v>
      </c>
      <c r="I129" s="1"/>
      <c r="J129" s="1" t="s">
        <v>206</v>
      </c>
      <c r="K129" s="1"/>
      <c r="L129" s="1"/>
    </row>
    <row r="130" ht="15" customHeight="1">
      <c r="A130" s="1"/>
      <c r="B130" s="50" t="s">
        <v>117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57">
        <v>0</v>
      </c>
      <c r="I130" s="1"/>
      <c r="J130" s="1" t="s">
        <v>184</v>
      </c>
      <c r="K130" s="1"/>
      <c r="L130" s="1"/>
    </row>
    <row r="131" ht="15" customHeight="1">
      <c r="A131" s="1"/>
      <c r="B131" s="56" t="s">
        <v>118</v>
      </c>
      <c r="C131" s="34" t="s">
        <v>38</v>
      </c>
      <c r="D131" s="34" t="s">
        <v>38</v>
      </c>
      <c r="E131" s="34" t="s">
        <v>38</v>
      </c>
      <c r="F131" s="34" t="s">
        <v>38</v>
      </c>
      <c r="G131" s="34" t="s">
        <v>38</v>
      </c>
      <c r="H131" s="32" t="s">
        <v>38</v>
      </c>
      <c r="I131" s="1"/>
      <c r="J131" s="1"/>
      <c r="K131" s="1"/>
      <c r="L131" s="1"/>
    </row>
    <row r="132" ht="15" customHeight="1">
      <c r="A132" s="1"/>
      <c r="B132" s="17" t="s">
        <v>207</v>
      </c>
      <c r="C132" s="33">
        <v>147</v>
      </c>
      <c r="D132" s="22">
        <f>E132-Inputs!D182</f>
        <v>143</v>
      </c>
      <c r="E132" s="33">
        <v>550</v>
      </c>
      <c r="F132" s="33">
        <v>114</v>
      </c>
      <c r="G132" s="33">
        <v>148</v>
      </c>
      <c r="H132" s="48">
        <f>H65*H155</f>
        <v>140.18727740085146</v>
      </c>
      <c r="I132" s="1"/>
      <c r="J132" s="1" t="s">
        <v>205</v>
      </c>
      <c r="K132" s="1"/>
      <c r="L132" s="1"/>
    </row>
    <row r="133" ht="15" customHeight="1">
      <c r="A133" s="1"/>
      <c r="B133" s="50" t="s">
        <v>111</v>
      </c>
      <c r="C133" s="42">
        <f>C132/Inputs!C61-1</f>
        <v>0.5</v>
      </c>
      <c r="D133" s="42">
        <f>D132/Inputs!E61-1</f>
        <v>0.13492063492063489</v>
      </c>
      <c r="E133" s="42">
        <f>E132/Inputs!F61-1</f>
        <v>0.1652542372881356</v>
      </c>
      <c r="F133" s="42">
        <f>F132/Inputs!G61-1</f>
        <v>-0.109375</v>
      </c>
      <c r="G133" s="42">
        <f>G132/Inputs!H61-1</f>
        <v>0.1212121212121211</v>
      </c>
      <c r="H133" s="49">
        <f t="shared" si="3"/>
        <v>-0.046345051694888006</v>
      </c>
      <c r="I133" s="1"/>
      <c r="J133" s="1"/>
      <c r="K133" s="1"/>
      <c r="L133" s="1"/>
    </row>
    <row r="134" ht="15" customHeight="1">
      <c r="A134" s="1"/>
      <c r="B134" s="56" t="s">
        <v>144</v>
      </c>
      <c r="C134" s="22">
        <f>C132-Inputs!H61</f>
        <v>15</v>
      </c>
      <c r="D134" s="23">
        <f t="shared" si="1"/>
        <v>-4</v>
      </c>
      <c r="E134" s="23"/>
      <c r="F134" s="23">
        <f t="shared" si="4"/>
        <v>-29</v>
      </c>
      <c r="G134" s="23">
        <f t="shared" si="1"/>
        <v>34</v>
      </c>
      <c r="H134" s="48">
        <f t="shared" si="1"/>
        <v>-7.812722599148543</v>
      </c>
      <c r="I134" s="1"/>
      <c r="J134" s="1"/>
      <c r="K134" s="1"/>
      <c r="L134" s="1"/>
    </row>
    <row r="135" ht="15" customHeight="1">
      <c r="A135" s="1"/>
      <c r="B135" s="50" t="s">
        <v>119</v>
      </c>
      <c r="C135" s="24">
        <f t="shared" si="21"/>
        <v>0.5</v>
      </c>
      <c r="D135" s="24">
        <f t="shared" si="21"/>
        <v>0.13492063492063489</v>
      </c>
      <c r="E135" s="24">
        <f t="shared" si="21"/>
        <v>0.1652542372881356</v>
      </c>
      <c r="F135" s="24">
        <f t="shared" si="21"/>
        <v>-0.109375</v>
      </c>
      <c r="G135" s="24">
        <f t="shared" si="21"/>
        <v>0.1212121212121211</v>
      </c>
      <c r="H135" s="49">
        <f t="shared" si="21"/>
        <v>-0.046345051694888006</v>
      </c>
      <c r="I135" s="1"/>
      <c r="J135" s="1" t="s">
        <v>208</v>
      </c>
      <c r="K135" s="1"/>
      <c r="L135" s="1"/>
    </row>
    <row r="136" ht="15" customHeight="1">
      <c r="A136" s="1"/>
      <c r="B136" s="50" t="s">
        <v>117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57">
        <v>0</v>
      </c>
      <c r="I136" s="1"/>
      <c r="J136" s="1" t="s">
        <v>184</v>
      </c>
      <c r="K136" s="1"/>
      <c r="L136" s="1"/>
    </row>
    <row r="137" ht="15" customHeight="1">
      <c r="A137" s="1"/>
      <c r="B137" s="56" t="s">
        <v>118</v>
      </c>
      <c r="C137" s="34" t="s">
        <v>38</v>
      </c>
      <c r="D137" s="34" t="s">
        <v>38</v>
      </c>
      <c r="E137" s="34" t="s">
        <v>38</v>
      </c>
      <c r="F137" s="34" t="s">
        <v>38</v>
      </c>
      <c r="G137" s="34" t="s">
        <v>38</v>
      </c>
      <c r="H137" s="32" t="s">
        <v>38</v>
      </c>
      <c r="I137" s="1"/>
      <c r="J137" s="1"/>
      <c r="K137" s="1"/>
      <c r="L137" s="1"/>
    </row>
    <row r="138" ht="15" customHeight="1">
      <c r="A138" s="1"/>
      <c r="B138" s="17" t="s">
        <v>209</v>
      </c>
      <c r="C138" s="33">
        <v>318</v>
      </c>
      <c r="D138" s="22">
        <f>E138-Inputs!D183</f>
        <v>301</v>
      </c>
      <c r="E138" s="33">
        <v>1121</v>
      </c>
      <c r="F138" s="33">
        <v>252</v>
      </c>
      <c r="G138" s="33">
        <v>302</v>
      </c>
      <c r="H138" s="48">
        <f>H65*H158</f>
        <v>297.1219721167573</v>
      </c>
      <c r="I138" s="1"/>
      <c r="J138" s="1" t="s">
        <v>205</v>
      </c>
      <c r="K138" s="1"/>
      <c r="L138" s="1"/>
    </row>
    <row r="139" ht="15" customHeight="1">
      <c r="A139" s="1"/>
      <c r="B139" s="50" t="s">
        <v>111</v>
      </c>
      <c r="C139" s="42">
        <f>C138/Inputs!C62-1</f>
        <v>0.29268292682926833</v>
      </c>
      <c r="D139" s="42">
        <f>D138/Inputs!E62-1</f>
        <v>0.14448669201520903</v>
      </c>
      <c r="E139" s="42">
        <f>E138/Inputs!F62-1</f>
        <v>0.1323232323232324</v>
      </c>
      <c r="F139" s="42">
        <f>F138/Inputs!G62-1</f>
        <v>0.05439330543933063</v>
      </c>
      <c r="G139" s="42">
        <f>G138/Inputs!H62-1</f>
        <v>0.14828897338403046</v>
      </c>
      <c r="H139" s="49">
        <f t="shared" si="3"/>
        <v>-0.06565417573346755</v>
      </c>
      <c r="I139" s="1"/>
      <c r="J139" s="1"/>
      <c r="K139" s="1"/>
      <c r="L139" s="1"/>
    </row>
    <row r="140" ht="15" customHeight="1">
      <c r="A140" s="1"/>
      <c r="B140" s="56" t="s">
        <v>144</v>
      </c>
      <c r="C140" s="22">
        <f>C138-Inputs!H62</f>
        <v>55</v>
      </c>
      <c r="D140" s="23">
        <f t="shared" si="1"/>
        <v>-17</v>
      </c>
      <c r="E140" s="23"/>
      <c r="F140" s="23">
        <f t="shared" si="4"/>
        <v>-49</v>
      </c>
      <c r="G140" s="23">
        <f t="shared" si="1"/>
        <v>50</v>
      </c>
      <c r="H140" s="48">
        <f t="shared" si="1"/>
        <v>-4.87802788324268</v>
      </c>
      <c r="I140" s="1"/>
      <c r="J140" s="1"/>
      <c r="K140" s="1"/>
      <c r="L140" s="1"/>
    </row>
    <row r="141" ht="15" customHeight="1">
      <c r="A141" s="1"/>
      <c r="B141" s="50" t="s">
        <v>119</v>
      </c>
      <c r="C141" s="24">
        <f t="shared" si="21"/>
        <v>0.29268292682926833</v>
      </c>
      <c r="D141" s="24">
        <f t="shared" si="21"/>
        <v>0.14448669201520903</v>
      </c>
      <c r="E141" s="24">
        <f t="shared" si="21"/>
        <v>0.1323232323232324</v>
      </c>
      <c r="F141" s="24">
        <f t="shared" si="21"/>
        <v>0.05439330543933063</v>
      </c>
      <c r="G141" s="24">
        <f t="shared" si="21"/>
        <v>0.14828897338403046</v>
      </c>
      <c r="H141" s="49">
        <f t="shared" si="21"/>
        <v>-0.06565417573346755</v>
      </c>
      <c r="I141" s="1"/>
      <c r="J141" s="1" t="s">
        <v>210</v>
      </c>
      <c r="K141" s="1"/>
      <c r="L141" s="1"/>
    </row>
    <row r="142" ht="15" customHeight="1">
      <c r="A142" s="1"/>
      <c r="B142" s="50" t="s">
        <v>117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57">
        <v>0</v>
      </c>
      <c r="I142" s="1"/>
      <c r="J142" s="1" t="s">
        <v>184</v>
      </c>
      <c r="K142" s="1"/>
      <c r="L142" s="1"/>
    </row>
    <row r="143" ht="15" customHeight="1">
      <c r="A143" s="1"/>
      <c r="B143" s="56" t="s">
        <v>118</v>
      </c>
      <c r="C143" s="34" t="s">
        <v>38</v>
      </c>
      <c r="D143" s="34" t="s">
        <v>38</v>
      </c>
      <c r="E143" s="34" t="s">
        <v>38</v>
      </c>
      <c r="F143" s="34" t="s">
        <v>38</v>
      </c>
      <c r="G143" s="34" t="s">
        <v>38</v>
      </c>
      <c r="H143" s="32" t="s">
        <v>38</v>
      </c>
      <c r="I143" s="1"/>
      <c r="J143" s="1"/>
      <c r="K143" s="1"/>
      <c r="L143" s="1"/>
    </row>
    <row r="144" ht="15" customHeight="1">
      <c r="A144" s="1"/>
      <c r="B144" s="17" t="s">
        <v>211</v>
      </c>
      <c r="C144" s="33">
        <v>92</v>
      </c>
      <c r="D144" s="22">
        <f>E144-Inputs!D184</f>
        <v>144</v>
      </c>
      <c r="E144" s="33">
        <v>454</v>
      </c>
      <c r="F144" s="33">
        <v>98</v>
      </c>
      <c r="G144" s="33">
        <v>113</v>
      </c>
      <c r="H144" s="48">
        <f>H65*H161</f>
        <v>113.29222039205952</v>
      </c>
      <c r="I144" s="1"/>
      <c r="J144" s="1" t="s">
        <v>205</v>
      </c>
      <c r="K144" s="1"/>
      <c r="L144" s="1"/>
    </row>
    <row r="145" ht="15" customHeight="1">
      <c r="A145" s="1"/>
      <c r="B145" s="50" t="s">
        <v>111</v>
      </c>
      <c r="C145" s="42">
        <f>C144/Inputs!C63-1</f>
        <v>0.10843373493975905</v>
      </c>
      <c r="D145" s="42">
        <f>D144/Inputs!E63-1</f>
        <v>0.2857142857142858</v>
      </c>
      <c r="E145" s="42">
        <f>E144/Inputs!F63-1</f>
        <v>0.3083573487031701</v>
      </c>
      <c r="F145" s="42">
        <f>F144/Inputs!G63-1</f>
        <v>-0.09259259259259256</v>
      </c>
      <c r="G145" s="42">
        <f>G144/Inputs!H63-1</f>
        <v>0.027272727272727337</v>
      </c>
      <c r="H145" s="49">
        <f t="shared" si="3"/>
        <v>0.2314371781745599</v>
      </c>
      <c r="I145" s="1"/>
      <c r="J145" s="1"/>
      <c r="K145" s="1"/>
      <c r="L145" s="1"/>
    </row>
    <row r="146" ht="15" customHeight="1">
      <c r="A146" s="1"/>
      <c r="B146" s="56" t="s">
        <v>144</v>
      </c>
      <c r="C146" s="22">
        <f>C144-Inputs!H63</f>
        <v>-18</v>
      </c>
      <c r="D146" s="23">
        <f t="shared" si="1"/>
        <v>52</v>
      </c>
      <c r="E146" s="23"/>
      <c r="F146" s="23">
        <f t="shared" si="4"/>
        <v>-46</v>
      </c>
      <c r="G146" s="23">
        <f t="shared" si="1"/>
        <v>15</v>
      </c>
      <c r="H146" s="48">
        <f t="shared" si="1"/>
        <v>0.29222039205951944</v>
      </c>
      <c r="I146" s="1"/>
      <c r="J146" s="1"/>
      <c r="K146" s="1"/>
      <c r="L146" s="1"/>
    </row>
    <row r="147" ht="15" customHeight="1">
      <c r="A147" s="1"/>
      <c r="B147" s="50" t="s">
        <v>119</v>
      </c>
      <c r="C147" s="24">
        <f t="shared" si="21"/>
        <v>0.10843373493975905</v>
      </c>
      <c r="D147" s="24">
        <f t="shared" si="21"/>
        <v>0.2857142857142858</v>
      </c>
      <c r="E147" s="24">
        <f t="shared" si="21"/>
        <v>0.3083573487031701</v>
      </c>
      <c r="F147" s="24">
        <f t="shared" si="21"/>
        <v>-0.09259259259259256</v>
      </c>
      <c r="G147" s="24">
        <f t="shared" si="21"/>
        <v>0.027272727272727337</v>
      </c>
      <c r="H147" s="49">
        <f t="shared" si="21"/>
        <v>0.2314371781745599</v>
      </c>
      <c r="I147" s="1"/>
      <c r="J147" s="1" t="s">
        <v>212</v>
      </c>
      <c r="K147" s="1"/>
      <c r="L147" s="1"/>
    </row>
    <row r="148" ht="15" customHeight="1">
      <c r="A148" s="1"/>
      <c r="B148" s="50" t="s">
        <v>117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57">
        <v>0</v>
      </c>
      <c r="I148" s="1"/>
      <c r="J148" s="1" t="s">
        <v>184</v>
      </c>
      <c r="K148" s="1"/>
      <c r="L148" s="1"/>
    </row>
    <row r="149" ht="15" customHeight="1">
      <c r="A149" s="1"/>
      <c r="B149" s="56" t="s">
        <v>118</v>
      </c>
      <c r="C149" s="34" t="s">
        <v>38</v>
      </c>
      <c r="D149" s="34" t="s">
        <v>38</v>
      </c>
      <c r="E149" s="34" t="s">
        <v>38</v>
      </c>
      <c r="F149" s="34" t="s">
        <v>38</v>
      </c>
      <c r="G149" s="34" t="s">
        <v>38</v>
      </c>
      <c r="H149" s="32" t="s">
        <v>38</v>
      </c>
      <c r="I149" s="1"/>
      <c r="J149" s="1"/>
      <c r="K149" s="1"/>
      <c r="L149" s="1"/>
    </row>
    <row r="150" ht="15" customHeight="1">
      <c r="A150" s="1"/>
      <c r="B150" s="4" t="s">
        <v>192</v>
      </c>
      <c r="C150" s="46">
        <f t="shared" si="33" ref="C150:H150">C126+C132+C138+C144</f>
        <v>2754</v>
      </c>
      <c r="D150" s="46">
        <f t="shared" si="33"/>
        <v>3030</v>
      </c>
      <c r="E150" s="46">
        <f t="shared" si="33"/>
        <v>11072</v>
      </c>
      <c r="F150" s="46">
        <f t="shared" si="33"/>
        <v>2476</v>
      </c>
      <c r="G150" s="46">
        <f t="shared" si="33"/>
        <v>2786</v>
      </c>
      <c r="H150" s="47">
        <f t="shared" si="33"/>
        <v>2827.3607999999995</v>
      </c>
      <c r="I150" s="1"/>
      <c r="J150" s="1"/>
      <c r="K150" s="1"/>
      <c r="L150" s="1"/>
    </row>
    <row r="151" ht="15" customHeight="1">
      <c r="A151" s="1"/>
      <c r="B151" s="17" t="s">
        <v>193</v>
      </c>
      <c r="C151" s="23">
        <f t="shared" si="34" ref="C151:H151">C150-C65</f>
        <v>0</v>
      </c>
      <c r="D151" s="23">
        <f t="shared" si="34"/>
        <v>0</v>
      </c>
      <c r="E151" s="23">
        <f t="shared" si="34"/>
        <v>0</v>
      </c>
      <c r="F151" s="23">
        <f t="shared" si="34"/>
        <v>0</v>
      </c>
      <c r="G151" s="23">
        <f t="shared" si="34"/>
        <v>0</v>
      </c>
      <c r="H151" s="48">
        <f t="shared" si="34"/>
        <v>0</v>
      </c>
      <c r="I151" s="1"/>
      <c r="J151" s="1"/>
      <c r="K151" s="1"/>
      <c r="L151" s="1"/>
    </row>
    <row r="152" ht="15" customHeight="1">
      <c r="A152" s="1"/>
      <c r="B152" s="35" t="s">
        <v>213</v>
      </c>
      <c r="C152" s="24">
        <f t="shared" si="35" ref="C152:G152">C126/C65</f>
        <v>0.7977487291212781</v>
      </c>
      <c r="D152" s="24">
        <f t="shared" si="35"/>
        <v>0.805940594059406</v>
      </c>
      <c r="E152" s="24">
        <f t="shared" si="35"/>
        <v>0.8080744219653179</v>
      </c>
      <c r="F152" s="24">
        <f t="shared" si="35"/>
        <v>0.8126009693053312</v>
      </c>
      <c r="G152" s="24">
        <f t="shared" si="35"/>
        <v>0.7979181622397703</v>
      </c>
      <c r="H152" s="49">
        <f>1-H155-H158-H161</f>
        <v>0.8052595657725508</v>
      </c>
      <c r="I152" s="1"/>
      <c r="J152" s="1"/>
      <c r="K152" s="1"/>
      <c r="L152" s="1"/>
    </row>
    <row r="153" ht="15" customHeight="1">
      <c r="A153" s="1"/>
      <c r="B153" s="50" t="s">
        <v>114</v>
      </c>
      <c r="C153" s="52">
        <f>(C152-(Inputs!C60/(Inputs!C51-Inputs!C53)))*10000</f>
        <v>-346.68853296304314</v>
      </c>
      <c r="D153" s="52">
        <f>(D152-(Inputs!E60/(Inputs!E51-Inputs!E53)))*10000</f>
        <v>-161.47474122412243</v>
      </c>
      <c r="E153" s="52">
        <f>(E152-(Inputs!F60/(Inputs!F51-Inputs!F53)))*10000</f>
        <v>-149.54339529497207</v>
      </c>
      <c r="F153" s="52">
        <f>(F152-(Inputs!G60/(Inputs!G51-Inputs!G53)))*10000</f>
        <v>47.530728652017686</v>
      </c>
      <c r="G153" s="52">
        <f>(G152-(Inputs!H60/(Inputs!H51-Inputs!H53)))*10000</f>
        <v>-227.49451396593346</v>
      </c>
      <c r="H153" s="53">
        <f t="shared" si="20"/>
        <v>75.10836651272612</v>
      </c>
      <c r="I153" s="1"/>
      <c r="J153" s="1"/>
      <c r="K153" s="1"/>
      <c r="L153" s="1"/>
    </row>
    <row r="154" ht="15" customHeight="1">
      <c r="A154" s="1"/>
      <c r="B154" s="50" t="s">
        <v>115</v>
      </c>
      <c r="C154" s="52">
        <f>(C152-(Inputs!H60/(Inputs!H51-Inputs!H53)))*10000</f>
        <v>-229.18884515085503</v>
      </c>
      <c r="D154" s="54">
        <f t="shared" si="12"/>
        <v>81.91864938127847</v>
      </c>
      <c r="E154" s="54"/>
      <c r="F154" s="54">
        <f t="shared" si="14"/>
        <v>66.6037524592522</v>
      </c>
      <c r="G154" s="54">
        <f t="shared" si="12"/>
        <v>-146.8280706556091</v>
      </c>
      <c r="H154" s="53">
        <f t="shared" si="12"/>
        <v>73.41403532780456</v>
      </c>
      <c r="I154" s="1"/>
      <c r="J154" s="1"/>
      <c r="K154" s="1"/>
      <c r="L154" s="1"/>
    </row>
    <row r="155" ht="15" customHeight="1">
      <c r="A155" s="1"/>
      <c r="B155" s="35" t="s">
        <v>214</v>
      </c>
      <c r="C155" s="24">
        <f t="shared" si="36" ref="C155:G155">C132/C65</f>
        <v>0.05337690631808279</v>
      </c>
      <c r="D155" s="24">
        <f t="shared" si="36"/>
        <v>0.04719471947194719</v>
      </c>
      <c r="E155" s="24">
        <f t="shared" si="36"/>
        <v>0.04967485549132948</v>
      </c>
      <c r="F155" s="24">
        <f t="shared" si="36"/>
        <v>0.04604200323101777</v>
      </c>
      <c r="G155" s="24">
        <f t="shared" si="36"/>
        <v>0.05312275664034458</v>
      </c>
      <c r="H155" s="49">
        <f t="shared" si="28"/>
        <v>0.04958237993568118</v>
      </c>
      <c r="I155" s="1"/>
      <c r="J155" s="1"/>
      <c r="K155" s="1"/>
      <c r="L155" s="1"/>
    </row>
    <row r="156" ht="15" customHeight="1">
      <c r="A156" s="1"/>
      <c r="B156" s="50" t="s">
        <v>114</v>
      </c>
      <c r="C156" s="52">
        <f>(C155-(Inputs!C61/(Inputs!C51-Inputs!C53)))*10000</f>
        <v>149.15367856544327</v>
      </c>
      <c r="D156" s="52">
        <f>(D155-(Inputs!E61/(Inputs!E51-Inputs!E53)))*10000</f>
        <v>24.50401290129009</v>
      </c>
      <c r="E156" s="52">
        <f>(E155-(Inputs!F61/(Inputs!F51-Inputs!F53)))*10000</f>
        <v>34.9993864531109</v>
      </c>
      <c r="F156" s="52">
        <f>(F155-(Inputs!G61/(Inputs!G51-Inputs!G53)))*10000</f>
        <v>-57.37932044063136</v>
      </c>
      <c r="G156" s="52">
        <f>(G155-(Inputs!H61/(Inputs!H51-Inputs!H53)))*10000</f>
        <v>62.47756640344583</v>
      </c>
      <c r="H156" s="53">
        <f t="shared" si="20"/>
        <v>-37.945263824016095</v>
      </c>
      <c r="I156" s="1"/>
      <c r="J156" s="1"/>
      <c r="K156" s="1"/>
      <c r="L156" s="1"/>
    </row>
    <row r="157" ht="15" customHeight="1">
      <c r="A157" s="1"/>
      <c r="B157" s="50" t="s">
        <v>115</v>
      </c>
      <c r="C157" s="52">
        <f>(C155-(Inputs!H61/(Inputs!H51-Inputs!H53)))*10000</f>
        <v>65.01906318082791</v>
      </c>
      <c r="D157" s="54">
        <f t="shared" si="12"/>
        <v>-61.82186846135598</v>
      </c>
      <c r="E157" s="54"/>
      <c r="F157" s="54">
        <f t="shared" si="14"/>
        <v>-11.527162409294203</v>
      </c>
      <c r="G157" s="54">
        <f t="shared" si="12"/>
        <v>70.8075340932681</v>
      </c>
      <c r="H157" s="53">
        <f t="shared" si="12"/>
        <v>-35.403767046634016</v>
      </c>
      <c r="I157" s="1"/>
      <c r="J157" s="1"/>
      <c r="K157" s="1"/>
      <c r="L157" s="1"/>
    </row>
    <row r="158" ht="15" customHeight="1">
      <c r="A158" s="1"/>
      <c r="B158" s="35" t="s">
        <v>215</v>
      </c>
      <c r="C158" s="24">
        <f t="shared" si="37" ref="C158:G158">C138/C65</f>
        <v>0.11546840958605664</v>
      </c>
      <c r="D158" s="24">
        <f t="shared" si="37"/>
        <v>0.09933993399339934</v>
      </c>
      <c r="E158" s="24">
        <f t="shared" si="37"/>
        <v>0.101246387283237</v>
      </c>
      <c r="F158" s="24">
        <f t="shared" si="37"/>
        <v>0.10177705977382875</v>
      </c>
      <c r="G158" s="24">
        <f t="shared" si="37"/>
        <v>0.10839913854989232</v>
      </c>
      <c r="H158" s="49">
        <f t="shared" si="28"/>
        <v>0.10508809916186054</v>
      </c>
      <c r="I158" s="1"/>
      <c r="J158" s="1"/>
      <c r="K158" s="1"/>
      <c r="L158" s="1"/>
    </row>
    <row r="159" ht="15" customHeight="1">
      <c r="A159" s="1"/>
      <c r="B159" s="50" t="s">
        <v>114</v>
      </c>
      <c r="C159" s="52">
        <f>(C158-(Inputs!C62/(Inputs!C51-Inputs!C53)))*10000</f>
        <v>189.2209875403153</v>
      </c>
      <c r="D159" s="52">
        <f>(D158-(Inputs!E62/(Inputs!E51-Inputs!E53)))*10000</f>
        <v>59.45047629762973</v>
      </c>
      <c r="E159" s="52">
        <f>(E158-(Inputs!F62/(Inputs!F51-Inputs!F53)))*10000</f>
        <v>43.96455762986557</v>
      </c>
      <c r="F159" s="52">
        <f>(F158-(Inputs!G62/(Inputs!G51-Inputs!G53)))*10000</f>
        <v>50.942118773886214</v>
      </c>
      <c r="G159" s="52">
        <f>(G158-(Inputs!H62/(Inputs!H51-Inputs!H53)))*10000</f>
        <v>150.0425218625595</v>
      </c>
      <c r="H159" s="53">
        <f t="shared" si="20"/>
        <v>-103.80310424196098</v>
      </c>
      <c r="I159" s="1"/>
      <c r="J159" s="1"/>
      <c r="K159" s="1"/>
      <c r="L159" s="1"/>
    </row>
    <row r="160" ht="15" customHeight="1">
      <c r="A160" s="1"/>
      <c r="B160" s="50" t="s">
        <v>115</v>
      </c>
      <c r="C160" s="52">
        <f>(C158-(Inputs!H62/(Inputs!H51-Inputs!H53)))*10000</f>
        <v>220.73523222420275</v>
      </c>
      <c r="D160" s="54">
        <f t="shared" si="12"/>
        <v>-161.284755926573</v>
      </c>
      <c r="E160" s="54"/>
      <c r="F160" s="54">
        <f t="shared" si="14"/>
        <v>24.37125780429414</v>
      </c>
      <c r="G160" s="54">
        <f t="shared" si="12"/>
        <v>66.22078776063564</v>
      </c>
      <c r="H160" s="53">
        <f t="shared" si="12"/>
        <v>-33.11039388031775</v>
      </c>
      <c r="I160" s="1"/>
      <c r="J160" s="1"/>
      <c r="K160" s="1"/>
      <c r="L160" s="1"/>
    </row>
    <row r="161" ht="15" customHeight="1">
      <c r="A161" s="1"/>
      <c r="B161" s="35" t="s">
        <v>216</v>
      </c>
      <c r="C161" s="24">
        <f t="shared" si="38" ref="C161:G161">C144/C65</f>
        <v>0.03340595497458242</v>
      </c>
      <c r="D161" s="24">
        <f t="shared" si="38"/>
        <v>0.047524752475247525</v>
      </c>
      <c r="E161" s="24">
        <f t="shared" si="38"/>
        <v>0.041004335260115606</v>
      </c>
      <c r="F161" s="24">
        <f t="shared" si="38"/>
        <v>0.0395799676898223</v>
      </c>
      <c r="G161" s="24">
        <f t="shared" si="38"/>
        <v>0.04055994256999282</v>
      </c>
      <c r="H161" s="49">
        <f t="shared" si="28"/>
        <v>0.04006995512990756</v>
      </c>
      <c r="I161" s="1"/>
      <c r="J161" s="1"/>
      <c r="K161" s="1"/>
      <c r="L161" s="1"/>
    </row>
    <row r="162" ht="15" customHeight="1">
      <c r="A162" s="1"/>
      <c r="B162" s="50" t="s">
        <v>114</v>
      </c>
      <c r="C162" s="52">
        <f>(C161-(Inputs!C63/(Inputs!C51-Inputs!C53)))*10000</f>
        <v>8.31386685728422</v>
      </c>
      <c r="D162" s="52">
        <f>(D161-(Inputs!E63/(Inputs!E51-Inputs!E53)))*10000</f>
        <v>77.52025202520254</v>
      </c>
      <c r="E162" s="52">
        <f>(E161-(Inputs!F63/(Inputs!F51-Inputs!F53)))*10000</f>
        <v>70.57945121199539</v>
      </c>
      <c r="F162" s="52">
        <f>(F161-(Inputs!G63/(Inputs!G51-Inputs!G53)))*10000</f>
        <v>-41.09352698527219</v>
      </c>
      <c r="G162" s="52">
        <f>(G161-(Inputs!H63/(Inputs!H51-Inputs!H53)))*10000</f>
        <v>14.974425699928185</v>
      </c>
      <c r="H162" s="53">
        <f t="shared" si="20"/>
        <v>66.64000155325138</v>
      </c>
      <c r="I162" s="1"/>
      <c r="J162" s="1"/>
      <c r="K162" s="1"/>
      <c r="L162" s="1"/>
    </row>
    <row r="163" ht="15" customHeight="1">
      <c r="A163" s="1"/>
      <c r="B163" s="50" t="s">
        <v>115</v>
      </c>
      <c r="C163" s="52">
        <f>(C161-(Inputs!H63/(Inputs!H51-Inputs!H53)))*10000</f>
        <v>-56.565450254175765</v>
      </c>
      <c r="D163" s="54">
        <f t="shared" si="12"/>
        <v>141.18797500665102</v>
      </c>
      <c r="E163" s="54"/>
      <c r="F163" s="54">
        <f t="shared" si="14"/>
        <v>-79.44784785425229</v>
      </c>
      <c r="G163" s="54">
        <f t="shared" si="12"/>
        <v>9.799748801705213</v>
      </c>
      <c r="H163" s="53">
        <f t="shared" si="12"/>
        <v>-4.899874400852572</v>
      </c>
      <c r="I163" s="1"/>
      <c r="J163" s="1"/>
      <c r="K163" s="1"/>
      <c r="L163" s="1"/>
    </row>
    <row r="164" ht="15" customHeight="1">
      <c r="A164" s="1"/>
      <c r="B164" s="1"/>
      <c r="C164" s="1"/>
      <c r="D164" s="1"/>
      <c r="E164" s="1"/>
      <c r="F164" s="1"/>
      <c r="G164" s="1"/>
      <c r="H164" s="45"/>
      <c r="I164" s="1"/>
      <c r="J164" s="1"/>
      <c r="K164" s="1"/>
      <c r="L164" s="1"/>
    </row>
    <row r="165" ht="15" customHeight="1">
      <c r="A165" s="1"/>
      <c r="B165" s="4" t="s">
        <v>217</v>
      </c>
      <c r="C165" s="34"/>
      <c r="D165" s="34"/>
      <c r="E165" s="34"/>
      <c r="F165" s="34"/>
      <c r="G165" s="34"/>
      <c r="H165" s="32"/>
      <c r="I165" s="1"/>
      <c r="J165" s="1"/>
      <c r="K165" s="1"/>
      <c r="L165" s="1"/>
    </row>
    <row r="166" ht="15" customHeight="1">
      <c r="A166" s="1"/>
      <c r="B166" s="35" t="s">
        <v>82</v>
      </c>
      <c r="C166" s="24">
        <f t="shared" si="39" ref="C166:G166">C169/C49</f>
        <v>0.16650501131587456</v>
      </c>
      <c r="D166" s="24">
        <f t="shared" si="39"/>
        <v>0.1478689475210206</v>
      </c>
      <c r="E166" s="24">
        <f t="shared" si="39"/>
        <v>0.14608987685910763</v>
      </c>
      <c r="F166" s="24">
        <f t="shared" si="39"/>
        <v>0.15134568332750786</v>
      </c>
      <c r="G166" s="24">
        <f t="shared" si="39"/>
        <v>0.15415384615384614</v>
      </c>
      <c r="H166" s="57">
        <v>0.148</v>
      </c>
      <c r="I166" s="1"/>
      <c r="J166" s="1" t="s">
        <v>218</v>
      </c>
      <c r="K166" s="1"/>
      <c r="L166" s="1"/>
    </row>
    <row r="167" ht="15" customHeight="1">
      <c r="A167" s="1"/>
      <c r="B167" s="50" t="s">
        <v>114</v>
      </c>
      <c r="C167" s="52">
        <f>(C166-(Inputs!C54/Inputs!C51))*10000</f>
        <v>283.5410802150687</v>
      </c>
      <c r="D167" s="52">
        <f>(D166-(Inputs!E54/Inputs!E51))*10000</f>
        <v>-13.040804688012885</v>
      </c>
      <c r="E167" s="52">
        <f>(E166-(Inputs!F54/Inputs!F51))*10000</f>
        <v>59.02141092812341</v>
      </c>
      <c r="F167" s="52">
        <f>(F166-(Inputs!G54/Inputs!G51))*10000</f>
        <v>227.3862953342165</v>
      </c>
      <c r="G167" s="52">
        <f>(G166-(Inputs!H54/Inputs!H51))*10000</f>
        <v>144.64267439877193</v>
      </c>
      <c r="H167" s="53">
        <f t="shared" si="20"/>
        <v>-185.05011315874563</v>
      </c>
      <c r="I167" s="1"/>
      <c r="J167" s="1"/>
      <c r="K167" s="1"/>
      <c r="L167" s="1"/>
    </row>
    <row r="168" ht="15" customHeight="1">
      <c r="A168" s="1"/>
      <c r="B168" s="50" t="s">
        <v>115</v>
      </c>
      <c r="C168" s="52">
        <f>(C166-(Inputs!H54/Inputs!H51))*10000</f>
        <v>268.1543260190561</v>
      </c>
      <c r="D168" s="54">
        <f t="shared" si="12"/>
        <v>-186.36063794853968</v>
      </c>
      <c r="E168" s="54"/>
      <c r="F168" s="54">
        <f t="shared" si="14"/>
        <v>34.767358064872745</v>
      </c>
      <c r="G168" s="54">
        <f t="shared" si="12"/>
        <v>28.081628263382786</v>
      </c>
      <c r="H168" s="53">
        <f t="shared" si="12"/>
        <v>-61.53846153846148</v>
      </c>
      <c r="I168" s="1"/>
      <c r="J168" s="1"/>
      <c r="K168" s="1"/>
      <c r="L168" s="1"/>
    </row>
    <row r="169" ht="15" customHeight="1">
      <c r="A169" s="1"/>
      <c r="B169" s="4" t="s">
        <v>247</v>
      </c>
      <c r="C169" s="67">
        <v>515</v>
      </c>
      <c r="D169" s="67">
        <v>510</v>
      </c>
      <c r="E169" s="67">
        <v>1827</v>
      </c>
      <c r="F169" s="67">
        <v>433</v>
      </c>
      <c r="G169" s="67">
        <v>501</v>
      </c>
      <c r="H169" s="68">
        <f>H49*H166</f>
        <v>480.97631999999993</v>
      </c>
      <c r="I169" s="1"/>
      <c r="J169" s="1" t="s">
        <v>220</v>
      </c>
      <c r="K169" s="1"/>
      <c r="L169" s="1"/>
    </row>
    <row r="170" ht="15" customHeight="1">
      <c r="A170" s="1"/>
      <c r="B170" s="50" t="s">
        <v>111</v>
      </c>
      <c r="C170" s="42">
        <f>C169/Inputs!C54-1</f>
        <v>0.3205128205128205</v>
      </c>
      <c r="D170" s="42">
        <f>D169/Inputs!E54-1</f>
        <v>0.08742004264392333</v>
      </c>
      <c r="E170" s="42">
        <f>E169/Inputs!F54-1</f>
        <v>0.14330413016270338</v>
      </c>
      <c r="F170" s="42">
        <f>F169/Inputs!G54-1</f>
        <v>0.19944598337950148</v>
      </c>
      <c r="G170" s="42">
        <f>G169/Inputs!H54-1</f>
        <v>0.1360544217687074</v>
      </c>
      <c r="H170" s="49">
        <f t="shared" si="3"/>
        <v>-0.06606539805825251</v>
      </c>
      <c r="I170" s="1"/>
      <c r="J170" s="1"/>
      <c r="K170" s="1"/>
      <c r="L170" s="1"/>
    </row>
    <row r="171" ht="15" customHeight="1">
      <c r="A171" s="1"/>
      <c r="B171" s="56" t="s">
        <v>144</v>
      </c>
      <c r="C171" s="22">
        <f>C169-Inputs!H54</f>
        <v>74</v>
      </c>
      <c r="D171" s="23">
        <f t="shared" si="1"/>
        <v>-5</v>
      </c>
      <c r="E171" s="23"/>
      <c r="F171" s="23">
        <f t="shared" si="4"/>
        <v>-77</v>
      </c>
      <c r="G171" s="23">
        <f t="shared" si="1"/>
        <v>68</v>
      </c>
      <c r="H171" s="48">
        <f t="shared" si="1"/>
        <v>-20.02368000000007</v>
      </c>
      <c r="I171" s="1"/>
      <c r="J171" s="1"/>
      <c r="K171" s="1"/>
      <c r="L171" s="1"/>
    </row>
    <row r="172" ht="15" customHeight="1">
      <c r="A172" s="1"/>
      <c r="B172" s="17" t="s">
        <v>221</v>
      </c>
      <c r="C172" s="33">
        <v>121</v>
      </c>
      <c r="D172" s="22">
        <f>E172-Inputs!D185</f>
        <v>29</v>
      </c>
      <c r="E172" s="33">
        <v>192</v>
      </c>
      <c r="F172" s="33">
        <v>51</v>
      </c>
      <c r="G172" s="33">
        <v>69</v>
      </c>
      <c r="H172" s="48"/>
      <c r="I172" s="1"/>
      <c r="J172" s="1" t="s">
        <v>222</v>
      </c>
      <c r="K172" s="1"/>
      <c r="L172" s="1"/>
    </row>
    <row r="173" ht="15" customHeight="1">
      <c r="A173" s="1"/>
      <c r="B173" s="50" t="s">
        <v>111</v>
      </c>
      <c r="C173" s="42">
        <f>C172/Inputs!C64-1</f>
        <v>6.5625</v>
      </c>
      <c r="D173" s="42">
        <f>D172/Inputs!E64-1</f>
        <v>-0.39583333333333337</v>
      </c>
      <c r="E173" s="42">
        <f>E172/Inputs!F64-1</f>
        <v>2.2542372881355934</v>
      </c>
      <c r="F173" s="42">
        <f>F172/Inputs!G64-1</f>
        <v>0.3783783783783783</v>
      </c>
      <c r="G173" s="42">
        <f>G172/Inputs!H64-1</f>
        <v>12.8</v>
      </c>
      <c r="H173" s="49"/>
      <c r="I173" s="1"/>
      <c r="J173" s="1"/>
      <c r="K173" s="1"/>
      <c r="L173" s="1"/>
    </row>
    <row r="174" ht="15" customHeight="1">
      <c r="A174" s="1"/>
      <c r="B174" s="56" t="s">
        <v>144</v>
      </c>
      <c r="C174" s="22">
        <f>C172-Inputs!H64</f>
        <v>116</v>
      </c>
      <c r="D174" s="23">
        <f t="shared" si="1"/>
        <v>-92</v>
      </c>
      <c r="E174" s="23"/>
      <c r="F174" s="23">
        <f t="shared" si="4"/>
        <v>22</v>
      </c>
      <c r="G174" s="23">
        <f t="shared" si="1"/>
        <v>18</v>
      </c>
      <c r="H174" s="48"/>
      <c r="I174" s="1"/>
      <c r="J174" s="1"/>
      <c r="K174" s="1"/>
      <c r="L174" s="1"/>
    </row>
    <row r="175" ht="15" customHeight="1">
      <c r="A175" s="1"/>
      <c r="B175" s="35" t="s">
        <v>223</v>
      </c>
      <c r="C175" s="24">
        <f t="shared" si="40" ref="C175:G175">C172/C49</f>
        <v>0.03912059489169092</v>
      </c>
      <c r="D175" s="24">
        <f t="shared" si="40"/>
        <v>0.008408234270803132</v>
      </c>
      <c r="E175" s="24">
        <f t="shared" si="40"/>
        <v>0.015352630737246123</v>
      </c>
      <c r="F175" s="24">
        <f t="shared" si="40"/>
        <v>0.017825934987766516</v>
      </c>
      <c r="G175" s="24">
        <f t="shared" si="40"/>
        <v>0.02123076923076923</v>
      </c>
      <c r="H175" s="49"/>
      <c r="I175" s="1"/>
      <c r="J175" s="1"/>
      <c r="K175" s="1"/>
      <c r="L175" s="1"/>
    </row>
    <row r="176" ht="15" customHeight="1">
      <c r="A176" s="1"/>
      <c r="B176" s="50" t="s">
        <v>114</v>
      </c>
      <c r="C176" s="52">
        <f>(C175-(Inputs!C64/Inputs!C51))*10000</f>
        <v>334.5286552576814</v>
      </c>
      <c r="D176" s="52">
        <f>(D175-(Inputs!E64/Inputs!E51))*10000</f>
        <v>-68.58941301715952</v>
      </c>
      <c r="E176" s="52">
        <f>(E175-(Inputs!F64/Inputs!F51))*10000</f>
        <v>101.76738115086283</v>
      </c>
      <c r="F176" s="52">
        <f>(F175-(Inputs!G64/Inputs!G51))*10000</f>
        <v>46.446026044391196</v>
      </c>
      <c r="G176" s="52">
        <f>(G175-(Inputs!H64/Inputs!H51))*10000</f>
        <v>196.4698715918228</v>
      </c>
      <c r="H176" s="53"/>
      <c r="I176" s="1"/>
      <c r="J176" s="1"/>
      <c r="K176" s="1"/>
      <c r="L176" s="1"/>
    </row>
    <row r="177" ht="15" customHeight="1">
      <c r="A177" s="1"/>
      <c r="B177" s="50" t="s">
        <v>115</v>
      </c>
      <c r="C177" s="52">
        <f>(C175-(Inputs!H64/Inputs!H51))*10000</f>
        <v>375.36812820103967</v>
      </c>
      <c r="D177" s="54">
        <f t="shared" si="12"/>
        <v>-307.12360620887785</v>
      </c>
      <c r="E177" s="54"/>
      <c r="F177" s="54">
        <f t="shared" si="14"/>
        <v>94.17700716963384</v>
      </c>
      <c r="G177" s="54">
        <f t="shared" si="12"/>
        <v>34.04834243002714</v>
      </c>
      <c r="H177" s="53"/>
      <c r="I177" s="1"/>
      <c r="J177" s="1"/>
      <c r="K177" s="1"/>
      <c r="L177" s="1"/>
    </row>
    <row r="178" ht="15" customHeight="1">
      <c r="A178" s="1"/>
      <c r="B178" s="17" t="s">
        <v>224</v>
      </c>
      <c r="C178" s="23">
        <f t="shared" si="41" ref="C178:G178">C169-C172</f>
        <v>394</v>
      </c>
      <c r="D178" s="23">
        <f t="shared" si="41"/>
        <v>481</v>
      </c>
      <c r="E178" s="23">
        <f t="shared" si="41"/>
        <v>1635</v>
      </c>
      <c r="F178" s="23">
        <f t="shared" si="41"/>
        <v>382</v>
      </c>
      <c r="G178" s="23">
        <f t="shared" si="41"/>
        <v>432</v>
      </c>
      <c r="H178" s="48"/>
      <c r="I178" s="1"/>
      <c r="J178" s="1"/>
      <c r="K178" s="1"/>
      <c r="L178" s="1"/>
    </row>
    <row r="179" ht="15" customHeight="1">
      <c r="A179" s="1"/>
      <c r="B179" s="50" t="s">
        <v>111</v>
      </c>
      <c r="C179" s="42">
        <f>C178/(Inputs!C54-Inputs!C64)-1</f>
        <v>0.053475935828877</v>
      </c>
      <c r="D179" s="42">
        <f>D178/(Inputs!E54-Inputs!E64)-1</f>
        <v>0.14251781472684089</v>
      </c>
      <c r="E179" s="42">
        <f>E178/(Inputs!F54-Inputs!F64)-1</f>
        <v>0.06237816764132553</v>
      </c>
      <c r="F179" s="42">
        <f>F178/(Inputs!G54-Inputs!G64)-1</f>
        <v>0.17901234567901225</v>
      </c>
      <c r="G179" s="42">
        <f>G178/(Inputs!H54-Inputs!H64)-1</f>
        <v>-0.00917431192660545</v>
      </c>
      <c r="H179" s="49"/>
      <c r="I179" s="1"/>
      <c r="J179" s="1"/>
      <c r="K179" s="1"/>
      <c r="L179" s="1"/>
    </row>
    <row r="180" ht="15" customHeight="1">
      <c r="A180" s="1"/>
      <c r="B180" s="56" t="s">
        <v>144</v>
      </c>
      <c r="C180" s="22">
        <f>C178-(Inputs!H54-Inputs!H64)</f>
        <v>-42</v>
      </c>
      <c r="D180" s="23">
        <f t="shared" si="1"/>
        <v>87</v>
      </c>
      <c r="E180" s="23"/>
      <c r="F180" s="23">
        <f t="shared" si="4"/>
        <v>-99</v>
      </c>
      <c r="G180" s="23">
        <f t="shared" si="1"/>
        <v>50</v>
      </c>
      <c r="H180" s="48"/>
      <c r="I180" s="1"/>
      <c r="J180" s="1"/>
      <c r="K180" s="1"/>
      <c r="L180" s="1"/>
    </row>
    <row r="181" ht="15" customHeight="1">
      <c r="A181" s="1"/>
      <c r="B181" s="35" t="s">
        <v>225</v>
      </c>
      <c r="C181" s="24">
        <f t="shared" si="42" ref="C181:G181">C178/C49</f>
        <v>0.12738441642418363</v>
      </c>
      <c r="D181" s="24">
        <f t="shared" si="42"/>
        <v>0.13946071325021744</v>
      </c>
      <c r="E181" s="24">
        <f t="shared" si="42"/>
        <v>0.1307372461218615</v>
      </c>
      <c r="F181" s="24">
        <f t="shared" si="42"/>
        <v>0.13351974833974134</v>
      </c>
      <c r="G181" s="24">
        <f t="shared" si="42"/>
        <v>0.13292307692307692</v>
      </c>
      <c r="H181" s="49"/>
      <c r="I181" s="1"/>
      <c r="J181" s="1"/>
      <c r="K181" s="1"/>
      <c r="L181" s="1"/>
    </row>
    <row r="182" ht="15" customHeight="1">
      <c r="A182" s="1"/>
      <c r="B182" s="50" t="s">
        <v>114</v>
      </c>
      <c r="C182" s="52">
        <f>(C181-((Inputs!C54-Inputs!C64)/Inputs!C51))*10000</f>
        <v>-50.98757504261281</v>
      </c>
      <c r="D182" s="52">
        <f>(D181-((Inputs!E54-Inputs!E64)/Inputs!E51))*10000</f>
        <v>55.54860832914649</v>
      </c>
      <c r="E182" s="52">
        <f>(E181-((Inputs!F54-Inputs!F64)/Inputs!F51))*10000</f>
        <v>-42.745970222739516</v>
      </c>
      <c r="F182" s="52">
        <f>(F181-((Inputs!G54-Inputs!G64)/Inputs!G51))*10000</f>
        <v>180.9402692898253</v>
      </c>
      <c r="G182" s="52">
        <f>(G181-((Inputs!H54-Inputs!H64)/Inputs!H51))*10000</f>
        <v>-51.8271971930509</v>
      </c>
      <c r="H182" s="53"/>
      <c r="I182" s="1"/>
      <c r="J182" s="1"/>
      <c r="K182" s="1"/>
      <c r="L182" s="1"/>
    </row>
    <row r="183" ht="15" customHeight="1">
      <c r="A183" s="1"/>
      <c r="B183" s="50" t="s">
        <v>115</v>
      </c>
      <c r="C183" s="52">
        <f>(C181-((Inputs!H54-Inputs!H64)/Inputs!H51))*10000</f>
        <v>-107.21380218198378</v>
      </c>
      <c r="D183" s="54">
        <f t="shared" si="12"/>
        <v>120.76296826033811</v>
      </c>
      <c r="E183" s="54"/>
      <c r="F183" s="54">
        <f t="shared" si="14"/>
        <v>-59.409649104761044</v>
      </c>
      <c r="G183" s="54">
        <f t="shared" si="12"/>
        <v>-5.9667141666441825</v>
      </c>
      <c r="H183" s="53"/>
      <c r="I183" s="1"/>
      <c r="J183" s="1"/>
      <c r="K183" s="1"/>
      <c r="L183" s="1"/>
    </row>
    <row r="184" ht="15" customHeight="1">
      <c r="A184" s="1"/>
      <c r="B184" s="1"/>
      <c r="C184" s="1"/>
      <c r="D184" s="1"/>
      <c r="E184" s="1"/>
      <c r="F184" s="1"/>
      <c r="G184" s="1"/>
      <c r="H184" s="45"/>
      <c r="I184" s="1"/>
      <c r="J184" s="1"/>
      <c r="K184" s="1"/>
      <c r="L184" s="1"/>
    </row>
    <row r="185" ht="15" customHeight="1">
      <c r="A185" s="1"/>
      <c r="B185" s="4" t="s">
        <v>226</v>
      </c>
      <c r="C185" s="34"/>
      <c r="D185" s="34"/>
      <c r="E185" s="34"/>
      <c r="F185" s="34"/>
      <c r="G185" s="34"/>
      <c r="H185" s="32"/>
      <c r="I185" s="1"/>
      <c r="J185" s="1"/>
      <c r="K185" s="1"/>
      <c r="L185" s="1"/>
    </row>
    <row r="186" ht="15" customHeight="1">
      <c r="A186" s="1"/>
      <c r="B186" s="17" t="s">
        <v>227</v>
      </c>
      <c r="C186" s="33">
        <v>71</v>
      </c>
      <c r="D186" s="22">
        <f>E186-Inputs!D186</f>
        <v>72</v>
      </c>
      <c r="E186" s="33">
        <v>278</v>
      </c>
      <c r="F186" s="33">
        <v>69</v>
      </c>
      <c r="G186" s="33">
        <v>70</v>
      </c>
      <c r="H186" s="48"/>
      <c r="I186" s="1"/>
      <c r="J186" s="1" t="s">
        <v>228</v>
      </c>
      <c r="K186" s="1"/>
      <c r="L186" s="1"/>
    </row>
    <row r="187" ht="15" customHeight="1">
      <c r="A187" s="1"/>
      <c r="B187" s="50" t="s">
        <v>111</v>
      </c>
      <c r="C187" s="42">
        <f>C186/Inputs!C65-1</f>
        <v>0.109375</v>
      </c>
      <c r="D187" s="42">
        <f>D186/Inputs!E65-1</f>
        <v>0.07462686567164178</v>
      </c>
      <c r="E187" s="42">
        <f>E186/Inputs!F65-1</f>
        <v>0.09019607843137245</v>
      </c>
      <c r="F187" s="42">
        <f>F186/Inputs!G65-1</f>
        <v>0.029850746268656803</v>
      </c>
      <c r="G187" s="42">
        <f>G186/Inputs!H65-1</f>
        <v>0.02941176470588225</v>
      </c>
      <c r="H187" s="49"/>
      <c r="I187" s="1"/>
      <c r="J187" s="1"/>
      <c r="K187" s="1"/>
      <c r="L187" s="1"/>
    </row>
    <row r="188" ht="15" customHeight="1">
      <c r="A188" s="1"/>
      <c r="B188" s="56" t="s">
        <v>144</v>
      </c>
      <c r="C188" s="22">
        <f>C186-Inputs!H65</f>
        <v>3</v>
      </c>
      <c r="D188" s="23">
        <f t="shared" si="1"/>
        <v>1</v>
      </c>
      <c r="E188" s="23"/>
      <c r="F188" s="23">
        <f t="shared" si="4"/>
        <v>-3</v>
      </c>
      <c r="G188" s="23">
        <f t="shared" si="1"/>
        <v>1</v>
      </c>
      <c r="H188" s="48"/>
      <c r="I188" s="1"/>
      <c r="J188" s="1"/>
      <c r="K188" s="1"/>
      <c r="L188" s="1"/>
    </row>
    <row r="189" ht="15" customHeight="1">
      <c r="A189" s="1"/>
      <c r="B189" s="17" t="s">
        <v>229</v>
      </c>
      <c r="C189" s="33">
        <v>66</v>
      </c>
      <c r="D189" s="22">
        <f>E189-Inputs!D187</f>
        <v>160</v>
      </c>
      <c r="E189" s="33">
        <v>312</v>
      </c>
      <c r="F189" s="33">
        <v>45</v>
      </c>
      <c r="G189" s="33">
        <v>42</v>
      </c>
      <c r="H189" s="48"/>
      <c r="I189" s="1"/>
      <c r="J189" s="1"/>
      <c r="K189" s="1"/>
      <c r="L189" s="1"/>
    </row>
    <row r="190" ht="15" customHeight="1">
      <c r="A190" s="1"/>
      <c r="B190" s="50" t="s">
        <v>111</v>
      </c>
      <c r="C190" s="42">
        <f>C189/Inputs!C66-1</f>
        <v>0.06451612903225801</v>
      </c>
      <c r="D190" s="42">
        <f>D189/Inputs!E66-1</f>
        <v>-0.06432748538011701</v>
      </c>
      <c r="E190" s="42">
        <f>E189/Inputs!F66-1</f>
        <v>-0.006369426751592355</v>
      </c>
      <c r="F190" s="42">
        <f>F189/Inputs!G66-1</f>
        <v>0.15384615384615374</v>
      </c>
      <c r="G190" s="42">
        <f>G189/Inputs!H66-1</f>
        <v>-0.1063829787234043</v>
      </c>
      <c r="H190" s="49"/>
      <c r="I190" s="1"/>
      <c r="J190" s="1"/>
      <c r="K190" s="1"/>
      <c r="L190" s="1"/>
    </row>
    <row r="191" ht="15" customHeight="1">
      <c r="A191" s="1"/>
      <c r="B191" s="56" t="s">
        <v>144</v>
      </c>
      <c r="C191" s="22">
        <f>C189-Inputs!H66</f>
        <v>19</v>
      </c>
      <c r="D191" s="23">
        <f t="shared" si="1"/>
        <v>94</v>
      </c>
      <c r="E191" s="23"/>
      <c r="F191" s="23">
        <f t="shared" si="4"/>
        <v>-115</v>
      </c>
      <c r="G191" s="23">
        <f t="shared" si="1"/>
        <v>-3</v>
      </c>
      <c r="H191" s="48"/>
      <c r="I191" s="1"/>
      <c r="J191" s="1"/>
      <c r="K191" s="1"/>
      <c r="L191" s="1"/>
    </row>
    <row r="192" ht="15" customHeight="1">
      <c r="A192" s="1"/>
      <c r="B192" s="35" t="s">
        <v>230</v>
      </c>
      <c r="C192" s="24">
        <f t="shared" si="43" ref="C192:G192">C189/C49</f>
        <v>0.02133850630455868</v>
      </c>
      <c r="D192" s="24">
        <f t="shared" si="43"/>
        <v>0.04639025804581038</v>
      </c>
      <c r="E192" s="24">
        <f t="shared" si="43"/>
        <v>0.02494802494802495</v>
      </c>
      <c r="F192" s="24">
        <f t="shared" si="43"/>
        <v>0.015728766165676335</v>
      </c>
      <c r="G192" s="24">
        <f t="shared" si="43"/>
        <v>0.012923076923076923</v>
      </c>
      <c r="H192" s="49"/>
      <c r="I192" s="1"/>
      <c r="J192" s="1"/>
      <c r="K192" s="1"/>
      <c r="L192" s="1"/>
    </row>
    <row r="193" ht="15" customHeight="1">
      <c r="A193" s="1"/>
      <c r="B193" s="50" t="s">
        <v>114</v>
      </c>
      <c r="C193" s="52">
        <f>(C192-(Inputs!C66/Inputs!C51))*10000</f>
        <v>-6.239449883920813</v>
      </c>
      <c r="D193" s="52">
        <f>(D192-(Inputs!E66/Inputs!E51))*10000</f>
        <v>-79.99054931288858</v>
      </c>
      <c r="E193" s="52">
        <f>(E192-(Inputs!F66/Inputs!F51))*10000</f>
        <v>-25.98251041096903</v>
      </c>
      <c r="F193" s="52">
        <f>(F192-(Inputs!G66/Inputs!G51))*10000</f>
        <v>18.349293291961068</v>
      </c>
      <c r="G193" s="52">
        <f>(G192-(Inputs!H66/Inputs!H51))*10000</f>
        <v>-19.64474549840405</v>
      </c>
      <c r="H193" s="53"/>
      <c r="I193" s="1"/>
      <c r="J193" s="1"/>
      <c r="K193" s="1"/>
      <c r="L193" s="1"/>
    </row>
    <row r="194" ht="15" customHeight="1">
      <c r="A194" s="1"/>
      <c r="B194" s="50" t="s">
        <v>115</v>
      </c>
      <c r="C194" s="52">
        <f>(C192-(Inputs!H66/Inputs!H51))*10000</f>
        <v>64.50954831641353</v>
      </c>
      <c r="D194" s="54">
        <f t="shared" si="12"/>
        <v>250.517517412517</v>
      </c>
      <c r="E194" s="54"/>
      <c r="F194" s="54">
        <f t="shared" si="14"/>
        <v>-306.6149188013404</v>
      </c>
      <c r="G194" s="54">
        <f t="shared" si="12"/>
        <v>-28.05689242599413</v>
      </c>
      <c r="H194" s="53"/>
      <c r="I194" s="1"/>
      <c r="J194" s="1"/>
      <c r="K194" s="1"/>
      <c r="L194" s="1"/>
    </row>
    <row r="195" ht="15" customHeight="1">
      <c r="A195" s="1"/>
      <c r="B195" s="1"/>
      <c r="C195" s="1"/>
      <c r="D195" s="1"/>
      <c r="E195" s="1"/>
      <c r="F195" s="1"/>
      <c r="G195" s="1"/>
      <c r="H195" s="45"/>
      <c r="I195" s="1"/>
      <c r="J195" s="1"/>
      <c r="K195" s="1"/>
      <c r="L19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F28ED28-6442-AC03-9C17-9FD21B9EE49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75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248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153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7" t="s">
        <v>143</v>
      </c>
      <c r="C10" s="22">
        <f>Inputs!H68</f>
        <v>21620</v>
      </c>
      <c r="D10" s="23">
        <f t="shared" si="0" ref="D10:H10">C21</f>
        <v>23703</v>
      </c>
      <c r="E10" s="22">
        <f>Inputs!F68</f>
        <v>23209</v>
      </c>
      <c r="F10" s="23">
        <f>D21</f>
        <v>26201</v>
      </c>
      <c r="G10" s="23">
        <f t="shared" si="0"/>
        <v>25805</v>
      </c>
      <c r="H10" s="48">
        <f t="shared" si="0"/>
        <v>26981</v>
      </c>
      <c r="I10" s="1"/>
      <c r="J10" s="1" t="s">
        <v>154</v>
      </c>
      <c r="K10" s="1"/>
      <c r="L10" s="1"/>
    </row>
    <row r="11" ht="15" customHeight="1">
      <c r="A11" s="1"/>
      <c r="B11" s="50" t="s">
        <v>111</v>
      </c>
      <c r="C11" s="24"/>
      <c r="D11" s="24"/>
      <c r="E11" s="24"/>
      <c r="F11" s="42">
        <f>F10/Inputs!G67-1</f>
        <v>0.12891550691542064</v>
      </c>
      <c r="G11" s="42">
        <f>G10/Inputs!H67-1</f>
        <v>0.11367657848172286</v>
      </c>
      <c r="H11" s="49">
        <f t="shared" si="3" ref="H11:H170">H10/C10-1</f>
        <v>0.2479648473635523</v>
      </c>
      <c r="I11" s="1"/>
      <c r="J11" s="1"/>
      <c r="K11" s="1"/>
      <c r="L11" s="1"/>
    </row>
    <row r="12" ht="15" customHeight="1">
      <c r="A12" s="1"/>
      <c r="B12" s="56" t="s">
        <v>144</v>
      </c>
      <c r="C12" s="22">
        <f>C10-Inputs!H67</f>
        <v>-1551</v>
      </c>
      <c r="D12" s="23">
        <f t="shared" si="1" ref="D12:H191">D10-C10</f>
        <v>2083</v>
      </c>
      <c r="E12" s="23"/>
      <c r="F12" s="23">
        <f t="shared" si="4" ref="F12:F191">F10-D10</f>
        <v>2498</v>
      </c>
      <c r="G12" s="23">
        <f t="shared" si="1"/>
        <v>-396</v>
      </c>
      <c r="H12" s="48">
        <f t="shared" si="1"/>
        <v>1176</v>
      </c>
      <c r="I12" s="1"/>
      <c r="J12" s="1"/>
      <c r="K12" s="1"/>
      <c r="L12" s="1"/>
    </row>
    <row r="13" ht="15" customHeight="1">
      <c r="A13" s="1"/>
      <c r="B13" s="17" t="s">
        <v>155</v>
      </c>
      <c r="C13" s="23">
        <f t="shared" si="2" ref="C13:G13">C21-C10+C49</f>
        <v>4781</v>
      </c>
      <c r="D13" s="23">
        <f t="shared" si="2"/>
        <v>5357</v>
      </c>
      <c r="E13" s="23">
        <f t="shared" si="2"/>
        <v>13763</v>
      </c>
      <c r="F13" s="23">
        <f t="shared" si="2"/>
        <v>2084</v>
      </c>
      <c r="G13" s="23">
        <f t="shared" si="2"/>
        <v>3929</v>
      </c>
      <c r="H13" s="48">
        <f>H49*H41</f>
        <v>2806.024</v>
      </c>
      <c r="I13" s="1"/>
      <c r="J13" s="1" t="s">
        <v>156</v>
      </c>
      <c r="K13" s="1"/>
      <c r="L13" s="1"/>
    </row>
    <row r="14" ht="15" customHeight="1">
      <c r="A14" s="1"/>
      <c r="B14" s="50" t="s">
        <v>111</v>
      </c>
      <c r="C14" s="24"/>
      <c r="D14" s="24"/>
      <c r="E14" s="24"/>
      <c r="F14" s="42">
        <f>F13/(Inputs!G68-Inputs!G67+Inputs!G70)-1</f>
        <v>-0.17628458498023714</v>
      </c>
      <c r="G14" s="42">
        <f>G13/(Inputs!H68-Inputs!H67+Inputs!H70)-1</f>
        <v>2.5881278538812786</v>
      </c>
      <c r="H14" s="49">
        <f t="shared" si="3"/>
        <v>-0.4130884752143903</v>
      </c>
      <c r="I14" s="1"/>
      <c r="J14" s="1"/>
      <c r="K14" s="1"/>
      <c r="L14" s="1"/>
    </row>
    <row r="15" ht="15" customHeight="1">
      <c r="A15" s="1"/>
      <c r="B15" s="56" t="s">
        <v>144</v>
      </c>
      <c r="C15" s="22">
        <f>C13-(Inputs!H68-Inputs!H67+Inputs!H70)</f>
        <v>3686</v>
      </c>
      <c r="D15" s="23">
        <f t="shared" si="1"/>
        <v>576</v>
      </c>
      <c r="E15" s="23"/>
      <c r="F15" s="23">
        <f t="shared" si="4"/>
        <v>-3273</v>
      </c>
      <c r="G15" s="23">
        <f t="shared" si="1"/>
        <v>1845</v>
      </c>
      <c r="H15" s="48">
        <f t="shared" si="1"/>
        <v>-1122.976</v>
      </c>
      <c r="I15" s="1"/>
      <c r="J15" s="1"/>
      <c r="K15" s="1"/>
      <c r="L15" s="1"/>
    </row>
    <row r="16" ht="15" customHeight="1">
      <c r="A16" s="1"/>
      <c r="B16" s="17" t="s">
        <v>157</v>
      </c>
      <c r="C16" s="23">
        <f t="shared" si="5" ref="C16:H16">-C49</f>
        <v>-2698</v>
      </c>
      <c r="D16" s="23">
        <f t="shared" si="5"/>
        <v>-2859</v>
      </c>
      <c r="E16" s="23">
        <f t="shared" si="5"/>
        <v>-10771</v>
      </c>
      <c r="F16" s="23">
        <f t="shared" si="5"/>
        <v>-2480</v>
      </c>
      <c r="G16" s="23">
        <f t="shared" si="5"/>
        <v>-2753</v>
      </c>
      <c r="H16" s="48">
        <f t="shared" si="5"/>
        <v>-2806.024</v>
      </c>
      <c r="I16" s="1"/>
      <c r="J16" s="1"/>
      <c r="K16" s="1"/>
      <c r="L16" s="1"/>
    </row>
    <row r="17" ht="15" customHeight="1">
      <c r="A17" s="1"/>
      <c r="B17" s="50" t="s">
        <v>111</v>
      </c>
      <c r="C17" s="42">
        <f>C16/(-Inputs!C70)-1</f>
        <v>-0.05993031358885015</v>
      </c>
      <c r="D17" s="42">
        <f>D16/(-Inputs!E70)-1</f>
        <v>0.05498154981549819</v>
      </c>
      <c r="E17" s="42">
        <f>E16/(-Inputs!F70)-1</f>
        <v>-0.08183445571562531</v>
      </c>
      <c r="F17" s="42">
        <f>F16/(-Inputs!G70)-1</f>
        <v>-0.034267912772585674</v>
      </c>
      <c r="G17" s="42">
        <f>G16/(-Inputs!H70)-1</f>
        <v>0.04043839758125478</v>
      </c>
      <c r="H17" s="49">
        <f t="shared" si="3"/>
        <v>0.04003854707190513</v>
      </c>
      <c r="I17" s="1"/>
      <c r="J17" s="1"/>
      <c r="K17" s="1"/>
      <c r="L17" s="1"/>
    </row>
    <row r="18" ht="15" customHeight="1">
      <c r="A18" s="1"/>
      <c r="B18" s="56" t="s">
        <v>144</v>
      </c>
      <c r="C18" s="22">
        <f>C16-(-Inputs!H70)</f>
        <v>-52</v>
      </c>
      <c r="D18" s="23">
        <f t="shared" si="1"/>
        <v>-161</v>
      </c>
      <c r="E18" s="23"/>
      <c r="F18" s="23">
        <f t="shared" si="4"/>
        <v>379</v>
      </c>
      <c r="G18" s="23">
        <f t="shared" si="1"/>
        <v>-273</v>
      </c>
      <c r="H18" s="48">
        <f t="shared" si="1"/>
        <v>-53.02399999999989</v>
      </c>
      <c r="I18" s="1"/>
      <c r="J18" s="1"/>
      <c r="K18" s="1"/>
      <c r="L18" s="1"/>
    </row>
    <row r="19" ht="15" customHeight="1">
      <c r="A19" s="1"/>
      <c r="B19" s="28" t="s">
        <v>158</v>
      </c>
      <c r="C19" s="46">
        <f t="shared" si="6" ref="C19:H19">C13+C16</f>
        <v>2083</v>
      </c>
      <c r="D19" s="46">
        <f t="shared" si="6"/>
        <v>2498</v>
      </c>
      <c r="E19" s="46">
        <f t="shared" si="6"/>
        <v>2992</v>
      </c>
      <c r="F19" s="46">
        <f t="shared" si="6"/>
        <v>-396</v>
      </c>
      <c r="G19" s="46">
        <f t="shared" si="6"/>
        <v>1176</v>
      </c>
      <c r="H19" s="47">
        <f t="shared" si="6"/>
        <v>0</v>
      </c>
      <c r="I19" s="1"/>
      <c r="J19" s="1"/>
      <c r="K19" s="1"/>
      <c r="L19" s="1"/>
    </row>
    <row r="20" ht="15" customHeight="1">
      <c r="A20" s="1"/>
      <c r="B20" s="56" t="s">
        <v>144</v>
      </c>
      <c r="C20" s="22">
        <f>C19-((Inputs!H68-Inputs!H67+Inputs!H70)-Inputs!H70)</f>
        <v>3634</v>
      </c>
      <c r="D20" s="23">
        <f t="shared" si="7" ref="D20:H20">D19-C19</f>
        <v>415</v>
      </c>
      <c r="E20" s="23"/>
      <c r="F20" s="23">
        <f>F19-D19</f>
        <v>-2894</v>
      </c>
      <c r="G20" s="23">
        <f t="shared" si="7"/>
        <v>1572</v>
      </c>
      <c r="H20" s="48">
        <f t="shared" si="7"/>
        <v>-1176</v>
      </c>
      <c r="I20" s="1"/>
      <c r="J20" s="1"/>
      <c r="K20" s="1"/>
      <c r="L20" s="1"/>
    </row>
    <row r="21" ht="15" customHeight="1">
      <c r="A21" s="1"/>
      <c r="B21" s="4" t="s">
        <v>146</v>
      </c>
      <c r="C21" s="65">
        <v>23703</v>
      </c>
      <c r="D21" s="65">
        <v>26201</v>
      </c>
      <c r="E21" s="46">
        <f t="shared" si="9" ref="E21:E27">D21</f>
        <v>26201</v>
      </c>
      <c r="F21" s="65">
        <v>25805</v>
      </c>
      <c r="G21" s="65">
        <v>26981</v>
      </c>
      <c r="H21" s="47">
        <f>H10+H13-H49</f>
        <v>26981</v>
      </c>
      <c r="I21" s="1"/>
      <c r="J21" s="1" t="s">
        <v>159</v>
      </c>
      <c r="K21" s="1"/>
      <c r="L21" s="1"/>
    </row>
    <row r="22" ht="15" customHeight="1">
      <c r="A22" s="1"/>
      <c r="B22" s="50" t="s">
        <v>111</v>
      </c>
      <c r="C22" s="24"/>
      <c r="D22" s="42">
        <f>D21/Inputs!E68-1</f>
        <v>0.12891550691542064</v>
      </c>
      <c r="E22" s="42">
        <f>E21/Inputs!F68-1</f>
        <v>0.12891550691542064</v>
      </c>
      <c r="F22" s="42">
        <f>F21/Inputs!G68-1</f>
        <v>0.11367657848172286</v>
      </c>
      <c r="G22" s="42">
        <f>G21/Inputs!H68-1</f>
        <v>0.2479648473635523</v>
      </c>
      <c r="H22" s="49">
        <f t="shared" si="3"/>
        <v>0.13829473062481545</v>
      </c>
      <c r="I22" s="1"/>
      <c r="J22" s="1"/>
      <c r="K22" s="1"/>
      <c r="L22" s="1"/>
    </row>
    <row r="23" ht="15" customHeight="1">
      <c r="A23" s="1"/>
      <c r="B23" s="56" t="s">
        <v>144</v>
      </c>
      <c r="C23" s="22">
        <f>C21-Inputs!H68</f>
        <v>2083</v>
      </c>
      <c r="D23" s="23">
        <f t="shared" si="1"/>
        <v>2498</v>
      </c>
      <c r="E23" s="23"/>
      <c r="F23" s="23">
        <f t="shared" si="4"/>
        <v>-396</v>
      </c>
      <c r="G23" s="23">
        <f t="shared" si="1"/>
        <v>1176</v>
      </c>
      <c r="H23" s="48">
        <f t="shared" si="1"/>
        <v>0</v>
      </c>
      <c r="I23" s="1"/>
      <c r="J23" s="1"/>
      <c r="K23" s="1"/>
      <c r="L23" s="1"/>
    </row>
    <row r="24" ht="15" customHeight="1">
      <c r="A24" s="1"/>
      <c r="B24" s="17" t="s">
        <v>160</v>
      </c>
      <c r="C24" s="23">
        <f t="shared" si="8" ref="C24:H24">AVERAGE(C10,C21)</f>
        <v>22661.5</v>
      </c>
      <c r="D24" s="23">
        <f t="shared" si="8"/>
        <v>24952</v>
      </c>
      <c r="E24" s="23">
        <f t="shared" si="8"/>
        <v>24705</v>
      </c>
      <c r="F24" s="23">
        <f t="shared" si="8"/>
        <v>26003</v>
      </c>
      <c r="G24" s="23">
        <f t="shared" si="8"/>
        <v>26393</v>
      </c>
      <c r="H24" s="48">
        <f t="shared" si="8"/>
        <v>26981</v>
      </c>
      <c r="I24" s="1"/>
      <c r="J24" s="1"/>
      <c r="K24" s="1"/>
      <c r="L24" s="1"/>
    </row>
    <row r="25" ht="15" customHeight="1">
      <c r="A25" s="1"/>
      <c r="B25" s="50" t="s">
        <v>111</v>
      </c>
      <c r="C25" s="24"/>
      <c r="D25" s="24"/>
      <c r="E25" s="24"/>
      <c r="F25" s="42">
        <f>F24/((Inputs!G67+Inputs!G68)/2)-1</f>
        <v>0.12130228546787403</v>
      </c>
      <c r="G25" s="42">
        <f>G24/((Inputs!H67+Inputs!H68)/2)-1</f>
        <v>0.17849567993570137</v>
      </c>
      <c r="H25" s="49">
        <f t="shared" si="3"/>
        <v>0.19060962425258698</v>
      </c>
      <c r="I25" s="1"/>
      <c r="J25" s="1"/>
      <c r="K25" s="1"/>
      <c r="L25" s="1"/>
    </row>
    <row r="26" ht="15" customHeight="1">
      <c r="A26" s="1"/>
      <c r="B26" s="56" t="s">
        <v>144</v>
      </c>
      <c r="C26" s="22">
        <f>C24-((Inputs!H67+Inputs!H68)/2)</f>
        <v>266</v>
      </c>
      <c r="D26" s="23">
        <f t="shared" si="1"/>
        <v>2290.5</v>
      </c>
      <c r="E26" s="23"/>
      <c r="F26" s="23">
        <f t="shared" si="4"/>
        <v>1051</v>
      </c>
      <c r="G26" s="23">
        <f t="shared" si="1"/>
        <v>390</v>
      </c>
      <c r="H26" s="48">
        <f t="shared" si="1"/>
        <v>588</v>
      </c>
      <c r="I26" s="1"/>
      <c r="J26" s="1"/>
      <c r="K26" s="1"/>
      <c r="L26" s="1"/>
    </row>
    <row r="27" ht="15" customHeight="1">
      <c r="A27" s="1"/>
      <c r="B27" s="17" t="s">
        <v>161</v>
      </c>
      <c r="C27" s="33">
        <v>7100</v>
      </c>
      <c r="D27" s="33">
        <v>9083</v>
      </c>
      <c r="E27" s="23">
        <f t="shared" si="9"/>
        <v>9083</v>
      </c>
      <c r="F27" s="33">
        <v>10426</v>
      </c>
      <c r="G27" s="33">
        <v>10281</v>
      </c>
      <c r="H27" s="48"/>
      <c r="I27" s="1"/>
      <c r="J27" s="1" t="s">
        <v>162</v>
      </c>
      <c r="K27" s="1"/>
      <c r="L27" s="1"/>
    </row>
    <row r="28" ht="15" customHeight="1">
      <c r="A28" s="1"/>
      <c r="B28" s="50" t="s">
        <v>111</v>
      </c>
      <c r="C28" s="24"/>
      <c r="D28" s="24"/>
      <c r="E28" s="24"/>
      <c r="F28" s="42">
        <f>F27/Inputs!G69-1</f>
        <v>0.41503800217155273</v>
      </c>
      <c r="G28" s="42">
        <f>G27/Inputs!H69-1</f>
        <v>0.5119117647058824</v>
      </c>
      <c r="H28" s="49"/>
      <c r="I28" s="1"/>
      <c r="J28" s="1"/>
      <c r="K28" s="1"/>
      <c r="L28" s="1"/>
    </row>
    <row r="29" ht="15" customHeight="1">
      <c r="A29" s="1"/>
      <c r="B29" s="56" t="s">
        <v>144</v>
      </c>
      <c r="C29" s="22">
        <f>C27-Inputs!H69</f>
        <v>300</v>
      </c>
      <c r="D29" s="23">
        <f t="shared" si="1"/>
        <v>1983</v>
      </c>
      <c r="E29" s="23"/>
      <c r="F29" s="23">
        <f t="shared" si="4"/>
        <v>1343</v>
      </c>
      <c r="G29" s="23">
        <f t="shared" si="1"/>
        <v>-145</v>
      </c>
      <c r="H29" s="48"/>
      <c r="I29" s="1"/>
      <c r="J29" s="1"/>
      <c r="K29" s="1"/>
      <c r="L29" s="1"/>
    </row>
    <row r="30" ht="15" customHeight="1">
      <c r="A30" s="1"/>
      <c r="B30" s="17" t="s">
        <v>163</v>
      </c>
      <c r="C30" s="23">
        <f t="shared" si="10" ref="C30:G30">C21-C27</f>
        <v>16603</v>
      </c>
      <c r="D30" s="23">
        <f t="shared" si="10"/>
        <v>17118</v>
      </c>
      <c r="E30" s="23">
        <f t="shared" si="10"/>
        <v>17118</v>
      </c>
      <c r="F30" s="23">
        <f t="shared" si="10"/>
        <v>15379</v>
      </c>
      <c r="G30" s="23">
        <f t="shared" si="10"/>
        <v>16700</v>
      </c>
      <c r="H30" s="48"/>
      <c r="I30" s="1"/>
      <c r="J30" s="1"/>
      <c r="K30" s="1"/>
      <c r="L30" s="1"/>
    </row>
    <row r="31" ht="15" customHeight="1">
      <c r="A31" s="1"/>
      <c r="B31" s="50" t="s">
        <v>111</v>
      </c>
      <c r="C31" s="24"/>
      <c r="D31" s="24"/>
      <c r="E31" s="24"/>
      <c r="F31" s="42">
        <f>F30/(Inputs!G68-Inputs!G69)-1</f>
        <v>-0.026830348667974402</v>
      </c>
      <c r="G31" s="42">
        <f>G30/(Inputs!H68-Inputs!H69)-1</f>
        <v>0.12685560053981115</v>
      </c>
      <c r="H31" s="49"/>
      <c r="I31" s="1"/>
      <c r="J31" s="1"/>
      <c r="K31" s="1"/>
      <c r="L31" s="1"/>
    </row>
    <row r="32" ht="15" customHeight="1">
      <c r="A32" s="1"/>
      <c r="B32" s="56" t="s">
        <v>144</v>
      </c>
      <c r="C32" s="22">
        <f>C30-(Inputs!H68-Inputs!H69)</f>
        <v>1783</v>
      </c>
      <c r="D32" s="23">
        <f t="shared" si="1"/>
        <v>515</v>
      </c>
      <c r="E32" s="23"/>
      <c r="F32" s="23">
        <f t="shared" si="4"/>
        <v>-1739</v>
      </c>
      <c r="G32" s="23">
        <f t="shared" si="1"/>
        <v>1321</v>
      </c>
      <c r="H32" s="48"/>
      <c r="I32" s="1"/>
      <c r="J32" s="1"/>
      <c r="K32" s="1"/>
      <c r="L32" s="1"/>
    </row>
    <row r="33" ht="15" customHeight="1">
      <c r="A33" s="1"/>
      <c r="B33" s="35" t="s">
        <v>164</v>
      </c>
      <c r="C33" s="24">
        <f t="shared" si="11" ref="C33:G33">C27/C21</f>
        <v>0.2995401425979834</v>
      </c>
      <c r="D33" s="24">
        <f t="shared" si="11"/>
        <v>0.3466661577802374</v>
      </c>
      <c r="E33" s="24">
        <f t="shared" si="11"/>
        <v>0.3466661577802374</v>
      </c>
      <c r="F33" s="24">
        <f t="shared" si="11"/>
        <v>0.4040302267002519</v>
      </c>
      <c r="G33" s="24">
        <f t="shared" si="11"/>
        <v>0.3810459212038101</v>
      </c>
      <c r="H33" s="49"/>
      <c r="I33" s="1"/>
      <c r="J33" s="1"/>
      <c r="K33" s="1"/>
      <c r="L33" s="1"/>
    </row>
    <row r="34" ht="15" customHeight="1">
      <c r="A34" s="1"/>
      <c r="B34" s="50" t="s">
        <v>114</v>
      </c>
      <c r="C34" s="54"/>
      <c r="D34" s="54"/>
      <c r="E34" s="54"/>
      <c r="F34" s="52">
        <f>(F33-(Inputs!G69/Inputs!G68))*10000</f>
        <v>860.4654019556934</v>
      </c>
      <c r="G34" s="52">
        <f>(G33-(Inputs!H69/Inputs!H68))*10000</f>
        <v>665.2233193461487</v>
      </c>
      <c r="H34" s="53"/>
      <c r="I34" s="1"/>
      <c r="J34" s="1"/>
      <c r="K34" s="1"/>
      <c r="L34" s="1"/>
    </row>
    <row r="35" ht="15" customHeight="1">
      <c r="A35" s="1"/>
      <c r="B35" s="50" t="s">
        <v>115</v>
      </c>
      <c r="C35" s="52">
        <f>(C33-(Inputs!H69/Inputs!H68))*10000</f>
        <v>-149.8344667121182</v>
      </c>
      <c r="D35" s="54">
        <f t="shared" si="12" ref="D35:H194">(D33-C33)*10000</f>
        <v>471.2601518225401</v>
      </c>
      <c r="E35" s="54"/>
      <c r="F35" s="54">
        <f t="shared" si="14" ref="F35:F194">(F33-D33)*10000</f>
        <v>573.640689200145</v>
      </c>
      <c r="G35" s="54">
        <f t="shared" si="12"/>
        <v>-229.84305496441814</v>
      </c>
      <c r="H35" s="53"/>
      <c r="I35" s="1"/>
      <c r="J35" s="1"/>
      <c r="K35" s="1"/>
      <c r="L35" s="1"/>
    </row>
    <row r="36" ht="15" customHeight="1">
      <c r="A36" s="1"/>
      <c r="B36" s="1"/>
      <c r="C36" s="1"/>
      <c r="D36" s="1"/>
      <c r="E36" s="1"/>
      <c r="F36" s="1"/>
      <c r="G36" s="1"/>
      <c r="H36" s="45"/>
      <c r="I36" s="1"/>
      <c r="J36" s="1"/>
      <c r="K36" s="1"/>
      <c r="L36" s="1"/>
    </row>
    <row r="37" ht="15" customHeight="1">
      <c r="A37" s="1"/>
      <c r="B37" s="4" t="s">
        <v>165</v>
      </c>
      <c r="C37" s="34"/>
      <c r="D37" s="34"/>
      <c r="E37" s="34"/>
      <c r="F37" s="34"/>
      <c r="G37" s="34"/>
      <c r="H37" s="32"/>
      <c r="I37" s="1"/>
      <c r="J37" s="1"/>
      <c r="K37" s="1"/>
      <c r="L37" s="1"/>
    </row>
    <row r="38" ht="15" customHeight="1">
      <c r="A38" s="1"/>
      <c r="B38" s="35" t="s">
        <v>166</v>
      </c>
      <c r="C38" s="24">
        <f t="shared" si="13" ref="C38:G38">C49/C10</f>
        <v>0.12479185938945421</v>
      </c>
      <c r="D38" s="24">
        <f t="shared" si="13"/>
        <v>0.12061764333628655</v>
      </c>
      <c r="E38" s="24">
        <f t="shared" si="13"/>
        <v>0.46408720754879573</v>
      </c>
      <c r="F38" s="24">
        <f t="shared" si="13"/>
        <v>0.09465287584443342</v>
      </c>
      <c r="G38" s="24">
        <f t="shared" si="13"/>
        <v>0.10668475101724471</v>
      </c>
      <c r="H38" s="57">
        <v>0.104</v>
      </c>
      <c r="I38" s="1"/>
      <c r="J38" s="1" t="s">
        <v>167</v>
      </c>
      <c r="K38" s="1"/>
      <c r="L38" s="1"/>
    </row>
    <row r="39" ht="15" customHeight="1">
      <c r="A39" s="1"/>
      <c r="B39" s="50" t="s">
        <v>114</v>
      </c>
      <c r="C39" s="54"/>
      <c r="D39" s="54"/>
      <c r="E39" s="54"/>
      <c r="F39" s="52">
        <f>(F38-(Inputs!G70/Inputs!G67))*10000</f>
        <v>-159.9385602682342</v>
      </c>
      <c r="G39" s="52">
        <f>(G38-(Inputs!H70/Inputs!H67))*10000</f>
        <v>-75.09716204713773</v>
      </c>
      <c r="H39" s="53">
        <f t="shared" si="20" ref="H39:H167">(H38-C38)*10000</f>
        <v>-207.91859389454214</v>
      </c>
      <c r="I39" s="1"/>
      <c r="J39" s="1"/>
      <c r="K39" s="1"/>
      <c r="L39" s="1"/>
    </row>
    <row r="40" ht="15" customHeight="1">
      <c r="A40" s="1"/>
      <c r="B40" s="50" t="s">
        <v>115</v>
      </c>
      <c r="C40" s="52">
        <f>(C38-(Inputs!H70/Inputs!H67))*10000</f>
        <v>105.97392167495723</v>
      </c>
      <c r="D40" s="54">
        <f t="shared" si="12"/>
        <v>-41.74216053167659</v>
      </c>
      <c r="E40" s="54"/>
      <c r="F40" s="54">
        <f t="shared" si="14"/>
        <v>-259.64767491853127</v>
      </c>
      <c r="G40" s="54">
        <f t="shared" si="12"/>
        <v>120.3187517281129</v>
      </c>
      <c r="H40" s="53">
        <f t="shared" si="12"/>
        <v>-26.847510172447187</v>
      </c>
      <c r="I40" s="1"/>
      <c r="J40" s="1"/>
      <c r="K40" s="1"/>
      <c r="L40" s="1"/>
    </row>
    <row r="41" ht="15" customHeight="1">
      <c r="A41" s="1"/>
      <c r="B41" s="17" t="s">
        <v>168</v>
      </c>
      <c r="C41" s="60">
        <f t="shared" si="15" ref="C41:G41">C13/C49</f>
        <v>1.7720533728687917</v>
      </c>
      <c r="D41" s="60">
        <f t="shared" si="15"/>
        <v>1.8737320741518013</v>
      </c>
      <c r="E41" s="60">
        <f t="shared" si="15"/>
        <v>1.27778293566057</v>
      </c>
      <c r="F41" s="60">
        <f t="shared" si="15"/>
        <v>0.8403225806451613</v>
      </c>
      <c r="G41" s="60">
        <f t="shared" si="15"/>
        <v>1.4271703596077008</v>
      </c>
      <c r="H41" s="66">
        <v>1</v>
      </c>
      <c r="I41" s="1"/>
      <c r="J41" s="1" t="s">
        <v>169</v>
      </c>
      <c r="K41" s="1"/>
      <c r="L41" s="1"/>
    </row>
    <row r="42" ht="15" customHeight="1">
      <c r="A42" s="1"/>
      <c r="B42" s="50" t="s">
        <v>149</v>
      </c>
      <c r="C42" s="62"/>
      <c r="D42" s="62"/>
      <c r="E42" s="62"/>
      <c r="F42" s="63">
        <f>F41-((Inputs!G68-Inputs!G67+Inputs!G70)/Inputs!G70)</f>
        <v>-0.14487991156667668</v>
      </c>
      <c r="G42" s="63">
        <f>G41-((Inputs!H68-Inputs!H67+Inputs!H70)/Inputs!H70)</f>
        <v>1.0133381600612155</v>
      </c>
      <c r="H42" s="64">
        <f t="shared" si="17" ref="H42:H45">H41-C41</f>
        <v>-0.7720533728687917</v>
      </c>
      <c r="I42" s="1"/>
      <c r="J42" s="1"/>
      <c r="K42" s="1"/>
      <c r="L42" s="1"/>
    </row>
    <row r="43" ht="15" customHeight="1">
      <c r="A43" s="1"/>
      <c r="B43" s="50" t="s">
        <v>150</v>
      </c>
      <c r="C43" s="63">
        <f>C41-((Inputs!H68-Inputs!H67+Inputs!H70)/Inputs!H70)</f>
        <v>1.3582211733223064</v>
      </c>
      <c r="D43" s="62">
        <f t="shared" si="1"/>
        <v>0.1016787012830096</v>
      </c>
      <c r="E43" s="62"/>
      <c r="F43" s="62">
        <f t="shared" si="4"/>
        <v>-1.03340949350664</v>
      </c>
      <c r="G43" s="62">
        <f t="shared" si="1"/>
        <v>0.5868477789625395</v>
      </c>
      <c r="H43" s="64">
        <f t="shared" si="1"/>
        <v>-0.4271703596077008</v>
      </c>
      <c r="I43" s="1"/>
      <c r="J43" s="1"/>
      <c r="K43" s="1"/>
      <c r="L43" s="1"/>
    </row>
    <row r="44" ht="15" customHeight="1">
      <c r="A44" s="1"/>
      <c r="B44" s="17" t="s">
        <v>170</v>
      </c>
      <c r="C44" s="60">
        <f t="shared" si="16" ref="C44:H44">C21/C49</f>
        <v>8.785396590066716</v>
      </c>
      <c r="D44" s="60">
        <f t="shared" si="16"/>
        <v>9.164393144456103</v>
      </c>
      <c r="E44" s="60"/>
      <c r="F44" s="60">
        <f t="shared" si="16"/>
        <v>10.40524193548387</v>
      </c>
      <c r="G44" s="60">
        <f t="shared" si="16"/>
        <v>9.800581184162732</v>
      </c>
      <c r="H44" s="61">
        <f t="shared" si="16"/>
        <v>9.615384615384615</v>
      </c>
      <c r="I44" s="1"/>
      <c r="J44" s="1" t="s">
        <v>171</v>
      </c>
      <c r="K44" s="1"/>
      <c r="L44" s="1"/>
    </row>
    <row r="45" ht="15" customHeight="1">
      <c r="A45" s="1"/>
      <c r="B45" s="50" t="s">
        <v>149</v>
      </c>
      <c r="C45" s="62"/>
      <c r="D45" s="63">
        <f>D44-(Inputs!E68/Inputs!E70)</f>
        <v>0.6001865023896826</v>
      </c>
      <c r="E45" s="62"/>
      <c r="F45" s="63">
        <f>F44-(Inputs!G68/Inputs!G70)</f>
        <v>1.38226685760225</v>
      </c>
      <c r="G45" s="63">
        <f>G44-(Inputs!H68/Inputs!H70)</f>
        <v>1.6297572990531322</v>
      </c>
      <c r="H45" s="64">
        <f t="shared" si="17"/>
        <v>0.8299880253178991</v>
      </c>
      <c r="I45" s="1"/>
      <c r="J45" s="1"/>
      <c r="K45" s="1"/>
      <c r="L45" s="1"/>
    </row>
    <row r="46" ht="15" customHeight="1">
      <c r="A46" s="1"/>
      <c r="B46" s="50" t="s">
        <v>150</v>
      </c>
      <c r="C46" s="63">
        <f>C44-(Inputs!H68/Inputs!H70)</f>
        <v>0.6145727049571157</v>
      </c>
      <c r="D46" s="62">
        <f t="shared" si="1"/>
        <v>0.37899655438938673</v>
      </c>
      <c r="E46" s="62"/>
      <c r="F46" s="62">
        <f t="shared" si="4"/>
        <v>1.2408487910277675</v>
      </c>
      <c r="G46" s="62">
        <f t="shared" si="1"/>
        <v>-0.6046607513211377</v>
      </c>
      <c r="H46" s="64">
        <f t="shared" si="1"/>
        <v>-0.1851965687781174</v>
      </c>
      <c r="I46" s="1"/>
      <c r="J46" s="1"/>
      <c r="K46" s="1"/>
      <c r="L46" s="1"/>
    </row>
    <row r="47" ht="15" customHeight="1">
      <c r="A47" s="1"/>
      <c r="B47" s="1"/>
      <c r="C47" s="1"/>
      <c r="D47" s="1"/>
      <c r="E47" s="1"/>
      <c r="F47" s="1"/>
      <c r="G47" s="1"/>
      <c r="H47" s="45"/>
      <c r="I47" s="1"/>
      <c r="J47" s="1"/>
      <c r="K47" s="1"/>
      <c r="L47" s="1"/>
    </row>
    <row r="48" ht="15" customHeight="1">
      <c r="A48" s="1"/>
      <c r="B48" s="4" t="s">
        <v>172</v>
      </c>
      <c r="C48" s="34"/>
      <c r="D48" s="34"/>
      <c r="E48" s="34"/>
      <c r="F48" s="34"/>
      <c r="G48" s="34"/>
      <c r="H48" s="32"/>
      <c r="I48" s="1"/>
      <c r="J48" s="1"/>
      <c r="K48" s="1"/>
      <c r="L48" s="1"/>
    </row>
    <row r="49" ht="15" customHeight="1">
      <c r="A49" s="1"/>
      <c r="B49" s="4" t="s">
        <v>249</v>
      </c>
      <c r="C49" s="67">
        <v>2698</v>
      </c>
      <c r="D49" s="67">
        <v>2859</v>
      </c>
      <c r="E49" s="67">
        <v>10771</v>
      </c>
      <c r="F49" s="67">
        <v>2480</v>
      </c>
      <c r="G49" s="67">
        <v>2753</v>
      </c>
      <c r="H49" s="68">
        <f>H10*H38</f>
        <v>2806.024</v>
      </c>
      <c r="I49" s="1"/>
      <c r="J49" s="1" t="s">
        <v>174</v>
      </c>
      <c r="K49" s="1"/>
      <c r="L49" s="1"/>
    </row>
    <row r="50" ht="15" customHeight="1">
      <c r="A50" s="1"/>
      <c r="B50" s="50" t="s">
        <v>111</v>
      </c>
      <c r="C50" s="42">
        <f>C49/Inputs!C70-1</f>
        <v>-0.05993031358885015</v>
      </c>
      <c r="D50" s="42">
        <f>D49/Inputs!E70-1</f>
        <v>0.05498154981549819</v>
      </c>
      <c r="E50" s="42">
        <f>E49/Inputs!F70-1</f>
        <v>-0.08183445571562531</v>
      </c>
      <c r="F50" s="42">
        <f>F49/Inputs!G70-1</f>
        <v>-0.034267912772585674</v>
      </c>
      <c r="G50" s="42">
        <f>G49/Inputs!H70-1</f>
        <v>0.04043839758125478</v>
      </c>
      <c r="H50" s="49">
        <f t="shared" si="3"/>
        <v>0.04003854707190513</v>
      </c>
      <c r="I50" s="1"/>
      <c r="J50" s="1"/>
      <c r="K50" s="1"/>
      <c r="L50" s="1"/>
    </row>
    <row r="51" ht="15" customHeight="1">
      <c r="A51" s="1"/>
      <c r="B51" s="56" t="s">
        <v>144</v>
      </c>
      <c r="C51" s="22">
        <f>C49-Inputs!H70</f>
        <v>52</v>
      </c>
      <c r="D51" s="23">
        <f t="shared" si="1"/>
        <v>161</v>
      </c>
      <c r="E51" s="23"/>
      <c r="F51" s="23">
        <f t="shared" si="4"/>
        <v>-379</v>
      </c>
      <c r="G51" s="23">
        <f t="shared" si="1"/>
        <v>273</v>
      </c>
      <c r="H51" s="48">
        <f t="shared" si="1"/>
        <v>53.02399999999989</v>
      </c>
      <c r="I51" s="1"/>
      <c r="J51" s="1"/>
      <c r="K51" s="1"/>
      <c r="L51" s="1"/>
    </row>
    <row r="52" ht="15" customHeight="1">
      <c r="A52" s="1"/>
      <c r="B52" s="56" t="s">
        <v>175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69">
        <v>0</v>
      </c>
      <c r="I52" s="1"/>
      <c r="J52" s="1" t="s">
        <v>176</v>
      </c>
      <c r="K52" s="1"/>
      <c r="L52" s="1"/>
    </row>
    <row r="53" ht="15" customHeight="1">
      <c r="A53" s="1"/>
      <c r="B53" s="50" t="s">
        <v>177</v>
      </c>
      <c r="C53" s="42">
        <f>(C49-C52)/(Inputs!C70-Inputs!C71)-1</f>
        <v>-0.05993031358885015</v>
      </c>
      <c r="D53" s="42">
        <f>(D49-D52)/(Inputs!E70-Inputs!E71)-1</f>
        <v>0.05498154981549819</v>
      </c>
      <c r="E53" s="42">
        <f>(E49-E52)/(Inputs!F70-Inputs!F71)-1</f>
        <v>-0.08183445571562531</v>
      </c>
      <c r="F53" s="42">
        <f>(F49-F52)/(Inputs!G70-Inputs!G71)-1</f>
        <v>-0.034267912772585674</v>
      </c>
      <c r="G53" s="42">
        <f>(G49-G52)/(Inputs!H70-Inputs!H71)-1</f>
        <v>0.04043839758125478</v>
      </c>
      <c r="H53" s="49">
        <f>(H49-H52)/(C49-C52)-1</f>
        <v>0.04003854707190513</v>
      </c>
      <c r="I53" s="1"/>
      <c r="J53" s="1"/>
      <c r="K53" s="1"/>
      <c r="L53" s="1"/>
    </row>
    <row r="54" ht="15" customHeight="1">
      <c r="A54" s="1"/>
      <c r="B54" s="50" t="s">
        <v>117</v>
      </c>
      <c r="C54" s="24">
        <f t="shared" si="18" ref="C54:H54">(1+C50)/(1+C53)-1</f>
        <v>0</v>
      </c>
      <c r="D54" s="24">
        <f t="shared" si="18"/>
        <v>0</v>
      </c>
      <c r="E54" s="24">
        <f t="shared" si="18"/>
        <v>0</v>
      </c>
      <c r="F54" s="24">
        <f t="shared" si="18"/>
        <v>0</v>
      </c>
      <c r="G54" s="24">
        <f t="shared" si="18"/>
        <v>0</v>
      </c>
      <c r="H54" s="49">
        <f t="shared" si="18"/>
        <v>0</v>
      </c>
      <c r="I54" s="1"/>
      <c r="J54" s="1"/>
      <c r="K54" s="1"/>
      <c r="L54" s="1"/>
    </row>
    <row r="55" ht="15" customHeight="1">
      <c r="A55" s="1"/>
      <c r="B55" s="56" t="s">
        <v>118</v>
      </c>
      <c r="C55" s="34" t="s">
        <v>38</v>
      </c>
      <c r="D55" s="34" t="s">
        <v>38</v>
      </c>
      <c r="E55" s="34" t="s">
        <v>38</v>
      </c>
      <c r="F55" s="34" t="s">
        <v>38</v>
      </c>
      <c r="G55" s="34" t="s">
        <v>38</v>
      </c>
      <c r="H55" s="32" t="s">
        <v>38</v>
      </c>
      <c r="I55" s="1"/>
      <c r="J55" s="1" t="s">
        <v>178</v>
      </c>
      <c r="K55" s="1"/>
      <c r="L55" s="1"/>
    </row>
    <row r="56" ht="15" customHeight="1">
      <c r="A56" s="1"/>
      <c r="B56" s="35" t="s">
        <v>179</v>
      </c>
      <c r="C56" s="24">
        <f t="shared" si="19" ref="C56:G56">C59/C49</f>
        <v>0.05077835433654559</v>
      </c>
      <c r="D56" s="24">
        <f t="shared" si="19"/>
        <v>0.04861839804127317</v>
      </c>
      <c r="E56" s="24">
        <f t="shared" si="19"/>
        <v>0.04697799647200817</v>
      </c>
      <c r="F56" s="24">
        <f t="shared" si="19"/>
        <v>0.06895161290322581</v>
      </c>
      <c r="G56" s="24">
        <f t="shared" si="19"/>
        <v>0.0650199782055939</v>
      </c>
      <c r="H56" s="57">
        <v>0.06</v>
      </c>
      <c r="I56" s="1"/>
      <c r="J56" s="1" t="s">
        <v>180</v>
      </c>
      <c r="K56" s="1"/>
      <c r="L56" s="1"/>
    </row>
    <row r="57" ht="15" customHeight="1">
      <c r="A57" s="1"/>
      <c r="B57" s="50" t="s">
        <v>114</v>
      </c>
      <c r="C57" s="52">
        <f>(C56-(Inputs!C72/Inputs!C70))*10000</f>
        <v>134.96124371388794</v>
      </c>
      <c r="D57" s="52">
        <f>(D56-(Inputs!E72/Inputs!E70))*10000</f>
        <v>117.18029037583136</v>
      </c>
      <c r="E57" s="52">
        <f>(E56-(Inputs!F72/Inputs!F70))*10000</f>
        <v>118.57375894052329</v>
      </c>
      <c r="F57" s="52">
        <f>(F56-(Inputs!G72/Inputs!G70))*10000</f>
        <v>280.6376243593609</v>
      </c>
      <c r="G57" s="52">
        <f>(G56-(Inputs!H72/Inputs!H70))*10000</f>
        <v>177.78859535903794</v>
      </c>
      <c r="H57" s="53">
        <f t="shared" si="20"/>
        <v>92.2164566345441</v>
      </c>
      <c r="I57" s="1"/>
      <c r="J57" s="1"/>
      <c r="K57" s="1"/>
      <c r="L57" s="1"/>
    </row>
    <row r="58" ht="15" customHeight="1">
      <c r="A58" s="1"/>
      <c r="B58" s="50" t="s">
        <v>115</v>
      </c>
      <c r="C58" s="52">
        <f>(C56-(Inputs!H72/Inputs!H70))*10000</f>
        <v>35.37235666855487</v>
      </c>
      <c r="D58" s="54">
        <f t="shared" si="12"/>
        <v>-21.599562952724153</v>
      </c>
      <c r="E58" s="54"/>
      <c r="F58" s="54">
        <f t="shared" si="14"/>
        <v>203.33214861952638</v>
      </c>
      <c r="G58" s="54">
        <f t="shared" si="12"/>
        <v>-39.31634697631914</v>
      </c>
      <c r="H58" s="53">
        <f t="shared" si="12"/>
        <v>-50.199782055938975</v>
      </c>
      <c r="I58" s="1"/>
      <c r="J58" s="1"/>
      <c r="K58" s="1"/>
      <c r="L58" s="1"/>
    </row>
    <row r="59" ht="15" customHeight="1">
      <c r="A59" s="1"/>
      <c r="B59" s="17" t="s">
        <v>181</v>
      </c>
      <c r="C59" s="33">
        <v>137</v>
      </c>
      <c r="D59" s="22">
        <f>E59-Inputs!D188</f>
        <v>139</v>
      </c>
      <c r="E59" s="33">
        <v>506</v>
      </c>
      <c r="F59" s="33">
        <v>171</v>
      </c>
      <c r="G59" s="33">
        <v>179</v>
      </c>
      <c r="H59" s="48">
        <f>H49*H56</f>
        <v>168.36144</v>
      </c>
      <c r="I59" s="1"/>
      <c r="J59" s="1" t="s">
        <v>182</v>
      </c>
      <c r="K59" s="1"/>
      <c r="L59" s="1"/>
    </row>
    <row r="60" ht="15" customHeight="1">
      <c r="A60" s="1"/>
      <c r="B60" s="50" t="s">
        <v>111</v>
      </c>
      <c r="C60" s="42">
        <f>C59/Inputs!C72-1</f>
        <v>0.28037383177570097</v>
      </c>
      <c r="D60" s="42">
        <f>D59/Inputs!E72-1</f>
        <v>0.3899999999999999</v>
      </c>
      <c r="E60" s="42">
        <f>E59/Inputs!F72-1</f>
        <v>0.22815533980582514</v>
      </c>
      <c r="F60" s="42">
        <f>F59/Inputs!G72-1</f>
        <v>0.6285714285714286</v>
      </c>
      <c r="G60" s="42">
        <f>G59/Inputs!H72-1</f>
        <v>0.43199999999999994</v>
      </c>
      <c r="H60" s="49">
        <f t="shared" si="3"/>
        <v>0.2289156204379561</v>
      </c>
      <c r="I60" s="1"/>
      <c r="J60" s="1"/>
      <c r="K60" s="1"/>
      <c r="L60" s="1"/>
    </row>
    <row r="61" ht="15" customHeight="1">
      <c r="A61" s="1"/>
      <c r="B61" s="56" t="s">
        <v>144</v>
      </c>
      <c r="C61" s="22">
        <f>C59-Inputs!H72</f>
        <v>12</v>
      </c>
      <c r="D61" s="23">
        <f t="shared" si="1"/>
        <v>2</v>
      </c>
      <c r="E61" s="23"/>
      <c r="F61" s="23">
        <f t="shared" si="4"/>
        <v>32</v>
      </c>
      <c r="G61" s="23">
        <f t="shared" si="1"/>
        <v>8</v>
      </c>
      <c r="H61" s="48">
        <f t="shared" si="1"/>
        <v>-10.638560000000012</v>
      </c>
      <c r="I61" s="1"/>
      <c r="J61" s="1"/>
      <c r="K61" s="1"/>
      <c r="L61" s="1"/>
    </row>
    <row r="62" ht="15" customHeight="1">
      <c r="A62" s="1"/>
      <c r="B62" s="50" t="s">
        <v>119</v>
      </c>
      <c r="C62" s="24">
        <f t="shared" si="21" ref="C62:H147">C60</f>
        <v>0.28037383177570097</v>
      </c>
      <c r="D62" s="24">
        <f t="shared" si="21"/>
        <v>0.3899999999999999</v>
      </c>
      <c r="E62" s="24">
        <f t="shared" si="21"/>
        <v>0.22815533980582514</v>
      </c>
      <c r="F62" s="24">
        <f t="shared" si="21"/>
        <v>0.6285714285714286</v>
      </c>
      <c r="G62" s="24">
        <f t="shared" si="21"/>
        <v>0.43199999999999994</v>
      </c>
      <c r="H62" s="49">
        <f t="shared" si="21"/>
        <v>0.2289156204379561</v>
      </c>
      <c r="I62" s="1"/>
      <c r="J62" s="1" t="s">
        <v>183</v>
      </c>
      <c r="K62" s="1"/>
      <c r="L62" s="1"/>
    </row>
    <row r="63" ht="15" customHeight="1">
      <c r="A63" s="1"/>
      <c r="B63" s="50" t="s">
        <v>117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57">
        <v>0</v>
      </c>
      <c r="I63" s="1"/>
      <c r="J63" s="1" t="s">
        <v>184</v>
      </c>
      <c r="K63" s="1"/>
      <c r="L63" s="1"/>
    </row>
    <row r="64" ht="15" customHeight="1">
      <c r="A64" s="1"/>
      <c r="B64" s="56" t="s">
        <v>118</v>
      </c>
      <c r="C64" s="34" t="s">
        <v>38</v>
      </c>
      <c r="D64" s="34" t="s">
        <v>38</v>
      </c>
      <c r="E64" s="34" t="s">
        <v>38</v>
      </c>
      <c r="F64" s="34" t="s">
        <v>38</v>
      </c>
      <c r="G64" s="34" t="s">
        <v>38</v>
      </c>
      <c r="H64" s="32" t="s">
        <v>38</v>
      </c>
      <c r="I64" s="1"/>
      <c r="J64" s="1"/>
      <c r="K64" s="1"/>
      <c r="L64" s="1"/>
    </row>
    <row r="65" ht="15" customHeight="1">
      <c r="A65" s="1"/>
      <c r="B65" s="4" t="s">
        <v>185</v>
      </c>
      <c r="C65" s="46">
        <f t="shared" si="22" ref="C65:H65">C49-C59</f>
        <v>2561</v>
      </c>
      <c r="D65" s="46">
        <f t="shared" si="22"/>
        <v>2720</v>
      </c>
      <c r="E65" s="46">
        <f t="shared" si="22"/>
        <v>10265</v>
      </c>
      <c r="F65" s="46">
        <f t="shared" si="22"/>
        <v>2309</v>
      </c>
      <c r="G65" s="46">
        <f t="shared" si="22"/>
        <v>2574</v>
      </c>
      <c r="H65" s="47">
        <f t="shared" si="22"/>
        <v>2637.6625599999998</v>
      </c>
      <c r="I65" s="1"/>
      <c r="J65" s="1"/>
      <c r="K65" s="1"/>
      <c r="L65" s="1"/>
    </row>
    <row r="66" ht="15" customHeight="1">
      <c r="A66" s="1"/>
      <c r="B66" s="50" t="s">
        <v>111</v>
      </c>
      <c r="C66" s="42">
        <f>C65/(Inputs!C70-Inputs!C72)-1</f>
        <v>-0.07310893955845099</v>
      </c>
      <c r="D66" s="42">
        <f>D65/(Inputs!E70-Inputs!E72)-1</f>
        <v>0.04214559386973171</v>
      </c>
      <c r="E66" s="42">
        <f>E65/(Inputs!F70-Inputs!F72)-1</f>
        <v>-0.09311776658715432</v>
      </c>
      <c r="F66" s="42">
        <f>F65/(Inputs!G70-Inputs!G72)-1</f>
        <v>-0.06252537555826232</v>
      </c>
      <c r="G66" s="42">
        <f>G65/(Inputs!H70-Inputs!H72)-1</f>
        <v>0.021023403411344788</v>
      </c>
      <c r="H66" s="49">
        <f t="shared" si="3"/>
        <v>0.029934619289339937</v>
      </c>
      <c r="I66" s="1"/>
      <c r="J66" s="1"/>
      <c r="K66" s="1"/>
      <c r="L66" s="1"/>
    </row>
    <row r="67" ht="15" customHeight="1">
      <c r="A67" s="1"/>
      <c r="B67" s="56" t="s">
        <v>144</v>
      </c>
      <c r="C67" s="22">
        <f>C65-(Inputs!H70-Inputs!H72)</f>
        <v>40</v>
      </c>
      <c r="D67" s="23">
        <f t="shared" si="1"/>
        <v>159</v>
      </c>
      <c r="E67" s="23"/>
      <c r="F67" s="23">
        <f t="shared" si="4"/>
        <v>-411</v>
      </c>
      <c r="G67" s="23">
        <f t="shared" si="1"/>
        <v>265</v>
      </c>
      <c r="H67" s="48">
        <f t="shared" si="1"/>
        <v>63.66255999999976</v>
      </c>
      <c r="I67" s="1"/>
      <c r="J67" s="1"/>
      <c r="K67" s="1"/>
      <c r="L67" s="1"/>
    </row>
    <row r="68" ht="15" customHeight="1">
      <c r="A68" s="1"/>
      <c r="B68" s="50" t="s">
        <v>119</v>
      </c>
      <c r="C68" s="24">
        <f t="shared" si="21"/>
        <v>-0.07310893955845099</v>
      </c>
      <c r="D68" s="24">
        <f t="shared" si="21"/>
        <v>0.04214559386973171</v>
      </c>
      <c r="E68" s="24">
        <f t="shared" si="21"/>
        <v>-0.09311776658715432</v>
      </c>
      <c r="F68" s="24">
        <f t="shared" si="21"/>
        <v>-0.06252537555826232</v>
      </c>
      <c r="G68" s="24">
        <f t="shared" si="21"/>
        <v>0.021023403411344788</v>
      </c>
      <c r="H68" s="49">
        <f t="shared" si="21"/>
        <v>0.029934619289339937</v>
      </c>
      <c r="I68" s="1"/>
      <c r="J68" s="1" t="s">
        <v>186</v>
      </c>
      <c r="K68" s="1"/>
      <c r="L68" s="1"/>
    </row>
    <row r="69" ht="15" customHeight="1">
      <c r="A69" s="1"/>
      <c r="B69" s="50" t="s">
        <v>117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57">
        <v>0</v>
      </c>
      <c r="I69" s="1"/>
      <c r="J69" s="1" t="s">
        <v>184</v>
      </c>
      <c r="K69" s="1"/>
      <c r="L69" s="1"/>
    </row>
    <row r="70" ht="15" customHeight="1">
      <c r="A70" s="1"/>
      <c r="B70" s="56" t="s">
        <v>118</v>
      </c>
      <c r="C70" s="34" t="s">
        <v>38</v>
      </c>
      <c r="D70" s="34" t="s">
        <v>38</v>
      </c>
      <c r="E70" s="34" t="s">
        <v>38</v>
      </c>
      <c r="F70" s="34" t="s">
        <v>38</v>
      </c>
      <c r="G70" s="34" t="s">
        <v>38</v>
      </c>
      <c r="H70" s="32" t="s">
        <v>38</v>
      </c>
      <c r="I70" s="1"/>
      <c r="J70" s="1"/>
      <c r="K70" s="1"/>
      <c r="L70" s="1"/>
    </row>
    <row r="71" ht="15" customHeight="1">
      <c r="A71" s="1"/>
      <c r="B71" s="1"/>
      <c r="C71" s="1"/>
      <c r="D71" s="1"/>
      <c r="E71" s="1"/>
      <c r="F71" s="1"/>
      <c r="G71" s="1"/>
      <c r="H71" s="45"/>
      <c r="I71" s="1"/>
      <c r="J71" s="1"/>
      <c r="K71" s="1"/>
      <c r="L71" s="1"/>
    </row>
    <row r="72" ht="15" customHeight="1">
      <c r="A72" s="1"/>
      <c r="B72" s="4" t="s">
        <v>187</v>
      </c>
      <c r="C72" s="34"/>
      <c r="D72" s="34"/>
      <c r="E72" s="34"/>
      <c r="F72" s="34"/>
      <c r="G72" s="34"/>
      <c r="H72" s="32"/>
      <c r="I72" s="1"/>
      <c r="J72" s="1"/>
      <c r="K72" s="1"/>
      <c r="L72" s="1"/>
    </row>
    <row r="73" ht="15" customHeight="1">
      <c r="A73" s="1"/>
      <c r="B73" s="17" t="s">
        <v>124</v>
      </c>
      <c r="C73" s="33">
        <v>2366</v>
      </c>
      <c r="D73" s="22">
        <f>E73-Inputs!D189</f>
        <v>2486</v>
      </c>
      <c r="E73" s="33">
        <v>9510</v>
      </c>
      <c r="F73" s="33">
        <v>2200</v>
      </c>
      <c r="G73" s="33">
        <v>2500</v>
      </c>
      <c r="H73" s="48">
        <f>H65*H93</f>
        <v>2537.489923417807</v>
      </c>
      <c r="I73" s="1"/>
      <c r="J73" s="1" t="s">
        <v>188</v>
      </c>
      <c r="K73" s="1"/>
      <c r="L73" s="1"/>
    </row>
    <row r="74" ht="15" customHeight="1">
      <c r="A74" s="1"/>
      <c r="B74" s="50" t="s">
        <v>111</v>
      </c>
      <c r="C74" s="42">
        <f>C73/Inputs!C74-1</f>
        <v>-0.0920951650038373</v>
      </c>
      <c r="D74" s="42">
        <f>D73/Inputs!E74-1</f>
        <v>0.015108207431604681</v>
      </c>
      <c r="E74" s="42">
        <f>E73/Inputs!F74-1</f>
        <v>-0.11071628950813539</v>
      </c>
      <c r="F74" s="42">
        <f>F73/Inputs!G74-1</f>
        <v>-0.04720658293633606</v>
      </c>
      <c r="G74" s="42">
        <f>G73/Inputs!H74-1</f>
        <v>0.0642826734780757</v>
      </c>
      <c r="H74" s="49">
        <f t="shared" si="3"/>
        <v>0.07248094819011275</v>
      </c>
      <c r="I74" s="1"/>
      <c r="J74" s="1"/>
      <c r="K74" s="1"/>
      <c r="L74" s="1"/>
    </row>
    <row r="75" ht="15" customHeight="1">
      <c r="A75" s="1"/>
      <c r="B75" s="56" t="s">
        <v>144</v>
      </c>
      <c r="C75" s="22">
        <f>C73-Inputs!H74</f>
        <v>17</v>
      </c>
      <c r="D75" s="23">
        <f t="shared" si="1"/>
        <v>120</v>
      </c>
      <c r="E75" s="23"/>
      <c r="F75" s="23">
        <f t="shared" si="4"/>
        <v>-286</v>
      </c>
      <c r="G75" s="23">
        <f t="shared" si="1"/>
        <v>300</v>
      </c>
      <c r="H75" s="48">
        <f t="shared" si="1"/>
        <v>37.48992341780695</v>
      </c>
      <c r="I75" s="1"/>
      <c r="J75" s="1"/>
      <c r="K75" s="1"/>
      <c r="L75" s="1"/>
    </row>
    <row r="76" ht="15" customHeight="1">
      <c r="A76" s="1"/>
      <c r="B76" s="50" t="s">
        <v>119</v>
      </c>
      <c r="C76" s="24">
        <f t="shared" si="21"/>
        <v>-0.0920951650038373</v>
      </c>
      <c r="D76" s="24">
        <f t="shared" si="21"/>
        <v>0.015108207431604681</v>
      </c>
      <c r="E76" s="24">
        <f t="shared" si="21"/>
        <v>-0.11071628950813539</v>
      </c>
      <c r="F76" s="24">
        <f t="shared" si="21"/>
        <v>-0.04720658293633606</v>
      </c>
      <c r="G76" s="24">
        <f t="shared" si="21"/>
        <v>0.0642826734780757</v>
      </c>
      <c r="H76" s="49">
        <f t="shared" si="21"/>
        <v>0.07248094819011275</v>
      </c>
      <c r="I76" s="1"/>
      <c r="J76" s="1" t="s">
        <v>189</v>
      </c>
      <c r="K76" s="1"/>
      <c r="L76" s="1"/>
    </row>
    <row r="77" ht="15" customHeight="1">
      <c r="A77" s="1"/>
      <c r="B77" s="50" t="s">
        <v>117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57">
        <v>0</v>
      </c>
      <c r="I77" s="1"/>
      <c r="J77" s="1" t="s">
        <v>184</v>
      </c>
      <c r="K77" s="1"/>
      <c r="L77" s="1"/>
    </row>
    <row r="78" ht="15" customHeight="1">
      <c r="A78" s="1"/>
      <c r="B78" s="56" t="s">
        <v>118</v>
      </c>
      <c r="C78" s="34" t="s">
        <v>38</v>
      </c>
      <c r="D78" s="34" t="s">
        <v>38</v>
      </c>
      <c r="E78" s="34" t="s">
        <v>38</v>
      </c>
      <c r="F78" s="34" t="s">
        <v>38</v>
      </c>
      <c r="G78" s="34" t="s">
        <v>38</v>
      </c>
      <c r="H78" s="32" t="s">
        <v>38</v>
      </c>
      <c r="I78" s="1"/>
      <c r="J78" s="1"/>
      <c r="K78" s="1"/>
      <c r="L78" s="1"/>
    </row>
    <row r="79" ht="15" customHeight="1">
      <c r="A79" s="1"/>
      <c r="B79" s="17" t="s">
        <v>127</v>
      </c>
      <c r="C79" s="33">
        <v>63</v>
      </c>
      <c r="D79" s="22">
        <f>E79-Inputs!D190</f>
        <v>49</v>
      </c>
      <c r="E79" s="33">
        <v>203</v>
      </c>
      <c r="F79" s="33">
        <v>42</v>
      </c>
      <c r="G79" s="33">
        <v>49</v>
      </c>
      <c r="H79" s="48">
        <f>H65*H96</f>
        <v>49.09509222025363</v>
      </c>
      <c r="I79" s="1"/>
      <c r="J79" s="1" t="s">
        <v>188</v>
      </c>
      <c r="K79" s="1"/>
      <c r="L79" s="1"/>
    </row>
    <row r="80" ht="15" customHeight="1">
      <c r="A80" s="1"/>
      <c r="B80" s="50" t="s">
        <v>111</v>
      </c>
      <c r="C80" s="42">
        <f>C79/Inputs!C75-1</f>
        <v>0.26</v>
      </c>
      <c r="D80" s="42">
        <f>D79/Inputs!E75-1</f>
        <v>0.19512195121951215</v>
      </c>
      <c r="E80" s="42">
        <f>E79/Inputs!F75-1</f>
        <v>-0.04245283018867929</v>
      </c>
      <c r="F80" s="42">
        <f>F79/Inputs!G75-1</f>
        <v>-0.045454545454545414</v>
      </c>
      <c r="G80" s="42">
        <f>G79/Inputs!H75-1</f>
        <v>0.042553191489361764</v>
      </c>
      <c r="H80" s="49">
        <f t="shared" si="3"/>
        <v>-0.22071282190073593</v>
      </c>
      <c r="I80" s="1"/>
      <c r="J80" s="1"/>
      <c r="K80" s="1"/>
      <c r="L80" s="1"/>
    </row>
    <row r="81" ht="15" customHeight="1">
      <c r="A81" s="1"/>
      <c r="B81" s="56" t="s">
        <v>144</v>
      </c>
      <c r="C81" s="22">
        <f>C79-Inputs!H75</f>
        <v>16</v>
      </c>
      <c r="D81" s="23">
        <f t="shared" si="1"/>
        <v>-14</v>
      </c>
      <c r="E81" s="23"/>
      <c r="F81" s="23">
        <f t="shared" si="4"/>
        <v>-7</v>
      </c>
      <c r="G81" s="23">
        <f t="shared" si="1"/>
        <v>7</v>
      </c>
      <c r="H81" s="48">
        <f t="shared" si="1"/>
        <v>0.09509222025363329</v>
      </c>
      <c r="I81" s="1"/>
      <c r="J81" s="1"/>
      <c r="K81" s="1"/>
      <c r="L81" s="1"/>
    </row>
    <row r="82" ht="15" customHeight="1">
      <c r="A82" s="1"/>
      <c r="B82" s="50" t="s">
        <v>119</v>
      </c>
      <c r="C82" s="24">
        <f t="shared" si="21"/>
        <v>0.26</v>
      </c>
      <c r="D82" s="24">
        <f t="shared" si="21"/>
        <v>0.19512195121951215</v>
      </c>
      <c r="E82" s="24">
        <f t="shared" si="21"/>
        <v>-0.04245283018867929</v>
      </c>
      <c r="F82" s="24">
        <f t="shared" si="21"/>
        <v>-0.045454545454545414</v>
      </c>
      <c r="G82" s="24">
        <f t="shared" si="21"/>
        <v>0.042553191489361764</v>
      </c>
      <c r="H82" s="49">
        <f t="shared" si="21"/>
        <v>-0.22071282190073593</v>
      </c>
      <c r="I82" s="1"/>
      <c r="J82" s="1" t="s">
        <v>190</v>
      </c>
      <c r="K82" s="1"/>
      <c r="L82" s="1"/>
    </row>
    <row r="83" ht="15" customHeight="1">
      <c r="A83" s="1"/>
      <c r="B83" s="50" t="s">
        <v>117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57">
        <v>0</v>
      </c>
      <c r="I83" s="1"/>
      <c r="J83" s="1" t="s">
        <v>184</v>
      </c>
      <c r="K83" s="1"/>
      <c r="L83" s="1"/>
    </row>
    <row r="84" ht="15" customHeight="1">
      <c r="A84" s="1"/>
      <c r="B84" s="56" t="s">
        <v>118</v>
      </c>
      <c r="C84" s="34" t="s">
        <v>38</v>
      </c>
      <c r="D84" s="34" t="s">
        <v>38</v>
      </c>
      <c r="E84" s="34" t="s">
        <v>38</v>
      </c>
      <c r="F84" s="34" t="s">
        <v>38</v>
      </c>
      <c r="G84" s="34" t="s">
        <v>38</v>
      </c>
      <c r="H84" s="32" t="s">
        <v>38</v>
      </c>
      <c r="I84" s="1"/>
      <c r="J84" s="1"/>
      <c r="K84" s="1"/>
      <c r="L84" s="1"/>
    </row>
    <row r="85" ht="15" customHeight="1">
      <c r="A85" s="1"/>
      <c r="B85" s="17" t="s">
        <v>130</v>
      </c>
      <c r="C85" s="33">
        <v>132</v>
      </c>
      <c r="D85" s="22">
        <f>E85-Inputs!D191</f>
        <v>185</v>
      </c>
      <c r="E85" s="33">
        <v>552</v>
      </c>
      <c r="F85" s="33">
        <v>67</v>
      </c>
      <c r="G85" s="33">
        <v>25</v>
      </c>
      <c r="H85" s="48">
        <f>H65*H99</f>
        <v>51.077544361939</v>
      </c>
      <c r="I85" s="1"/>
      <c r="J85" s="1" t="s">
        <v>188</v>
      </c>
      <c r="K85" s="1"/>
      <c r="L85" s="1"/>
    </row>
    <row r="86" ht="15" customHeight="1">
      <c r="A86" s="1"/>
      <c r="B86" s="50" t="s">
        <v>111</v>
      </c>
      <c r="C86" s="42">
        <f>C85/Inputs!C76-1</f>
        <v>0.23364485981308403</v>
      </c>
      <c r="D86" s="42">
        <f>D85/Inputs!E76-1</f>
        <v>0.5416666666666667</v>
      </c>
      <c r="E86" s="42">
        <f>E85/Inputs!F76-1</f>
        <v>0.3365617433414043</v>
      </c>
      <c r="F86" s="42">
        <f>F85/Inputs!G76-1</f>
        <v>-0.3909090909090909</v>
      </c>
      <c r="G86" s="42">
        <f>G85/Inputs!H76-1</f>
        <v>-0.8</v>
      </c>
      <c r="H86" s="49">
        <f t="shared" si="3"/>
        <v>-0.613048906348947</v>
      </c>
      <c r="I86" s="1"/>
      <c r="J86" s="1"/>
      <c r="K86" s="1"/>
      <c r="L86" s="1"/>
    </row>
    <row r="87" ht="15" customHeight="1">
      <c r="A87" s="1"/>
      <c r="B87" s="56" t="s">
        <v>144</v>
      </c>
      <c r="C87" s="22">
        <f>C85-Inputs!H76</f>
        <v>7</v>
      </c>
      <c r="D87" s="23">
        <f t="shared" si="1"/>
        <v>53</v>
      </c>
      <c r="E87" s="23"/>
      <c r="F87" s="23">
        <f t="shared" si="4"/>
        <v>-118</v>
      </c>
      <c r="G87" s="23">
        <f t="shared" si="1"/>
        <v>-42</v>
      </c>
      <c r="H87" s="48">
        <f t="shared" si="1"/>
        <v>26.077544361938997</v>
      </c>
      <c r="I87" s="1"/>
      <c r="J87" s="1"/>
      <c r="K87" s="1"/>
      <c r="L87" s="1"/>
    </row>
    <row r="88" ht="15" customHeight="1">
      <c r="A88" s="1"/>
      <c r="B88" s="50" t="s">
        <v>119</v>
      </c>
      <c r="C88" s="24">
        <f t="shared" si="21"/>
        <v>0.23364485981308403</v>
      </c>
      <c r="D88" s="24">
        <f t="shared" si="21"/>
        <v>0.5416666666666667</v>
      </c>
      <c r="E88" s="24">
        <f t="shared" si="21"/>
        <v>0.3365617433414043</v>
      </c>
      <c r="F88" s="24">
        <f t="shared" si="21"/>
        <v>-0.3909090909090909</v>
      </c>
      <c r="G88" s="24">
        <f t="shared" si="21"/>
        <v>-0.8</v>
      </c>
      <c r="H88" s="49">
        <f t="shared" si="21"/>
        <v>-0.613048906348947</v>
      </c>
      <c r="I88" s="1"/>
      <c r="J88" s="1" t="s">
        <v>191</v>
      </c>
      <c r="K88" s="1"/>
      <c r="L88" s="1"/>
    </row>
    <row r="89" ht="15" customHeight="1">
      <c r="A89" s="1"/>
      <c r="B89" s="50" t="s">
        <v>117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57">
        <v>0</v>
      </c>
      <c r="I89" s="1"/>
      <c r="J89" s="1" t="s">
        <v>184</v>
      </c>
      <c r="K89" s="1"/>
      <c r="L89" s="1"/>
    </row>
    <row r="90" ht="15" customHeight="1">
      <c r="A90" s="1"/>
      <c r="B90" s="56" t="s">
        <v>118</v>
      </c>
      <c r="C90" s="34" t="s">
        <v>38</v>
      </c>
      <c r="D90" s="34" t="s">
        <v>38</v>
      </c>
      <c r="E90" s="34" t="s">
        <v>38</v>
      </c>
      <c r="F90" s="34" t="s">
        <v>38</v>
      </c>
      <c r="G90" s="34" t="s">
        <v>38</v>
      </c>
      <c r="H90" s="32" t="s">
        <v>38</v>
      </c>
      <c r="I90" s="1"/>
      <c r="J90" s="1"/>
      <c r="K90" s="1"/>
      <c r="L90" s="1"/>
    </row>
    <row r="91" ht="15" customHeight="1">
      <c r="A91" s="1"/>
      <c r="B91" s="4" t="s">
        <v>192</v>
      </c>
      <c r="C91" s="46">
        <f t="shared" si="23" ref="C91:H91">C73+C79+C85</f>
        <v>2561</v>
      </c>
      <c r="D91" s="46">
        <f t="shared" si="23"/>
        <v>2720</v>
      </c>
      <c r="E91" s="46">
        <f t="shared" si="23"/>
        <v>10265</v>
      </c>
      <c r="F91" s="46">
        <f t="shared" si="23"/>
        <v>2309</v>
      </c>
      <c r="G91" s="46">
        <f t="shared" si="23"/>
        <v>2574</v>
      </c>
      <c r="H91" s="47">
        <f t="shared" si="23"/>
        <v>2637.6625599999998</v>
      </c>
      <c r="I91" s="1"/>
      <c r="J91" s="1"/>
      <c r="K91" s="1"/>
      <c r="L91" s="1"/>
    </row>
    <row r="92" ht="15" customHeight="1">
      <c r="A92" s="1"/>
      <c r="B92" s="17" t="s">
        <v>193</v>
      </c>
      <c r="C92" s="23">
        <f t="shared" si="24" ref="C92:H92">C91-C65</f>
        <v>0</v>
      </c>
      <c r="D92" s="23">
        <f t="shared" si="24"/>
        <v>0</v>
      </c>
      <c r="E92" s="23">
        <f t="shared" si="24"/>
        <v>0</v>
      </c>
      <c r="F92" s="23">
        <f t="shared" si="24"/>
        <v>0</v>
      </c>
      <c r="G92" s="23">
        <f t="shared" si="24"/>
        <v>0</v>
      </c>
      <c r="H92" s="48">
        <f t="shared" si="24"/>
        <v>0</v>
      </c>
      <c r="I92" s="1"/>
      <c r="J92" s="1"/>
      <c r="K92" s="1"/>
      <c r="L92" s="1"/>
    </row>
    <row r="93" ht="15" customHeight="1">
      <c r="A93" s="1"/>
      <c r="B93" s="35" t="s">
        <v>194</v>
      </c>
      <c r="C93" s="24">
        <f t="shared" si="25" ref="C93:G93">C73/C65</f>
        <v>0.9238578680203046</v>
      </c>
      <c r="D93" s="24">
        <f t="shared" si="25"/>
        <v>0.9139705882352941</v>
      </c>
      <c r="E93" s="24">
        <f t="shared" si="25"/>
        <v>0.9264490988796883</v>
      </c>
      <c r="F93" s="24">
        <f t="shared" si="25"/>
        <v>0.9527934170636639</v>
      </c>
      <c r="G93" s="24">
        <f t="shared" si="25"/>
        <v>0.9712509712509713</v>
      </c>
      <c r="H93" s="49">
        <f>1-H96-H99</f>
        <v>0.9620221941573176</v>
      </c>
      <c r="I93" s="1"/>
      <c r="J93" s="1"/>
      <c r="K93" s="1"/>
      <c r="L93" s="1"/>
    </row>
    <row r="94" ht="15" customHeight="1">
      <c r="A94" s="1"/>
      <c r="B94" s="50" t="s">
        <v>114</v>
      </c>
      <c r="C94" s="52">
        <f>(C93-(Inputs!C74/(Inputs!C70-Inputs!C72)))*10000</f>
        <v>-193.19837372384518</v>
      </c>
      <c r="D94" s="52">
        <f>(D93-(Inputs!E74/(Inputs!E70-Inputs!E72)))*10000</f>
        <v>-243.4358800991665</v>
      </c>
      <c r="E94" s="52">
        <f>(E93-(Inputs!F74/(Inputs!F70-Inputs!F72)))*10000</f>
        <v>-183.3400916872585</v>
      </c>
      <c r="F94" s="52">
        <f>(F93-(Inputs!G74/(Inputs!G70-Inputs!G72)))*10000</f>
        <v>153.18792621926258</v>
      </c>
      <c r="G94" s="52">
        <f>(G93-(Inputs!H74/(Inputs!H70-Inputs!H72)))*10000</f>
        <v>394.77865340618257</v>
      </c>
      <c r="H94" s="53">
        <f t="shared" si="20"/>
        <v>381.6432613701304</v>
      </c>
      <c r="I94" s="1"/>
      <c r="J94" s="1"/>
      <c r="K94" s="1"/>
      <c r="L94" s="1"/>
    </row>
    <row r="95" ht="15" customHeight="1">
      <c r="A95" s="1"/>
      <c r="B95" s="50" t="s">
        <v>115</v>
      </c>
      <c r="C95" s="52">
        <f>(C93-(Inputs!H74/(Inputs!H70-Inputs!H72)))*10000</f>
        <v>-79.15237890048444</v>
      </c>
      <c r="D95" s="54">
        <f t="shared" si="12"/>
        <v>-98.87279785010472</v>
      </c>
      <c r="E95" s="54"/>
      <c r="F95" s="54">
        <f t="shared" si="14"/>
        <v>388.2282882836985</v>
      </c>
      <c r="G95" s="54">
        <f t="shared" si="12"/>
        <v>184.57554187307323</v>
      </c>
      <c r="H95" s="53">
        <f t="shared" si="12"/>
        <v>-92.28777093653662</v>
      </c>
      <c r="I95" s="1"/>
      <c r="J95" s="1"/>
      <c r="K95" s="1"/>
      <c r="L95" s="1"/>
    </row>
    <row r="96" ht="15" customHeight="1">
      <c r="A96" s="1"/>
      <c r="B96" s="35" t="s">
        <v>195</v>
      </c>
      <c r="C96" s="24">
        <f t="shared" si="26" ref="C96:G96">C79/C65</f>
        <v>0.024599765716516987</v>
      </c>
      <c r="D96" s="24">
        <f t="shared" si="26"/>
        <v>0.01801470588235294</v>
      </c>
      <c r="E96" s="24">
        <f t="shared" si="26"/>
        <v>0.019775937652216267</v>
      </c>
      <c r="F96" s="24">
        <f t="shared" si="26"/>
        <v>0.018189692507579038</v>
      </c>
      <c r="G96" s="24">
        <f t="shared" si="26"/>
        <v>0.019036519036519036</v>
      </c>
      <c r="H96" s="49">
        <f t="shared" si="28" ref="H96:H161">AVERAGE(F96,G96)</f>
        <v>0.018613105772049037</v>
      </c>
      <c r="I96" s="1"/>
      <c r="J96" s="1"/>
      <c r="K96" s="1"/>
      <c r="L96" s="1"/>
    </row>
    <row r="97" ht="15" customHeight="1">
      <c r="A97" s="1"/>
      <c r="B97" s="50" t="s">
        <v>114</v>
      </c>
      <c r="C97" s="52">
        <f>(C96-(Inputs!C75/(Inputs!C70-Inputs!C72)))*10000</f>
        <v>65.0349354858358</v>
      </c>
      <c r="D97" s="52">
        <f>(D96-(Inputs!E75/(Inputs!E70-Inputs!E72)))*10000</f>
        <v>23.058936218165424</v>
      </c>
      <c r="E97" s="52">
        <f>(E96-(Inputs!F75/(Inputs!F70-Inputs!F72)))*10000</f>
        <v>10.463679022383529</v>
      </c>
      <c r="F97" s="52">
        <f>(F96-(Inputs!G75/(Inputs!G70-Inputs!G72)))*10000</f>
        <v>3.2529949093267065</v>
      </c>
      <c r="G97" s="52">
        <f>(G96-(Inputs!H75/(Inputs!H70-Inputs!H72)))*10000</f>
        <v>3.9312355853411</v>
      </c>
      <c r="H97" s="53">
        <f t="shared" si="20"/>
        <v>-59.8665994446795</v>
      </c>
      <c r="I97" s="1"/>
      <c r="J97" s="1"/>
      <c r="K97" s="1"/>
      <c r="L97" s="1"/>
    </row>
    <row r="98" ht="15" customHeight="1">
      <c r="A98" s="1"/>
      <c r="B98" s="50" t="s">
        <v>115</v>
      </c>
      <c r="C98" s="52">
        <f>(C96-(Inputs!H75/(Inputs!H70-Inputs!H72)))*10000</f>
        <v>59.56370238532061</v>
      </c>
      <c r="D98" s="54">
        <f t="shared" si="12"/>
        <v>-65.85059834164048</v>
      </c>
      <c r="E98" s="54"/>
      <c r="F98" s="54">
        <f t="shared" si="14"/>
        <v>1.7498662522609856</v>
      </c>
      <c r="G98" s="54">
        <f t="shared" si="12"/>
        <v>8.468265289399978</v>
      </c>
      <c r="H98" s="53">
        <f t="shared" si="12"/>
        <v>-4.234132644699989</v>
      </c>
      <c r="I98" s="1"/>
      <c r="J98" s="1"/>
      <c r="K98" s="1"/>
      <c r="L98" s="1"/>
    </row>
    <row r="99" ht="15" customHeight="1">
      <c r="A99" s="1"/>
      <c r="B99" s="35" t="s">
        <v>196</v>
      </c>
      <c r="C99" s="24">
        <f t="shared" si="27" ref="C99:G99">C85/C65</f>
        <v>0.051542366263178443</v>
      </c>
      <c r="D99" s="24">
        <f t="shared" si="27"/>
        <v>0.06801470588235294</v>
      </c>
      <c r="E99" s="24">
        <f t="shared" si="27"/>
        <v>0.05377496346809547</v>
      </c>
      <c r="F99" s="24">
        <f t="shared" si="27"/>
        <v>0.029016890428757037</v>
      </c>
      <c r="G99" s="24">
        <f t="shared" si="27"/>
        <v>0.009712509712509712</v>
      </c>
      <c r="H99" s="49">
        <f t="shared" si="28"/>
        <v>0.019364700070633373</v>
      </c>
      <c r="I99" s="1"/>
      <c r="J99" s="1"/>
      <c r="K99" s="1"/>
      <c r="L99" s="1"/>
    </row>
    <row r="100" ht="15" customHeight="1">
      <c r="A100" s="1"/>
      <c r="B100" s="50" t="s">
        <v>114</v>
      </c>
      <c r="C100" s="52">
        <f>(C99-(Inputs!C76/(Inputs!C70-Inputs!C72)))*10000</f>
        <v>128.16343823800952</v>
      </c>
      <c r="D100" s="52">
        <f>(D99-(Inputs!E76/(Inputs!E70-Inputs!E72)))*10000</f>
        <v>220.3769438810006</v>
      </c>
      <c r="E100" s="52">
        <f>(E99-(Inputs!F76/(Inputs!F70-Inputs!F72)))*10000</f>
        <v>172.87641266487555</v>
      </c>
      <c r="F100" s="52">
        <f>(F99-(Inputs!G76/(Inputs!G70-Inputs!G72)))*10000</f>
        <v>-156.44092112858877</v>
      </c>
      <c r="G100" s="52">
        <f>(G99-(Inputs!H76/(Inputs!H70-Inputs!H72)))*10000</f>
        <v>-398.70988899152326</v>
      </c>
      <c r="H100" s="53">
        <f t="shared" si="20"/>
        <v>-321.7766619254507</v>
      </c>
      <c r="I100" s="1"/>
      <c r="J100" s="1"/>
      <c r="K100" s="1"/>
      <c r="L100" s="1"/>
    </row>
    <row r="101" ht="15" customHeight="1">
      <c r="A101" s="1"/>
      <c r="B101" s="50" t="s">
        <v>115</v>
      </c>
      <c r="C101" s="52">
        <f>(C99-(Inputs!H76/(Inputs!H70-Inputs!H72)))*10000</f>
        <v>19.588676515164064</v>
      </c>
      <c r="D101" s="54">
        <f t="shared" si="12"/>
        <v>164.7233961917449</v>
      </c>
      <c r="E101" s="54"/>
      <c r="F101" s="54">
        <f t="shared" si="14"/>
        <v>-389.978154535959</v>
      </c>
      <c r="G101" s="54">
        <f t="shared" si="12"/>
        <v>-193.04380716247326</v>
      </c>
      <c r="H101" s="53">
        <f t="shared" si="12"/>
        <v>96.5219035812366</v>
      </c>
      <c r="I101" s="1"/>
      <c r="J101" s="1"/>
      <c r="K101" s="1"/>
      <c r="L101" s="1"/>
    </row>
    <row r="102" ht="15" customHeight="1">
      <c r="A102" s="1"/>
      <c r="B102" s="1"/>
      <c r="C102" s="1"/>
      <c r="D102" s="1"/>
      <c r="E102" s="1"/>
      <c r="F102" s="1"/>
      <c r="G102" s="1"/>
      <c r="H102" s="45"/>
      <c r="I102" s="1"/>
      <c r="J102" s="1"/>
      <c r="K102" s="1"/>
      <c r="L102" s="1"/>
    </row>
    <row r="103" ht="15" customHeight="1">
      <c r="A103" s="1"/>
      <c r="B103" s="4" t="s">
        <v>197</v>
      </c>
      <c r="C103" s="34"/>
      <c r="D103" s="34"/>
      <c r="E103" s="34"/>
      <c r="F103" s="34"/>
      <c r="G103" s="34"/>
      <c r="H103" s="32"/>
      <c r="I103" s="1"/>
      <c r="J103" s="1"/>
      <c r="K103" s="1"/>
      <c r="L103" s="1"/>
    </row>
    <row r="104" ht="15" customHeight="1">
      <c r="A104" s="1"/>
      <c r="B104" s="17" t="s">
        <v>135</v>
      </c>
      <c r="C104" s="33">
        <v>1351</v>
      </c>
      <c r="D104" s="22">
        <f>E104-Inputs!D192</f>
        <v>1519</v>
      </c>
      <c r="E104" s="33">
        <v>5972</v>
      </c>
      <c r="F104" s="33">
        <v>1330</v>
      </c>
      <c r="G104" s="33">
        <v>1394</v>
      </c>
      <c r="H104" s="48">
        <f>H65*H118</f>
        <v>1473.8948077154391</v>
      </c>
      <c r="I104" s="1"/>
      <c r="J104" s="1" t="s">
        <v>198</v>
      </c>
      <c r="K104" s="1"/>
      <c r="L104" s="1"/>
    </row>
    <row r="105" ht="15" customHeight="1">
      <c r="A105" s="1"/>
      <c r="B105" s="50" t="s">
        <v>111</v>
      </c>
      <c r="C105" s="42">
        <f>C104/Inputs!C77-1</f>
        <v>-0.22799999999999998</v>
      </c>
      <c r="D105" s="42">
        <f>D104/Inputs!E77-1</f>
        <v>-0.03309993634627628</v>
      </c>
      <c r="E105" s="42">
        <f>E104/Inputs!F77-1</f>
        <v>-0.1468571428571429</v>
      </c>
      <c r="F105" s="42">
        <f>F104/Inputs!G77-1</f>
        <v>-0.13636363636363635</v>
      </c>
      <c r="G105" s="42">
        <f>G104/Inputs!H77-1</f>
        <v>-0.1075544174135723</v>
      </c>
      <c r="H105" s="49">
        <f t="shared" si="3"/>
        <v>0.09096580881971805</v>
      </c>
      <c r="I105" s="1"/>
      <c r="J105" s="1"/>
      <c r="K105" s="1"/>
      <c r="L105" s="1"/>
    </row>
    <row r="106" ht="15" customHeight="1">
      <c r="A106" s="1"/>
      <c r="B106" s="56" t="s">
        <v>144</v>
      </c>
      <c r="C106" s="22">
        <f>C104-Inputs!H77</f>
        <v>-211</v>
      </c>
      <c r="D106" s="23">
        <f t="shared" si="1"/>
        <v>168</v>
      </c>
      <c r="E106" s="23"/>
      <c r="F106" s="23">
        <f t="shared" si="4"/>
        <v>-189</v>
      </c>
      <c r="G106" s="23">
        <f t="shared" si="1"/>
        <v>64</v>
      </c>
      <c r="H106" s="48">
        <f t="shared" si="1"/>
        <v>79.89480771543913</v>
      </c>
      <c r="I106" s="1"/>
      <c r="J106" s="1"/>
      <c r="K106" s="1"/>
      <c r="L106" s="1"/>
    </row>
    <row r="107" ht="15" customHeight="1">
      <c r="A107" s="1"/>
      <c r="B107" s="50" t="s">
        <v>119</v>
      </c>
      <c r="C107" s="24">
        <f t="shared" si="21"/>
        <v>-0.22799999999999998</v>
      </c>
      <c r="D107" s="24">
        <f t="shared" si="21"/>
        <v>-0.03309993634627628</v>
      </c>
      <c r="E107" s="24">
        <f t="shared" si="21"/>
        <v>-0.1468571428571429</v>
      </c>
      <c r="F107" s="24">
        <f t="shared" si="21"/>
        <v>-0.13636363636363635</v>
      </c>
      <c r="G107" s="24">
        <f t="shared" si="21"/>
        <v>-0.1075544174135723</v>
      </c>
      <c r="H107" s="49">
        <f t="shared" si="21"/>
        <v>0.09096580881971805</v>
      </c>
      <c r="I107" s="1"/>
      <c r="J107" s="1" t="s">
        <v>199</v>
      </c>
      <c r="K107" s="1"/>
      <c r="L107" s="1"/>
    </row>
    <row r="108" ht="15" customHeight="1">
      <c r="A108" s="1"/>
      <c r="B108" s="50" t="s">
        <v>117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57">
        <v>0</v>
      </c>
      <c r="I108" s="1"/>
      <c r="J108" s="1" t="s">
        <v>184</v>
      </c>
      <c r="K108" s="1"/>
      <c r="L108" s="1"/>
    </row>
    <row r="109" ht="15" customHeight="1">
      <c r="A109" s="1"/>
      <c r="B109" s="56" t="s">
        <v>118</v>
      </c>
      <c r="C109" s="34" t="s">
        <v>38</v>
      </c>
      <c r="D109" s="34" t="s">
        <v>38</v>
      </c>
      <c r="E109" s="34" t="s">
        <v>38</v>
      </c>
      <c r="F109" s="34" t="s">
        <v>38</v>
      </c>
      <c r="G109" s="34" t="s">
        <v>38</v>
      </c>
      <c r="H109" s="32" t="s">
        <v>38</v>
      </c>
      <c r="I109" s="1"/>
      <c r="J109" s="1"/>
      <c r="K109" s="1"/>
      <c r="L109" s="1"/>
    </row>
    <row r="110" ht="15" customHeight="1">
      <c r="A110" s="1"/>
      <c r="B110" s="17" t="s">
        <v>138</v>
      </c>
      <c r="C110" s="33">
        <v>1210</v>
      </c>
      <c r="D110" s="22">
        <f>E110-Inputs!D193</f>
        <v>1201</v>
      </c>
      <c r="E110" s="33">
        <v>4293</v>
      </c>
      <c r="F110" s="33">
        <v>979</v>
      </c>
      <c r="G110" s="33">
        <v>1180</v>
      </c>
      <c r="H110" s="48">
        <f>H65*H121</f>
        <v>1163.7677522845606</v>
      </c>
      <c r="I110" s="1"/>
      <c r="J110" s="1" t="s">
        <v>198</v>
      </c>
      <c r="K110" s="1"/>
      <c r="L110" s="1"/>
    </row>
    <row r="111" ht="15" customHeight="1">
      <c r="A111" s="1"/>
      <c r="B111" s="50" t="s">
        <v>111</v>
      </c>
      <c r="C111" s="42">
        <f>C110/Inputs!C78-1</f>
        <v>0.19447186574531106</v>
      </c>
      <c r="D111" s="42">
        <f>D110/Inputs!E78-1</f>
        <v>0.1559191530317614</v>
      </c>
      <c r="E111" s="42">
        <f>E110/Inputs!F78-1</f>
        <v>-0.0060199120166705145</v>
      </c>
      <c r="F111" s="42">
        <f>F110/Inputs!G78-1</f>
        <v>0.06067172264355358</v>
      </c>
      <c r="G111" s="42">
        <f>G110/Inputs!H78-1</f>
        <v>0.23044838373305532</v>
      </c>
      <c r="H111" s="49">
        <f t="shared" si="3"/>
        <v>-0.03820846918631349</v>
      </c>
      <c r="I111" s="1"/>
      <c r="J111" s="1"/>
      <c r="K111" s="1"/>
      <c r="L111" s="1"/>
    </row>
    <row r="112" ht="15" customHeight="1">
      <c r="A112" s="1"/>
      <c r="B112" s="56" t="s">
        <v>144</v>
      </c>
      <c r="C112" s="22">
        <f>C110-Inputs!H78</f>
        <v>251</v>
      </c>
      <c r="D112" s="23">
        <f t="shared" si="1"/>
        <v>-9</v>
      </c>
      <c r="E112" s="23"/>
      <c r="F112" s="23">
        <f t="shared" si="4"/>
        <v>-222</v>
      </c>
      <c r="G112" s="23">
        <f t="shared" si="1"/>
        <v>201</v>
      </c>
      <c r="H112" s="48">
        <f t="shared" si="1"/>
        <v>-16.23224771543937</v>
      </c>
      <c r="I112" s="1"/>
      <c r="J112" s="1"/>
      <c r="K112" s="1"/>
      <c r="L112" s="1"/>
    </row>
    <row r="113" ht="15" customHeight="1">
      <c r="A113" s="1"/>
      <c r="B113" s="50" t="s">
        <v>119</v>
      </c>
      <c r="C113" s="24">
        <f t="shared" si="21"/>
        <v>0.19447186574531106</v>
      </c>
      <c r="D113" s="24">
        <f t="shared" si="21"/>
        <v>0.1559191530317614</v>
      </c>
      <c r="E113" s="24">
        <f t="shared" si="21"/>
        <v>-0.0060199120166705145</v>
      </c>
      <c r="F113" s="24">
        <f t="shared" si="21"/>
        <v>0.06067172264355358</v>
      </c>
      <c r="G113" s="24">
        <f t="shared" si="21"/>
        <v>0.23044838373305532</v>
      </c>
      <c r="H113" s="49">
        <f t="shared" si="21"/>
        <v>-0.03820846918631349</v>
      </c>
      <c r="I113" s="1"/>
      <c r="J113" s="1" t="s">
        <v>200</v>
      </c>
      <c r="K113" s="1"/>
      <c r="L113" s="1"/>
    </row>
    <row r="114" ht="15" customHeight="1">
      <c r="A114" s="1"/>
      <c r="B114" s="50" t="s">
        <v>117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57">
        <v>0</v>
      </c>
      <c r="I114" s="1"/>
      <c r="J114" s="1" t="s">
        <v>184</v>
      </c>
      <c r="K114" s="1"/>
      <c r="L114" s="1"/>
    </row>
    <row r="115" ht="15" customHeight="1">
      <c r="A115" s="1"/>
      <c r="B115" s="56" t="s">
        <v>118</v>
      </c>
      <c r="C115" s="34" t="s">
        <v>38</v>
      </c>
      <c r="D115" s="34" t="s">
        <v>38</v>
      </c>
      <c r="E115" s="34" t="s">
        <v>38</v>
      </c>
      <c r="F115" s="34" t="s">
        <v>38</v>
      </c>
      <c r="G115" s="34" t="s">
        <v>38</v>
      </c>
      <c r="H115" s="32" t="s">
        <v>38</v>
      </c>
      <c r="I115" s="1"/>
      <c r="J115" s="1"/>
      <c r="K115" s="1"/>
      <c r="L115" s="1"/>
    </row>
    <row r="116" ht="15" customHeight="1">
      <c r="A116" s="1"/>
      <c r="B116" s="4" t="s">
        <v>192</v>
      </c>
      <c r="C116" s="46">
        <f t="shared" si="29" ref="C116:H116">C104+C110</f>
        <v>2561</v>
      </c>
      <c r="D116" s="46">
        <f t="shared" si="29"/>
        <v>2720</v>
      </c>
      <c r="E116" s="46">
        <f t="shared" si="29"/>
        <v>10265</v>
      </c>
      <c r="F116" s="46">
        <f t="shared" si="29"/>
        <v>2309</v>
      </c>
      <c r="G116" s="46">
        <f t="shared" si="29"/>
        <v>2574</v>
      </c>
      <c r="H116" s="47">
        <f t="shared" si="29"/>
        <v>2637.6625599999998</v>
      </c>
      <c r="I116" s="1"/>
      <c r="J116" s="1"/>
      <c r="K116" s="1"/>
      <c r="L116" s="1"/>
    </row>
    <row r="117" ht="15" customHeight="1">
      <c r="A117" s="1"/>
      <c r="B117" s="17" t="s">
        <v>193</v>
      </c>
      <c r="C117" s="23">
        <f t="shared" si="30" ref="C117:H117">C116-C65</f>
        <v>0</v>
      </c>
      <c r="D117" s="23">
        <f t="shared" si="30"/>
        <v>0</v>
      </c>
      <c r="E117" s="23">
        <f t="shared" si="30"/>
        <v>0</v>
      </c>
      <c r="F117" s="23">
        <f t="shared" si="30"/>
        <v>0</v>
      </c>
      <c r="G117" s="23">
        <f t="shared" si="30"/>
        <v>0</v>
      </c>
      <c r="H117" s="48">
        <f t="shared" si="30"/>
        <v>0</v>
      </c>
      <c r="I117" s="1"/>
      <c r="J117" s="1"/>
      <c r="K117" s="1"/>
      <c r="L117" s="1"/>
    </row>
    <row r="118" ht="15" customHeight="1">
      <c r="A118" s="1"/>
      <c r="B118" s="35" t="s">
        <v>201</v>
      </c>
      <c r="C118" s="24">
        <f t="shared" si="31" ref="C118:G118">C104/C65</f>
        <v>0.5275283092541976</v>
      </c>
      <c r="D118" s="24">
        <f t="shared" si="31"/>
        <v>0.5584558823529412</v>
      </c>
      <c r="E118" s="24">
        <f t="shared" si="31"/>
        <v>0.5817827569410619</v>
      </c>
      <c r="F118" s="24">
        <f t="shared" si="31"/>
        <v>0.5760069294066695</v>
      </c>
      <c r="G118" s="24">
        <f t="shared" si="31"/>
        <v>0.5415695415695416</v>
      </c>
      <c r="H118" s="49">
        <f t="shared" si="28"/>
        <v>0.5587882354881055</v>
      </c>
      <c r="I118" s="1"/>
      <c r="J118" s="1"/>
      <c r="K118" s="1"/>
      <c r="L118" s="1"/>
    </row>
    <row r="119" ht="15" customHeight="1">
      <c r="A119" s="1"/>
      <c r="B119" s="50" t="s">
        <v>114</v>
      </c>
      <c r="C119" s="52">
        <f>(C118-(Inputs!C77/(Inputs!C70-Inputs!C72)))*10000</f>
        <v>-1058.4121662347156</v>
      </c>
      <c r="D119" s="52">
        <f>(D118-(Inputs!E77/(Inputs!E70-Inputs!E72)))*10000</f>
        <v>-434.5982645931934</v>
      </c>
      <c r="E119" s="52">
        <f>(E118-(Inputs!F77/(Inputs!F70-Inputs!F72)))*10000</f>
        <v>-366.46432916699445</v>
      </c>
      <c r="F119" s="52">
        <f>(F118-(Inputs!G77/(Inputs!G70-Inputs!G72)))*10000</f>
        <v>-492.4682617595333</v>
      </c>
      <c r="G119" s="52">
        <f>(G118-(Inputs!H77/(Inputs!H70-Inputs!H72)))*10000</f>
        <v>-780.2585708178722</v>
      </c>
      <c r="H119" s="53">
        <f t="shared" si="20"/>
        <v>312.5992623390794</v>
      </c>
      <c r="I119" s="1"/>
      <c r="J119" s="1"/>
      <c r="K119" s="1"/>
      <c r="L119" s="1"/>
    </row>
    <row r="120" ht="15" customHeight="1">
      <c r="A120" s="1"/>
      <c r="B120" s="50" t="s">
        <v>115</v>
      </c>
      <c r="C120" s="52">
        <f>(C118-(Inputs!H77/(Inputs!H70-Inputs!H72)))*10000</f>
        <v>-920.6708939713126</v>
      </c>
      <c r="D120" s="54">
        <f t="shared" si="12"/>
        <v>309.2757309874361</v>
      </c>
      <c r="E120" s="54"/>
      <c r="F120" s="54">
        <f t="shared" si="14"/>
        <v>175.51047053728342</v>
      </c>
      <c r="G120" s="54">
        <f t="shared" si="12"/>
        <v>-344.3738783712791</v>
      </c>
      <c r="H120" s="53">
        <f t="shared" si="12"/>
        <v>172.18693918563898</v>
      </c>
      <c r="I120" s="1"/>
      <c r="J120" s="1"/>
      <c r="K120" s="1"/>
      <c r="L120" s="1"/>
    </row>
    <row r="121" ht="15" customHeight="1">
      <c r="A121" s="1"/>
      <c r="B121" s="35" t="s">
        <v>202</v>
      </c>
      <c r="C121" s="24">
        <f t="shared" si="32" ref="C121:G121">C110/C65</f>
        <v>0.4724716907458024</v>
      </c>
      <c r="D121" s="24">
        <f t="shared" si="32"/>
        <v>0.4415441176470588</v>
      </c>
      <c r="E121" s="24">
        <f t="shared" si="32"/>
        <v>0.41821724305893815</v>
      </c>
      <c r="F121" s="24">
        <f t="shared" si="32"/>
        <v>0.42399307059333047</v>
      </c>
      <c r="G121" s="24">
        <f t="shared" si="32"/>
        <v>0.45843045843045843</v>
      </c>
      <c r="H121" s="49">
        <f>1-H118</f>
        <v>0.4412117645118945</v>
      </c>
      <c r="I121" s="1"/>
      <c r="J121" s="1"/>
      <c r="K121" s="1"/>
      <c r="L121" s="1"/>
    </row>
    <row r="122" ht="15" customHeight="1">
      <c r="A122" s="1"/>
      <c r="B122" s="50" t="s">
        <v>114</v>
      </c>
      <c r="C122" s="52">
        <f>(C121-(Inputs!C78/(Inputs!C70-Inputs!C72)))*10000</f>
        <v>1058.4121662347163</v>
      </c>
      <c r="D122" s="52">
        <f>(D121-(Inputs!E78/(Inputs!E70-Inputs!E72)))*10000</f>
        <v>434.5982645931934</v>
      </c>
      <c r="E122" s="52">
        <f>(E121-(Inputs!F78/(Inputs!F70-Inputs!F72)))*10000</f>
        <v>366.46432916699445</v>
      </c>
      <c r="F122" s="52">
        <f>(F121-(Inputs!G78/(Inputs!G70-Inputs!G72)))*10000</f>
        <v>492.4682617595327</v>
      </c>
      <c r="G122" s="52">
        <f>(G121-(Inputs!H78/(Inputs!H70-Inputs!H72)))*10000</f>
        <v>780.2585708178727</v>
      </c>
      <c r="H122" s="53">
        <f t="shared" si="20"/>
        <v>-312.5992623390794</v>
      </c>
      <c r="I122" s="1"/>
      <c r="J122" s="1"/>
      <c r="K122" s="1"/>
      <c r="L122" s="1"/>
    </row>
    <row r="123" ht="15" customHeight="1">
      <c r="A123" s="1"/>
      <c r="B123" s="50" t="s">
        <v>115</v>
      </c>
      <c r="C123" s="52">
        <f>(C121-(Inputs!H78/(Inputs!H70-Inputs!H72)))*10000</f>
        <v>920.6708939713126</v>
      </c>
      <c r="D123" s="54">
        <f t="shared" si="12"/>
        <v>-309.2757309874361</v>
      </c>
      <c r="E123" s="54"/>
      <c r="F123" s="54">
        <f t="shared" si="14"/>
        <v>-175.51047053728342</v>
      </c>
      <c r="G123" s="54">
        <f t="shared" si="12"/>
        <v>344.37387837127966</v>
      </c>
      <c r="H123" s="53">
        <f t="shared" si="12"/>
        <v>-172.18693918563955</v>
      </c>
      <c r="I123" s="1"/>
      <c r="J123" s="1"/>
      <c r="K123" s="1"/>
      <c r="L123" s="1"/>
    </row>
    <row r="124" ht="15" customHeight="1">
      <c r="A124" s="1"/>
      <c r="B124" s="1"/>
      <c r="C124" s="1"/>
      <c r="D124" s="1"/>
      <c r="E124" s="1"/>
      <c r="F124" s="1"/>
      <c r="G124" s="1"/>
      <c r="H124" s="45"/>
      <c r="I124" s="1"/>
      <c r="J124" s="1"/>
      <c r="K124" s="1"/>
      <c r="L124" s="1"/>
    </row>
    <row r="125" ht="15" customHeight="1">
      <c r="A125" s="1"/>
      <c r="B125" s="4" t="s">
        <v>203</v>
      </c>
      <c r="C125" s="34"/>
      <c r="D125" s="34"/>
      <c r="E125" s="34"/>
      <c r="F125" s="34"/>
      <c r="G125" s="34"/>
      <c r="H125" s="32"/>
      <c r="I125" s="1"/>
      <c r="J125" s="1"/>
      <c r="K125" s="1"/>
      <c r="L125" s="1"/>
    </row>
    <row r="126" ht="15" customHeight="1">
      <c r="A126" s="1"/>
      <c r="B126" s="17" t="s">
        <v>204</v>
      </c>
      <c r="C126" s="33">
        <v>2498</v>
      </c>
      <c r="D126" s="22">
        <f>E126-Inputs!D194</f>
        <v>2671</v>
      </c>
      <c r="E126" s="33">
        <v>10062</v>
      </c>
      <c r="F126" s="33">
        <v>2267</v>
      </c>
      <c r="G126" s="33">
        <v>2525</v>
      </c>
      <c r="H126" s="48">
        <f>H65*H152</f>
        <v>2588.567467779746</v>
      </c>
      <c r="I126" s="1"/>
      <c r="J126" s="1" t="s">
        <v>205</v>
      </c>
      <c r="K126" s="1"/>
      <c r="L126" s="1"/>
    </row>
    <row r="127" ht="15" customHeight="1">
      <c r="A127" s="1"/>
      <c r="B127" s="50" t="s">
        <v>111</v>
      </c>
      <c r="C127" s="42">
        <f>C126/Inputs!C79-1</f>
        <v>-0.07924806487283453</v>
      </c>
      <c r="D127" s="42">
        <f>D126/Inputs!E79-1</f>
        <v>0.03970416504476448</v>
      </c>
      <c r="E127" s="42">
        <f>E126/Inputs!F79-1</f>
        <v>-0.09408481138021063</v>
      </c>
      <c r="F127" s="42">
        <f>F126/Inputs!G79-1</f>
        <v>-0.06283588259611406</v>
      </c>
      <c r="G127" s="42">
        <f>G126/Inputs!H79-1</f>
        <v>0.020614389652384713</v>
      </c>
      <c r="H127" s="49">
        <f t="shared" si="3"/>
        <v>0.036255991905422835</v>
      </c>
      <c r="I127" s="1"/>
      <c r="J127" s="1"/>
      <c r="K127" s="1"/>
      <c r="L127" s="1"/>
    </row>
    <row r="128" ht="15" customHeight="1">
      <c r="A128" s="1"/>
      <c r="B128" s="56" t="s">
        <v>144</v>
      </c>
      <c r="C128" s="22">
        <f>C126-Inputs!H79</f>
        <v>24</v>
      </c>
      <c r="D128" s="23">
        <f t="shared" si="1"/>
        <v>173</v>
      </c>
      <c r="E128" s="23"/>
      <c r="F128" s="23">
        <f t="shared" si="4"/>
        <v>-404</v>
      </c>
      <c r="G128" s="23">
        <f t="shared" si="1"/>
        <v>258</v>
      </c>
      <c r="H128" s="48">
        <f t="shared" si="1"/>
        <v>63.56746777974604</v>
      </c>
      <c r="I128" s="1"/>
      <c r="J128" s="1"/>
      <c r="K128" s="1"/>
      <c r="L128" s="1"/>
    </row>
    <row r="129" ht="15" customHeight="1">
      <c r="A129" s="1"/>
      <c r="B129" s="50" t="s">
        <v>119</v>
      </c>
      <c r="C129" s="24">
        <f t="shared" si="21"/>
        <v>-0.07924806487283453</v>
      </c>
      <c r="D129" s="24">
        <f t="shared" si="21"/>
        <v>0.03970416504476448</v>
      </c>
      <c r="E129" s="24">
        <f t="shared" si="21"/>
        <v>-0.09408481138021063</v>
      </c>
      <c r="F129" s="24">
        <f t="shared" si="21"/>
        <v>-0.06283588259611406</v>
      </c>
      <c r="G129" s="24">
        <f t="shared" si="21"/>
        <v>0.020614389652384713</v>
      </c>
      <c r="H129" s="49">
        <f t="shared" si="21"/>
        <v>0.036255991905422835</v>
      </c>
      <c r="I129" s="1"/>
      <c r="J129" s="1" t="s">
        <v>206</v>
      </c>
      <c r="K129" s="1"/>
      <c r="L129" s="1"/>
    </row>
    <row r="130" ht="15" customHeight="1">
      <c r="A130" s="1"/>
      <c r="B130" s="50" t="s">
        <v>117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57">
        <v>0</v>
      </c>
      <c r="I130" s="1"/>
      <c r="J130" s="1" t="s">
        <v>184</v>
      </c>
      <c r="K130" s="1"/>
      <c r="L130" s="1"/>
    </row>
    <row r="131" ht="15" customHeight="1">
      <c r="A131" s="1"/>
      <c r="B131" s="56" t="s">
        <v>118</v>
      </c>
      <c r="C131" s="34" t="s">
        <v>38</v>
      </c>
      <c r="D131" s="34" t="s">
        <v>38</v>
      </c>
      <c r="E131" s="34" t="s">
        <v>38</v>
      </c>
      <c r="F131" s="34" t="s">
        <v>38</v>
      </c>
      <c r="G131" s="34" t="s">
        <v>38</v>
      </c>
      <c r="H131" s="32" t="s">
        <v>38</v>
      </c>
      <c r="I131" s="1"/>
      <c r="J131" s="1"/>
      <c r="K131" s="1"/>
      <c r="L131" s="1"/>
    </row>
    <row r="132" ht="15" customHeight="1">
      <c r="A132" s="1"/>
      <c r="B132" s="17" t="s">
        <v>207</v>
      </c>
      <c r="C132" s="33">
        <v>25</v>
      </c>
      <c r="D132" s="22">
        <f>E132-Inputs!D195</f>
        <v>27</v>
      </c>
      <c r="E132" s="33">
        <v>75</v>
      </c>
      <c r="F132" s="33">
        <v>18</v>
      </c>
      <c r="G132" s="33">
        <v>15</v>
      </c>
      <c r="H132" s="48">
        <f>H65*H155</f>
        <v>17.96655502080134</v>
      </c>
      <c r="I132" s="1"/>
      <c r="J132" s="1" t="s">
        <v>205</v>
      </c>
      <c r="K132" s="1"/>
      <c r="L132" s="1"/>
    </row>
    <row r="133" ht="15" customHeight="1">
      <c r="A133" s="1"/>
      <c r="B133" s="50" t="s">
        <v>111</v>
      </c>
      <c r="C133" s="42">
        <f>C132/Inputs!C80-1</f>
        <v>3.166666666666667</v>
      </c>
      <c r="D133" s="42">
        <f>D132/Inputs!E80-1</f>
        <v>1.25</v>
      </c>
      <c r="E133" s="42">
        <f>E132/Inputs!F80-1</f>
        <v>0.7857142857142858</v>
      </c>
      <c r="F133" s="42">
        <f>F132/Inputs!G80-1</f>
        <v>1.25</v>
      </c>
      <c r="G133" s="42">
        <f>G132/Inputs!H80-1</f>
        <v>0</v>
      </c>
      <c r="H133" s="49">
        <f t="shared" si="3"/>
        <v>-0.2813377991679463</v>
      </c>
      <c r="I133" s="1"/>
      <c r="J133" s="1"/>
      <c r="K133" s="1"/>
      <c r="L133" s="1"/>
    </row>
    <row r="134" ht="15" customHeight="1">
      <c r="A134" s="1"/>
      <c r="B134" s="56" t="s">
        <v>144</v>
      </c>
      <c r="C134" s="22">
        <f>C132-Inputs!H80</f>
        <v>10</v>
      </c>
      <c r="D134" s="23">
        <f t="shared" si="1"/>
        <v>2</v>
      </c>
      <c r="E134" s="23"/>
      <c r="F134" s="23">
        <f t="shared" si="4"/>
        <v>-9</v>
      </c>
      <c r="G134" s="23">
        <f t="shared" si="1"/>
        <v>-3</v>
      </c>
      <c r="H134" s="48">
        <f t="shared" si="1"/>
        <v>2.9665550208013407</v>
      </c>
      <c r="I134" s="1"/>
      <c r="J134" s="1"/>
      <c r="K134" s="1"/>
      <c r="L134" s="1"/>
    </row>
    <row r="135" ht="15" customHeight="1">
      <c r="A135" s="1"/>
      <c r="B135" s="50" t="s">
        <v>119</v>
      </c>
      <c r="C135" s="24">
        <f t="shared" si="21"/>
        <v>3.166666666666667</v>
      </c>
      <c r="D135" s="24">
        <f t="shared" si="21"/>
        <v>1.25</v>
      </c>
      <c r="E135" s="24">
        <f t="shared" si="21"/>
        <v>0.7857142857142858</v>
      </c>
      <c r="F135" s="24">
        <f t="shared" si="21"/>
        <v>1.25</v>
      </c>
      <c r="G135" s="24">
        <f t="shared" si="21"/>
        <v>0</v>
      </c>
      <c r="H135" s="49">
        <f t="shared" si="21"/>
        <v>-0.2813377991679463</v>
      </c>
      <c r="I135" s="1"/>
      <c r="J135" s="1" t="s">
        <v>208</v>
      </c>
      <c r="K135" s="1"/>
      <c r="L135" s="1"/>
    </row>
    <row r="136" ht="15" customHeight="1">
      <c r="A136" s="1"/>
      <c r="B136" s="50" t="s">
        <v>117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57">
        <v>0</v>
      </c>
      <c r="I136" s="1"/>
      <c r="J136" s="1" t="s">
        <v>184</v>
      </c>
      <c r="K136" s="1"/>
      <c r="L136" s="1"/>
    </row>
    <row r="137" ht="15" customHeight="1">
      <c r="A137" s="1"/>
      <c r="B137" s="56" t="s">
        <v>118</v>
      </c>
      <c r="C137" s="34" t="s">
        <v>38</v>
      </c>
      <c r="D137" s="34" t="s">
        <v>38</v>
      </c>
      <c r="E137" s="34" t="s">
        <v>38</v>
      </c>
      <c r="F137" s="34" t="s">
        <v>38</v>
      </c>
      <c r="G137" s="34" t="s">
        <v>38</v>
      </c>
      <c r="H137" s="32" t="s">
        <v>38</v>
      </c>
      <c r="I137" s="1"/>
      <c r="J137" s="1"/>
      <c r="K137" s="1"/>
      <c r="L137" s="1"/>
    </row>
    <row r="138" ht="15" customHeight="1">
      <c r="A138" s="1"/>
      <c r="B138" s="17" t="s">
        <v>209</v>
      </c>
      <c r="C138" s="33">
        <v>28</v>
      </c>
      <c r="D138" s="22">
        <f>E138-Inputs!D196</f>
        <v>15</v>
      </c>
      <c r="E138" s="33">
        <v>89</v>
      </c>
      <c r="F138" s="33">
        <v>20</v>
      </c>
      <c r="G138" s="33">
        <v>28</v>
      </c>
      <c r="H138" s="48">
        <f>H65*H158</f>
        <v>25.76965884466142</v>
      </c>
      <c r="I138" s="1"/>
      <c r="J138" s="1" t="s">
        <v>205</v>
      </c>
      <c r="K138" s="1"/>
      <c r="L138" s="1"/>
    </row>
    <row r="139" ht="15" customHeight="1">
      <c r="A139" s="1"/>
      <c r="B139" s="50" t="s">
        <v>111</v>
      </c>
      <c r="C139" s="42">
        <f>C138/Inputs!C81-1</f>
        <v>-0.2222222222222222</v>
      </c>
      <c r="D139" s="42">
        <f>D138/Inputs!E81-1</f>
        <v>-0.31818181818181823</v>
      </c>
      <c r="E139" s="42">
        <f>E138/Inputs!F81-1</f>
        <v>-0.33582089552238803</v>
      </c>
      <c r="F139" s="42">
        <f>F138/Inputs!G81-1</f>
        <v>-0.23076923076923073</v>
      </c>
      <c r="G139" s="42">
        <f>G138/Inputs!H81-1</f>
        <v>0.3999999999999999</v>
      </c>
      <c r="H139" s="49">
        <f t="shared" si="3"/>
        <v>-0.07965504126209211</v>
      </c>
      <c r="I139" s="1"/>
      <c r="J139" s="1"/>
      <c r="K139" s="1"/>
      <c r="L139" s="1"/>
    </row>
    <row r="140" ht="15" customHeight="1">
      <c r="A140" s="1"/>
      <c r="B140" s="56" t="s">
        <v>144</v>
      </c>
      <c r="C140" s="22">
        <f>C138-Inputs!H81</f>
        <v>8</v>
      </c>
      <c r="D140" s="23">
        <f t="shared" si="1"/>
        <v>-13</v>
      </c>
      <c r="E140" s="23"/>
      <c r="F140" s="23">
        <f t="shared" si="4"/>
        <v>5</v>
      </c>
      <c r="G140" s="23">
        <f t="shared" si="1"/>
        <v>8</v>
      </c>
      <c r="H140" s="48">
        <f t="shared" si="1"/>
        <v>-2.2303411553385786</v>
      </c>
      <c r="I140" s="1"/>
      <c r="J140" s="1"/>
      <c r="K140" s="1"/>
      <c r="L140" s="1"/>
    </row>
    <row r="141" ht="15" customHeight="1">
      <c r="A141" s="1"/>
      <c r="B141" s="50" t="s">
        <v>119</v>
      </c>
      <c r="C141" s="24">
        <f t="shared" si="21"/>
        <v>-0.2222222222222222</v>
      </c>
      <c r="D141" s="24">
        <f t="shared" si="21"/>
        <v>-0.31818181818181823</v>
      </c>
      <c r="E141" s="24">
        <f t="shared" si="21"/>
        <v>-0.33582089552238803</v>
      </c>
      <c r="F141" s="24">
        <f t="shared" si="21"/>
        <v>-0.23076923076923073</v>
      </c>
      <c r="G141" s="24">
        <f t="shared" si="21"/>
        <v>0.3999999999999999</v>
      </c>
      <c r="H141" s="49">
        <f t="shared" si="21"/>
        <v>-0.07965504126209211</v>
      </c>
      <c r="I141" s="1"/>
      <c r="J141" s="1" t="s">
        <v>210</v>
      </c>
      <c r="K141" s="1"/>
      <c r="L141" s="1"/>
    </row>
    <row r="142" ht="15" customHeight="1">
      <c r="A142" s="1"/>
      <c r="B142" s="50" t="s">
        <v>117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57">
        <v>0</v>
      </c>
      <c r="I142" s="1"/>
      <c r="J142" s="1" t="s">
        <v>184</v>
      </c>
      <c r="K142" s="1"/>
      <c r="L142" s="1"/>
    </row>
    <row r="143" ht="15" customHeight="1">
      <c r="A143" s="1"/>
      <c r="B143" s="56" t="s">
        <v>118</v>
      </c>
      <c r="C143" s="34" t="s">
        <v>38</v>
      </c>
      <c r="D143" s="34" t="s">
        <v>38</v>
      </c>
      <c r="E143" s="34" t="s">
        <v>38</v>
      </c>
      <c r="F143" s="34" t="s">
        <v>38</v>
      </c>
      <c r="G143" s="34" t="s">
        <v>38</v>
      </c>
      <c r="H143" s="32" t="s">
        <v>38</v>
      </c>
      <c r="I143" s="1"/>
      <c r="J143" s="1"/>
      <c r="K143" s="1"/>
      <c r="L143" s="1"/>
    </row>
    <row r="144" ht="15" customHeight="1">
      <c r="A144" s="1"/>
      <c r="B144" s="17" t="s">
        <v>211</v>
      </c>
      <c r="C144" s="33">
        <v>10</v>
      </c>
      <c r="D144" s="22">
        <f>E144-Inputs!D197</f>
        <v>7</v>
      </c>
      <c r="E144" s="33">
        <v>39</v>
      </c>
      <c r="F144" s="33">
        <v>4</v>
      </c>
      <c r="G144" s="33">
        <v>6</v>
      </c>
      <c r="H144" s="48">
        <f>H65*H161</f>
        <v>5.35887835479087</v>
      </c>
      <c r="I144" s="1"/>
      <c r="J144" s="1" t="s">
        <v>205</v>
      </c>
      <c r="K144" s="1"/>
      <c r="L144" s="1"/>
    </row>
    <row r="145" ht="15" customHeight="1">
      <c r="A145" s="1"/>
      <c r="B145" s="50" t="s">
        <v>111</v>
      </c>
      <c r="C145" s="42">
        <f>C144/Inputs!C82-1</f>
        <v>0.25</v>
      </c>
      <c r="D145" s="42">
        <f>D144/Inputs!E82-1</f>
        <v>0</v>
      </c>
      <c r="E145" s="42">
        <f>E144/Inputs!F82-1</f>
        <v>0.08333333333333326</v>
      </c>
      <c r="F145" s="42">
        <f>F144/Inputs!G82-1</f>
        <v>-0.6</v>
      </c>
      <c r="G145" s="42">
        <f>G144/Inputs!H82-1</f>
        <v>-0.5</v>
      </c>
      <c r="H145" s="49">
        <f t="shared" si="3"/>
        <v>-0.464112164520913</v>
      </c>
      <c r="I145" s="1"/>
      <c r="J145" s="1"/>
      <c r="K145" s="1"/>
      <c r="L145" s="1"/>
    </row>
    <row r="146" ht="15" customHeight="1">
      <c r="A146" s="1"/>
      <c r="B146" s="56" t="s">
        <v>144</v>
      </c>
      <c r="C146" s="22">
        <f>C144-Inputs!H82</f>
        <v>-2</v>
      </c>
      <c r="D146" s="23">
        <f t="shared" si="1"/>
        <v>-3</v>
      </c>
      <c r="E146" s="23"/>
      <c r="F146" s="23">
        <f t="shared" si="4"/>
        <v>-3</v>
      </c>
      <c r="G146" s="23">
        <f t="shared" si="1"/>
        <v>2</v>
      </c>
      <c r="H146" s="48">
        <f t="shared" si="1"/>
        <v>-0.6411216452091297</v>
      </c>
      <c r="I146" s="1"/>
      <c r="J146" s="1"/>
      <c r="K146" s="1"/>
      <c r="L146" s="1"/>
    </row>
    <row r="147" ht="15" customHeight="1">
      <c r="A147" s="1"/>
      <c r="B147" s="50" t="s">
        <v>119</v>
      </c>
      <c r="C147" s="24">
        <f t="shared" si="21"/>
        <v>0.25</v>
      </c>
      <c r="D147" s="24">
        <f t="shared" si="21"/>
        <v>0</v>
      </c>
      <c r="E147" s="24">
        <f t="shared" si="21"/>
        <v>0.08333333333333326</v>
      </c>
      <c r="F147" s="24">
        <f t="shared" si="21"/>
        <v>-0.6</v>
      </c>
      <c r="G147" s="24">
        <f t="shared" si="21"/>
        <v>-0.5</v>
      </c>
      <c r="H147" s="49">
        <f t="shared" si="21"/>
        <v>-0.464112164520913</v>
      </c>
      <c r="I147" s="1"/>
      <c r="J147" s="1" t="s">
        <v>212</v>
      </c>
      <c r="K147" s="1"/>
      <c r="L147" s="1"/>
    </row>
    <row r="148" ht="15" customHeight="1">
      <c r="A148" s="1"/>
      <c r="B148" s="50" t="s">
        <v>117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57">
        <v>0</v>
      </c>
      <c r="I148" s="1"/>
      <c r="J148" s="1" t="s">
        <v>184</v>
      </c>
      <c r="K148" s="1"/>
      <c r="L148" s="1"/>
    </row>
    <row r="149" ht="15" customHeight="1">
      <c r="A149" s="1"/>
      <c r="B149" s="56" t="s">
        <v>118</v>
      </c>
      <c r="C149" s="34" t="s">
        <v>38</v>
      </c>
      <c r="D149" s="34" t="s">
        <v>38</v>
      </c>
      <c r="E149" s="34" t="s">
        <v>38</v>
      </c>
      <c r="F149" s="34" t="s">
        <v>38</v>
      </c>
      <c r="G149" s="34" t="s">
        <v>38</v>
      </c>
      <c r="H149" s="32" t="s">
        <v>38</v>
      </c>
      <c r="I149" s="1"/>
      <c r="J149" s="1"/>
      <c r="K149" s="1"/>
      <c r="L149" s="1"/>
    </row>
    <row r="150" ht="15" customHeight="1">
      <c r="A150" s="1"/>
      <c r="B150" s="4" t="s">
        <v>192</v>
      </c>
      <c r="C150" s="46">
        <f t="shared" si="33" ref="C150:H150">C126+C132+C138+C144</f>
        <v>2561</v>
      </c>
      <c r="D150" s="46">
        <f t="shared" si="33"/>
        <v>2720</v>
      </c>
      <c r="E150" s="46">
        <f t="shared" si="33"/>
        <v>10265</v>
      </c>
      <c r="F150" s="46">
        <f t="shared" si="33"/>
        <v>2309</v>
      </c>
      <c r="G150" s="46">
        <f t="shared" si="33"/>
        <v>2574</v>
      </c>
      <c r="H150" s="47">
        <f t="shared" si="33"/>
        <v>2637.6625599999998</v>
      </c>
      <c r="I150" s="1"/>
      <c r="J150" s="1"/>
      <c r="K150" s="1"/>
      <c r="L150" s="1"/>
    </row>
    <row r="151" ht="15" customHeight="1">
      <c r="A151" s="1"/>
      <c r="B151" s="17" t="s">
        <v>193</v>
      </c>
      <c r="C151" s="23">
        <f t="shared" si="34" ref="C151:H151">C150-C65</f>
        <v>0</v>
      </c>
      <c r="D151" s="23">
        <f t="shared" si="34"/>
        <v>0</v>
      </c>
      <c r="E151" s="23">
        <f t="shared" si="34"/>
        <v>0</v>
      </c>
      <c r="F151" s="23">
        <f t="shared" si="34"/>
        <v>0</v>
      </c>
      <c r="G151" s="23">
        <f t="shared" si="34"/>
        <v>0</v>
      </c>
      <c r="H151" s="48">
        <f t="shared" si="34"/>
        <v>0</v>
      </c>
      <c r="I151" s="1"/>
      <c r="J151" s="1"/>
      <c r="K151" s="1"/>
      <c r="L151" s="1"/>
    </row>
    <row r="152" ht="15" customHeight="1">
      <c r="A152" s="1"/>
      <c r="B152" s="35" t="s">
        <v>213</v>
      </c>
      <c r="C152" s="24">
        <f t="shared" si="35" ref="C152:G152">C126/C65</f>
        <v>0.975400234283483</v>
      </c>
      <c r="D152" s="24">
        <f t="shared" si="35"/>
        <v>0.981985294117647</v>
      </c>
      <c r="E152" s="24">
        <f t="shared" si="35"/>
        <v>0.9802240623477837</v>
      </c>
      <c r="F152" s="24">
        <f t="shared" si="35"/>
        <v>0.9818103074924209</v>
      </c>
      <c r="G152" s="24">
        <f t="shared" si="35"/>
        <v>0.980963480963481</v>
      </c>
      <c r="H152" s="49">
        <f>1-H155-H158-H161</f>
        <v>0.981386894227951</v>
      </c>
      <c r="I152" s="1"/>
      <c r="J152" s="1"/>
      <c r="K152" s="1"/>
      <c r="L152" s="1"/>
    </row>
    <row r="153" ht="15" customHeight="1">
      <c r="A153" s="1"/>
      <c r="B153" s="50" t="s">
        <v>114</v>
      </c>
      <c r="C153" s="52">
        <f>(C152-(Inputs!C79/(Inputs!C70-Inputs!C72)))*10000</f>
        <v>-65.03493548583594</v>
      </c>
      <c r="D153" s="52">
        <f>(D152-(Inputs!E79/(Inputs!E70-Inputs!E72)))*10000</f>
        <v>-23.05893621816546</v>
      </c>
      <c r="E153" s="52">
        <f>(E152-(Inputs!F79/(Inputs!F70-Inputs!F72)))*10000</f>
        <v>-10.463679022384431</v>
      </c>
      <c r="F153" s="52">
        <f>(F152-(Inputs!G79/(Inputs!G70-Inputs!G72)))*10000</f>
        <v>-3.2529949093274</v>
      </c>
      <c r="G153" s="52">
        <f>(G152-(Inputs!H79/(Inputs!H70-Inputs!H72)))*10000</f>
        <v>-3.931235585341586</v>
      </c>
      <c r="H153" s="53">
        <f t="shared" si="20"/>
        <v>59.86659944468009</v>
      </c>
      <c r="I153" s="1"/>
      <c r="J153" s="1"/>
      <c r="K153" s="1"/>
      <c r="L153" s="1"/>
    </row>
    <row r="154" ht="15" customHeight="1">
      <c r="A154" s="1"/>
      <c r="B154" s="50" t="s">
        <v>115</v>
      </c>
      <c r="C154" s="52">
        <f>(C152-(Inputs!H79/(Inputs!H70-Inputs!H72)))*10000</f>
        <v>-59.56370238532127</v>
      </c>
      <c r="D154" s="54">
        <f t="shared" si="12"/>
        <v>65.8505983416402</v>
      </c>
      <c r="E154" s="54"/>
      <c r="F154" s="54">
        <f t="shared" si="14"/>
        <v>-1.7498662522608122</v>
      </c>
      <c r="G154" s="54">
        <f t="shared" si="12"/>
        <v>-8.468265289399701</v>
      </c>
      <c r="H154" s="53">
        <f t="shared" si="12"/>
        <v>4.234132644700406</v>
      </c>
      <c r="I154" s="1"/>
      <c r="J154" s="1"/>
      <c r="K154" s="1"/>
      <c r="L154" s="1"/>
    </row>
    <row r="155" ht="15" customHeight="1">
      <c r="A155" s="1"/>
      <c r="B155" s="35" t="s">
        <v>214</v>
      </c>
      <c r="C155" s="24">
        <f t="shared" si="36" ref="C155:G155">C132/C65</f>
        <v>0.009761811792268645</v>
      </c>
      <c r="D155" s="24">
        <f t="shared" si="36"/>
        <v>0.009926470588235294</v>
      </c>
      <c r="E155" s="24">
        <f t="shared" si="36"/>
        <v>0.007306380905991232</v>
      </c>
      <c r="F155" s="24">
        <f t="shared" si="36"/>
        <v>0.007795582503248159</v>
      </c>
      <c r="G155" s="24">
        <f t="shared" si="36"/>
        <v>0.005827505827505828</v>
      </c>
      <c r="H155" s="49">
        <f t="shared" si="28"/>
        <v>0.0068115441653769935</v>
      </c>
      <c r="I155" s="1"/>
      <c r="J155" s="1"/>
      <c r="K155" s="1"/>
      <c r="L155" s="1"/>
    </row>
    <row r="156" ht="15" customHeight="1">
      <c r="A156" s="1"/>
      <c r="B156" s="50" t="s">
        <v>114</v>
      </c>
      <c r="C156" s="52">
        <f>(C155-(Inputs!C80/(Inputs!C70-Inputs!C72)))*10000</f>
        <v>75.90259132116637</v>
      </c>
      <c r="D156" s="52">
        <f>(D155-(Inputs!E80/(Inputs!E70-Inputs!E72)))*10000</f>
        <v>53.287694388100064</v>
      </c>
      <c r="E156" s="52">
        <f>(E155-(Inputs!F80/(Inputs!F70-Inputs!F72)))*10000</f>
        <v>35.95805766844664</v>
      </c>
      <c r="F156" s="52">
        <f>(F155-(Inputs!G80/(Inputs!G70-Inputs!G72)))*10000</f>
        <v>45.47511045676092</v>
      </c>
      <c r="G156" s="52">
        <f>(G155-(Inputs!H80/(Inputs!H70-Inputs!H72)))*10000</f>
        <v>-1.2251400589361698</v>
      </c>
      <c r="H156" s="53">
        <f t="shared" si="20"/>
        <v>-29.502676268916517</v>
      </c>
      <c r="I156" s="1"/>
      <c r="J156" s="1"/>
      <c r="K156" s="1"/>
      <c r="L156" s="1"/>
    </row>
    <row r="157" ht="15" customHeight="1">
      <c r="A157" s="1"/>
      <c r="B157" s="50" t="s">
        <v>115</v>
      </c>
      <c r="C157" s="52">
        <f>(C155-(Inputs!H80/(Inputs!H70-Inputs!H72)))*10000</f>
        <v>38.117919588692004</v>
      </c>
      <c r="D157" s="54">
        <f t="shared" si="12"/>
        <v>1.6465879596664832</v>
      </c>
      <c r="E157" s="54"/>
      <c r="F157" s="54">
        <f t="shared" si="14"/>
        <v>-21.308880849871347</v>
      </c>
      <c r="G157" s="54">
        <f t="shared" si="12"/>
        <v>-19.68076675742331</v>
      </c>
      <c r="H157" s="53">
        <f t="shared" si="12"/>
        <v>9.840383378711655</v>
      </c>
      <c r="I157" s="1"/>
      <c r="J157" s="1"/>
      <c r="K157" s="1"/>
      <c r="L157" s="1"/>
    </row>
    <row r="158" ht="15" customHeight="1">
      <c r="A158" s="1"/>
      <c r="B158" s="35" t="s">
        <v>215</v>
      </c>
      <c r="C158" s="24">
        <f t="shared" si="37" ref="C158:G158">C138/C65</f>
        <v>0.010933229207340883</v>
      </c>
      <c r="D158" s="24">
        <f t="shared" si="37"/>
        <v>0.0055147058823529415</v>
      </c>
      <c r="E158" s="24">
        <f t="shared" si="37"/>
        <v>0.008670238675109595</v>
      </c>
      <c r="F158" s="24">
        <f t="shared" si="37"/>
        <v>0.0086617583369424</v>
      </c>
      <c r="G158" s="24">
        <f t="shared" si="37"/>
        <v>0.010878010878010878</v>
      </c>
      <c r="H158" s="49">
        <f t="shared" si="28"/>
        <v>0.009769884607476638</v>
      </c>
      <c r="I158" s="1"/>
      <c r="J158" s="1"/>
      <c r="K158" s="1"/>
      <c r="L158" s="1"/>
    </row>
    <row r="159" ht="15" customHeight="1">
      <c r="A159" s="1"/>
      <c r="B159" s="50" t="s">
        <v>114</v>
      </c>
      <c r="C159" s="52">
        <f>(C158-(Inputs!C81/(Inputs!C70-Inputs!C72)))*10000</f>
        <v>-20.960867535711696</v>
      </c>
      <c r="D159" s="52">
        <f>(D158-(Inputs!E81/(Inputs!E70-Inputs!E72)))*10000</f>
        <v>-29.14412891593418</v>
      </c>
      <c r="E159" s="52">
        <f>(E158-(Inputs!F81/(Inputs!F70-Inputs!F72)))*10000</f>
        <v>-31.68262959310407</v>
      </c>
      <c r="F159" s="52">
        <f>(F158-(Inputs!G81/(Inputs!G70-Inputs!G72)))*10000</f>
        <v>-18.944739001668168</v>
      </c>
      <c r="G159" s="52">
        <f>(G158-(Inputs!H81/(Inputs!H70-Inputs!H72)))*10000</f>
        <v>29.446511001449526</v>
      </c>
      <c r="H159" s="53">
        <f t="shared" si="20"/>
        <v>-11.633445998642452</v>
      </c>
      <c r="I159" s="1"/>
      <c r="J159" s="1"/>
      <c r="K159" s="1"/>
      <c r="L159" s="1"/>
    </row>
    <row r="160" ht="15" customHeight="1">
      <c r="A160" s="1"/>
      <c r="B160" s="50" t="s">
        <v>115</v>
      </c>
      <c r="C160" s="52">
        <f>(C158-(Inputs!H81/(Inputs!H70-Inputs!H72)))*10000</f>
        <v>29.99869429474958</v>
      </c>
      <c r="D160" s="54">
        <f t="shared" si="12"/>
        <v>-54.18523324987942</v>
      </c>
      <c r="E160" s="54"/>
      <c r="F160" s="54">
        <f t="shared" si="14"/>
        <v>31.47052454589458</v>
      </c>
      <c r="G160" s="54">
        <f t="shared" si="12"/>
        <v>22.162525410684783</v>
      </c>
      <c r="H160" s="53">
        <f t="shared" si="12"/>
        <v>-11.0812627053424</v>
      </c>
      <c r="I160" s="1"/>
      <c r="J160" s="1"/>
      <c r="K160" s="1"/>
      <c r="L160" s="1"/>
    </row>
    <row r="161" ht="15" customHeight="1">
      <c r="A161" s="1"/>
      <c r="B161" s="35" t="s">
        <v>216</v>
      </c>
      <c r="C161" s="24">
        <f t="shared" si="38" ref="C161:G161">C144/C65</f>
        <v>0.003904724716907458</v>
      </c>
      <c r="D161" s="24">
        <f t="shared" si="38"/>
        <v>0.002573529411764706</v>
      </c>
      <c r="E161" s="24">
        <f t="shared" si="38"/>
        <v>0.0037993180711154407</v>
      </c>
      <c r="F161" s="24">
        <f t="shared" si="38"/>
        <v>0.0017323516673884798</v>
      </c>
      <c r="G161" s="24">
        <f t="shared" si="38"/>
        <v>0.002331002331002331</v>
      </c>
      <c r="H161" s="49">
        <f t="shared" si="28"/>
        <v>0.0020316769991954053</v>
      </c>
      <c r="I161" s="1"/>
      <c r="J161" s="1"/>
      <c r="K161" s="1"/>
      <c r="L161" s="1"/>
    </row>
    <row r="162" ht="15" customHeight="1">
      <c r="A162" s="1"/>
      <c r="B162" s="50" t="s">
        <v>114</v>
      </c>
      <c r="C162" s="52">
        <f>(C161-(Inputs!C82/(Inputs!C70-Inputs!C72)))*10000</f>
        <v>10.093211700381131</v>
      </c>
      <c r="D162" s="52">
        <f>(D161-(Inputs!E82/(Inputs!E70-Inputs!E72)))*10000</f>
        <v>-1.0846292540004492</v>
      </c>
      <c r="E162" s="52">
        <f>(E161-(Inputs!F82/(Inputs!F70-Inputs!F72)))*10000</f>
        <v>6.188250947040969</v>
      </c>
      <c r="F162" s="52">
        <f>(F161-(Inputs!G82/(Inputs!G70-Inputs!G72)))*10000</f>
        <v>-23.27737654576604</v>
      </c>
      <c r="G162" s="52">
        <f>(G161-(Inputs!H82/(Inputs!H70-Inputs!H72)))*10000</f>
        <v>-24.290135357172247</v>
      </c>
      <c r="H162" s="53">
        <f t="shared" si="20"/>
        <v>-18.730477177120527</v>
      </c>
      <c r="I162" s="1"/>
      <c r="J162" s="1"/>
      <c r="K162" s="1"/>
      <c r="L162" s="1"/>
    </row>
    <row r="163" ht="15" customHeight="1">
      <c r="A163" s="1"/>
      <c r="B163" s="50" t="s">
        <v>115</v>
      </c>
      <c r="C163" s="52">
        <f>(C161-(Inputs!H82/(Inputs!H70-Inputs!H72)))*10000</f>
        <v>-8.552911498120979</v>
      </c>
      <c r="D163" s="54">
        <f t="shared" si="12"/>
        <v>-13.31195305142752</v>
      </c>
      <c r="E163" s="54"/>
      <c r="F163" s="54">
        <f t="shared" si="14"/>
        <v>-8.41177744376226</v>
      </c>
      <c r="G163" s="54">
        <f t="shared" si="12"/>
        <v>5.986506636138512</v>
      </c>
      <c r="H163" s="53">
        <f t="shared" si="12"/>
        <v>-2.9932533180692573</v>
      </c>
      <c r="I163" s="1"/>
      <c r="J163" s="1"/>
      <c r="K163" s="1"/>
      <c r="L163" s="1"/>
    </row>
    <row r="164" ht="15" customHeight="1">
      <c r="A164" s="1"/>
      <c r="B164" s="1"/>
      <c r="C164" s="1"/>
      <c r="D164" s="1"/>
      <c r="E164" s="1"/>
      <c r="F164" s="1"/>
      <c r="G164" s="1"/>
      <c r="H164" s="45"/>
      <c r="I164" s="1"/>
      <c r="J164" s="1"/>
      <c r="K164" s="1"/>
      <c r="L164" s="1"/>
    </row>
    <row r="165" ht="15" customHeight="1">
      <c r="A165" s="1"/>
      <c r="B165" s="4" t="s">
        <v>217</v>
      </c>
      <c r="C165" s="34"/>
      <c r="D165" s="34"/>
      <c r="E165" s="34"/>
      <c r="F165" s="34"/>
      <c r="G165" s="34"/>
      <c r="H165" s="32"/>
      <c r="I165" s="1"/>
      <c r="J165" s="1"/>
      <c r="K165" s="1"/>
      <c r="L165" s="1"/>
    </row>
    <row r="166" ht="15" customHeight="1">
      <c r="A166" s="1"/>
      <c r="B166" s="35" t="s">
        <v>82</v>
      </c>
      <c r="C166" s="24">
        <f t="shared" si="39" ref="C166:G166">C169/C49</f>
        <v>0.11045218680504076</v>
      </c>
      <c r="D166" s="24">
        <f t="shared" si="39"/>
        <v>0.11262679258481986</v>
      </c>
      <c r="E166" s="24">
        <f t="shared" si="39"/>
        <v>0.1098319561786278</v>
      </c>
      <c r="F166" s="24">
        <f t="shared" si="39"/>
        <v>0.09475806451612903</v>
      </c>
      <c r="G166" s="24">
        <f t="shared" si="39"/>
        <v>0.08572466400290592</v>
      </c>
      <c r="H166" s="57">
        <v>0.108</v>
      </c>
      <c r="I166" s="1"/>
      <c r="J166" s="1" t="s">
        <v>218</v>
      </c>
      <c r="K166" s="1"/>
      <c r="L166" s="1"/>
    </row>
    <row r="167" ht="15" customHeight="1">
      <c r="A167" s="1"/>
      <c r="B167" s="50" t="s">
        <v>114</v>
      </c>
      <c r="C167" s="52">
        <f>(C166-(Inputs!C73/Inputs!C70))*10000</f>
        <v>-97.56872428408711</v>
      </c>
      <c r="D167" s="52">
        <f>(D166-(Inputs!E73/Inputs!E70))*10000</f>
        <v>111.50777824672262</v>
      </c>
      <c r="E167" s="52">
        <f>(E166-(Inputs!F73/Inputs!F70))*10000</f>
        <v>29.35698400092293</v>
      </c>
      <c r="F167" s="52">
        <f>(F166-(Inputs!G73/Inputs!G70))*10000</f>
        <v>-154.44427695708973</v>
      </c>
      <c r="G167" s="52">
        <f>(G166-(Inputs!H73/Inputs!H70))*10000</f>
        <v>-200.95441817199895</v>
      </c>
      <c r="H167" s="53">
        <f t="shared" si="20"/>
        <v>-24.52186805040765</v>
      </c>
      <c r="I167" s="1"/>
      <c r="J167" s="1"/>
      <c r="K167" s="1"/>
      <c r="L167" s="1"/>
    </row>
    <row r="168" ht="15" customHeight="1">
      <c r="A168" s="1"/>
      <c r="B168" s="50" t="s">
        <v>115</v>
      </c>
      <c r="C168" s="52">
        <f>(C166-(Inputs!H73/Inputs!H70))*10000</f>
        <v>46.3208098493495</v>
      </c>
      <c r="D168" s="54">
        <f t="shared" si="12"/>
        <v>21.746057797790986</v>
      </c>
      <c r="E168" s="54"/>
      <c r="F168" s="54">
        <f t="shared" si="14"/>
        <v>-178.6872806869083</v>
      </c>
      <c r="G168" s="54">
        <f t="shared" si="12"/>
        <v>-90.33400513223114</v>
      </c>
      <c r="H168" s="53">
        <f t="shared" si="12"/>
        <v>222.7533599709408</v>
      </c>
      <c r="I168" s="1"/>
      <c r="J168" s="1"/>
      <c r="K168" s="1"/>
      <c r="L168" s="1"/>
    </row>
    <row r="169" ht="15" customHeight="1">
      <c r="A169" s="1"/>
      <c r="B169" s="4" t="s">
        <v>250</v>
      </c>
      <c r="C169" s="67">
        <v>298</v>
      </c>
      <c r="D169" s="67">
        <v>322</v>
      </c>
      <c r="E169" s="67">
        <v>1183</v>
      </c>
      <c r="F169" s="67">
        <v>235</v>
      </c>
      <c r="G169" s="67">
        <v>236</v>
      </c>
      <c r="H169" s="68">
        <f>H49*H166</f>
        <v>303.050592</v>
      </c>
      <c r="I169" s="1"/>
      <c r="J169" s="1" t="s">
        <v>220</v>
      </c>
      <c r="K169" s="1"/>
      <c r="L169" s="1"/>
    </row>
    <row r="170" ht="15" customHeight="1">
      <c r="A170" s="1"/>
      <c r="B170" s="50" t="s">
        <v>111</v>
      </c>
      <c r="C170" s="42">
        <f>C169/Inputs!C73-1</f>
        <v>-0.13623188405797104</v>
      </c>
      <c r="D170" s="42">
        <f>D169/Inputs!E73-1</f>
        <v>0.1709090909090909</v>
      </c>
      <c r="E170" s="42">
        <f>E169/Inputs!F73-1</f>
        <v>-0.05661881977671457</v>
      </c>
      <c r="F170" s="42">
        <f>F169/Inputs!G73-1</f>
        <v>-0.16961130742049468</v>
      </c>
      <c r="G170" s="42">
        <f>G169/Inputs!H73-1</f>
        <v>-0.15714285714285714</v>
      </c>
      <c r="H170" s="49">
        <f t="shared" si="3"/>
        <v>0.016948295302013472</v>
      </c>
      <c r="I170" s="1"/>
      <c r="J170" s="1"/>
      <c r="K170" s="1"/>
      <c r="L170" s="1"/>
    </row>
    <row r="171" ht="15" customHeight="1">
      <c r="A171" s="1"/>
      <c r="B171" s="56" t="s">
        <v>144</v>
      </c>
      <c r="C171" s="22">
        <f>C169-Inputs!H73</f>
        <v>18</v>
      </c>
      <c r="D171" s="23">
        <f t="shared" si="1"/>
        <v>24</v>
      </c>
      <c r="E171" s="23"/>
      <c r="F171" s="23">
        <f t="shared" si="4"/>
        <v>-87</v>
      </c>
      <c r="G171" s="23">
        <f t="shared" si="1"/>
        <v>1</v>
      </c>
      <c r="H171" s="48">
        <f t="shared" si="1"/>
        <v>67.050592</v>
      </c>
      <c r="I171" s="1"/>
      <c r="J171" s="1"/>
      <c r="K171" s="1"/>
      <c r="L171" s="1"/>
    </row>
    <row r="172" ht="15" customHeight="1">
      <c r="A172" s="1"/>
      <c r="B172" s="17" t="s">
        <v>221</v>
      </c>
      <c r="C172" s="33">
        <v>-5</v>
      </c>
      <c r="D172" s="22">
        <f>E172-Inputs!D198</f>
        <v>10</v>
      </c>
      <c r="E172" s="33">
        <v>47</v>
      </c>
      <c r="F172" s="33">
        <v>-38</v>
      </c>
      <c r="G172" s="33">
        <v>-91</v>
      </c>
      <c r="H172" s="48"/>
      <c r="I172" s="1"/>
      <c r="J172" s="1" t="s">
        <v>222</v>
      </c>
      <c r="K172" s="1"/>
      <c r="L172" s="1"/>
    </row>
    <row r="173" ht="15" customHeight="1">
      <c r="A173" s="1"/>
      <c r="B173" s="50" t="s">
        <v>111</v>
      </c>
      <c r="C173" s="42">
        <f>C172/Inputs!C83-1</f>
        <v>-1.0833333333333333</v>
      </c>
      <c r="D173" s="42">
        <f>D172/Inputs!E83-1</f>
        <v>-2.25</v>
      </c>
      <c r="E173" s="42">
        <f>E172/Inputs!F83-1</f>
        <v>0.11904761904761907</v>
      </c>
      <c r="F173" s="42">
        <f>F172/Inputs!G83-1</f>
        <v>-2.310344827586207</v>
      </c>
      <c r="G173" s="42">
        <f>G172/Inputs!H83-1</f>
        <v>-8</v>
      </c>
      <c r="H173" s="49"/>
      <c r="I173" s="1"/>
      <c r="J173" s="1"/>
      <c r="K173" s="1"/>
      <c r="L173" s="1"/>
    </row>
    <row r="174" ht="15" customHeight="1">
      <c r="A174" s="1"/>
      <c r="B174" s="56" t="s">
        <v>144</v>
      </c>
      <c r="C174" s="22">
        <f>C172-Inputs!H83</f>
        <v>-18</v>
      </c>
      <c r="D174" s="23">
        <f t="shared" si="1"/>
        <v>15</v>
      </c>
      <c r="E174" s="23"/>
      <c r="F174" s="23">
        <f t="shared" si="4"/>
        <v>-48</v>
      </c>
      <c r="G174" s="23">
        <f t="shared" si="1"/>
        <v>-53</v>
      </c>
      <c r="H174" s="48"/>
      <c r="I174" s="1"/>
      <c r="J174" s="1"/>
      <c r="K174" s="1"/>
      <c r="L174" s="1"/>
    </row>
    <row r="175" ht="15" customHeight="1">
      <c r="A175" s="1"/>
      <c r="B175" s="35" t="s">
        <v>223</v>
      </c>
      <c r="C175" s="24">
        <f t="shared" si="40" ref="C175:G175">C172/C49</f>
        <v>-0.0018532246108228317</v>
      </c>
      <c r="D175" s="24">
        <f t="shared" si="40"/>
        <v>0.003497726477789437</v>
      </c>
      <c r="E175" s="24">
        <f t="shared" si="40"/>
        <v>0.0043635688422616285</v>
      </c>
      <c r="F175" s="24">
        <f t="shared" si="40"/>
        <v>-0.01532258064516129</v>
      </c>
      <c r="G175" s="24">
        <f t="shared" si="40"/>
        <v>-0.033054849255357795</v>
      </c>
      <c r="H175" s="49"/>
      <c r="I175" s="1"/>
      <c r="J175" s="1"/>
      <c r="K175" s="1"/>
      <c r="L175" s="1"/>
    </row>
    <row r="176" ht="15" customHeight="1">
      <c r="A176" s="1"/>
      <c r="B176" s="50" t="s">
        <v>114</v>
      </c>
      <c r="C176" s="52">
        <f>(C175-(Inputs!C83/Inputs!C70))*10000</f>
        <v>-227.59147955770567</v>
      </c>
      <c r="D176" s="52">
        <f>(D175-(Inputs!E83/Inputs!E70))*10000</f>
        <v>64.4975599808464</v>
      </c>
      <c r="E176" s="52">
        <f>(E175-(Inputs!F83/Inputs!F70))*10000</f>
        <v>7.833114047030229</v>
      </c>
      <c r="F176" s="52">
        <f>(F175-(Inputs!G83/Inputs!G70))*10000</f>
        <v>-266.1541553612702</v>
      </c>
      <c r="G176" s="52">
        <f>(G175-(Inputs!H83/Inputs!H70))*10000</f>
        <v>-379.67925597005564</v>
      </c>
      <c r="H176" s="53"/>
      <c r="I176" s="1"/>
      <c r="J176" s="1"/>
      <c r="K176" s="1"/>
      <c r="L176" s="1"/>
    </row>
    <row r="177" ht="15" customHeight="1">
      <c r="A177" s="1"/>
      <c r="B177" s="50" t="s">
        <v>115</v>
      </c>
      <c r="C177" s="52">
        <f>(C175-(Inputs!H83/Inputs!H70))*10000</f>
        <v>-67.66300952470601</v>
      </c>
      <c r="D177" s="54">
        <f t="shared" si="12"/>
        <v>53.50951088612268</v>
      </c>
      <c r="E177" s="54"/>
      <c r="F177" s="54">
        <f t="shared" si="14"/>
        <v>-188.2030712295073</v>
      </c>
      <c r="G177" s="54">
        <f t="shared" si="12"/>
        <v>-177.32268610196508</v>
      </c>
      <c r="H177" s="53"/>
      <c r="I177" s="1"/>
      <c r="J177" s="1"/>
      <c r="K177" s="1"/>
      <c r="L177" s="1"/>
    </row>
    <row r="178" ht="15" customHeight="1">
      <c r="A178" s="1"/>
      <c r="B178" s="17" t="s">
        <v>224</v>
      </c>
      <c r="C178" s="23">
        <f t="shared" si="41" ref="C178:G178">C169-C172</f>
        <v>303</v>
      </c>
      <c r="D178" s="23">
        <f t="shared" si="41"/>
        <v>312</v>
      </c>
      <c r="E178" s="23">
        <f t="shared" si="41"/>
        <v>1136</v>
      </c>
      <c r="F178" s="23">
        <f t="shared" si="41"/>
        <v>273</v>
      </c>
      <c r="G178" s="23">
        <f t="shared" si="41"/>
        <v>327</v>
      </c>
      <c r="H178" s="48"/>
      <c r="I178" s="1"/>
      <c r="J178" s="1"/>
      <c r="K178" s="1"/>
      <c r="L178" s="1"/>
    </row>
    <row r="179" ht="15" customHeight="1">
      <c r="A179" s="1"/>
      <c r="B179" s="50" t="s">
        <v>111</v>
      </c>
      <c r="C179" s="42">
        <f>C178/(Inputs!C73-Inputs!C83)-1</f>
        <v>0.06315789473684208</v>
      </c>
      <c r="D179" s="42">
        <f>D178/(Inputs!E73-Inputs!E83)-1</f>
        <v>0.10247349823321561</v>
      </c>
      <c r="E179" s="42">
        <f>E178/(Inputs!F73-Inputs!F83)-1</f>
        <v>-0.06270627062706269</v>
      </c>
      <c r="F179" s="42">
        <f>F178/(Inputs!G73-Inputs!G83)-1</f>
        <v>0.0748031496062993</v>
      </c>
      <c r="G179" s="42">
        <f>G178/(Inputs!H73-Inputs!H83)-1</f>
        <v>0.2247191011235956</v>
      </c>
      <c r="H179" s="49"/>
      <c r="I179" s="1"/>
      <c r="J179" s="1"/>
      <c r="K179" s="1"/>
      <c r="L179" s="1"/>
    </row>
    <row r="180" ht="15" customHeight="1">
      <c r="A180" s="1"/>
      <c r="B180" s="56" t="s">
        <v>144</v>
      </c>
      <c r="C180" s="22">
        <f>C178-(Inputs!H73-Inputs!H83)</f>
        <v>36</v>
      </c>
      <c r="D180" s="23">
        <f t="shared" si="1"/>
        <v>9</v>
      </c>
      <c r="E180" s="23"/>
      <c r="F180" s="23">
        <f t="shared" si="4"/>
        <v>-39</v>
      </c>
      <c r="G180" s="23">
        <f t="shared" si="1"/>
        <v>54</v>
      </c>
      <c r="H180" s="48"/>
      <c r="I180" s="1"/>
      <c r="J180" s="1"/>
      <c r="K180" s="1"/>
      <c r="L180" s="1"/>
    </row>
    <row r="181" ht="15" customHeight="1">
      <c r="A181" s="1"/>
      <c r="B181" s="35" t="s">
        <v>225</v>
      </c>
      <c r="C181" s="24">
        <f t="shared" si="42" ref="C181:G181">C178/C49</f>
        <v>0.1123054114158636</v>
      </c>
      <c r="D181" s="24">
        <f t="shared" si="42"/>
        <v>0.10912906610703044</v>
      </c>
      <c r="E181" s="24">
        <f t="shared" si="42"/>
        <v>0.10546838733636617</v>
      </c>
      <c r="F181" s="24">
        <f t="shared" si="42"/>
        <v>0.11008064516129032</v>
      </c>
      <c r="G181" s="24">
        <f t="shared" si="42"/>
        <v>0.11877951325826372</v>
      </c>
      <c r="H181" s="49"/>
      <c r="I181" s="1"/>
      <c r="J181" s="1"/>
      <c r="K181" s="1"/>
      <c r="L181" s="1"/>
    </row>
    <row r="182" ht="15" customHeight="1">
      <c r="A182" s="1"/>
      <c r="B182" s="50" t="s">
        <v>114</v>
      </c>
      <c r="C182" s="52">
        <f>(C181-((Inputs!C73-Inputs!C83)/Inputs!C70))*10000</f>
        <v>130.02275527361857</v>
      </c>
      <c r="D182" s="52">
        <f>(D181-((Inputs!E73-Inputs!E83)/Inputs!E70))*10000</f>
        <v>47.01021826587631</v>
      </c>
      <c r="E182" s="52">
        <f>(E181-((Inputs!F73-Inputs!F83)/Inputs!F70))*10000</f>
        <v>21.523869953892632</v>
      </c>
      <c r="F182" s="52">
        <f>(F181-((Inputs!G73-Inputs!G83)/Inputs!G70))*10000</f>
        <v>111.70987840418049</v>
      </c>
      <c r="G182" s="52">
        <f>(G181-((Inputs!H73-Inputs!H83)/Inputs!H70))*10000</f>
        <v>178.72483779805674</v>
      </c>
      <c r="H182" s="53"/>
      <c r="I182" s="1"/>
      <c r="J182" s="1"/>
      <c r="K182" s="1"/>
      <c r="L182" s="1"/>
    </row>
    <row r="183" ht="15" customHeight="1">
      <c r="A183" s="1"/>
      <c r="B183" s="50" t="s">
        <v>115</v>
      </c>
      <c r="C183" s="52">
        <f>(C181-((Inputs!H73-Inputs!H83)/Inputs!H70))*10000</f>
        <v>113.98381937405556</v>
      </c>
      <c r="D183" s="54">
        <f t="shared" si="12"/>
        <v>-31.763453088331644</v>
      </c>
      <c r="E183" s="54"/>
      <c r="F183" s="54">
        <f t="shared" si="14"/>
        <v>9.515790542598824</v>
      </c>
      <c r="G183" s="54">
        <f t="shared" si="12"/>
        <v>86.988680969734</v>
      </c>
      <c r="H183" s="53"/>
      <c r="I183" s="1"/>
      <c r="J183" s="1"/>
      <c r="K183" s="1"/>
      <c r="L183" s="1"/>
    </row>
    <row r="184" ht="15" customHeight="1">
      <c r="A184" s="1"/>
      <c r="B184" s="1"/>
      <c r="C184" s="1"/>
      <c r="D184" s="1"/>
      <c r="E184" s="1"/>
      <c r="F184" s="1"/>
      <c r="G184" s="1"/>
      <c r="H184" s="45"/>
      <c r="I184" s="1"/>
      <c r="J184" s="1"/>
      <c r="K184" s="1"/>
      <c r="L184" s="1"/>
    </row>
    <row r="185" ht="15" customHeight="1">
      <c r="A185" s="1"/>
      <c r="B185" s="4" t="s">
        <v>226</v>
      </c>
      <c r="C185" s="34"/>
      <c r="D185" s="34"/>
      <c r="E185" s="34"/>
      <c r="F185" s="34"/>
      <c r="G185" s="34"/>
      <c r="H185" s="32"/>
      <c r="I185" s="1"/>
      <c r="J185" s="1"/>
      <c r="K185" s="1"/>
      <c r="L185" s="1"/>
    </row>
    <row r="186" ht="15" customHeight="1">
      <c r="A186" s="1"/>
      <c r="B186" s="17" t="s">
        <v>227</v>
      </c>
      <c r="C186" s="33">
        <v>98</v>
      </c>
      <c r="D186" s="22">
        <f>E186-Inputs!D199</f>
        <v>106</v>
      </c>
      <c r="E186" s="33">
        <v>367</v>
      </c>
      <c r="F186" s="33">
        <v>96</v>
      </c>
      <c r="G186" s="33">
        <v>99</v>
      </c>
      <c r="H186" s="48"/>
      <c r="I186" s="1"/>
      <c r="J186" s="1" t="s">
        <v>228</v>
      </c>
      <c r="K186" s="1"/>
      <c r="L186" s="1"/>
    </row>
    <row r="187" ht="15" customHeight="1">
      <c r="A187" s="1"/>
      <c r="B187" s="50" t="s">
        <v>111</v>
      </c>
      <c r="C187" s="42">
        <f>C186/Inputs!C84-1</f>
        <v>0.13953488372093026</v>
      </c>
      <c r="D187" s="42">
        <f>D186/Inputs!E84-1</f>
        <v>-0.08620689655172409</v>
      </c>
      <c r="E187" s="42">
        <f>E186/Inputs!F84-1</f>
        <v>0.013812154696132506</v>
      </c>
      <c r="F187" s="42">
        <f>F186/Inputs!G84-1</f>
        <v>0.21518987341772156</v>
      </c>
      <c r="G187" s="42">
        <f>G186/Inputs!H84-1</f>
        <v>0.1785714285714286</v>
      </c>
      <c r="H187" s="49"/>
      <c r="I187" s="1"/>
      <c r="J187" s="1"/>
      <c r="K187" s="1"/>
      <c r="L187" s="1"/>
    </row>
    <row r="188" ht="15" customHeight="1">
      <c r="A188" s="1"/>
      <c r="B188" s="56" t="s">
        <v>144</v>
      </c>
      <c r="C188" s="22">
        <f>C186-Inputs!H84</f>
        <v>14</v>
      </c>
      <c r="D188" s="23">
        <f t="shared" si="1"/>
        <v>8</v>
      </c>
      <c r="E188" s="23"/>
      <c r="F188" s="23">
        <f t="shared" si="4"/>
        <v>-10</v>
      </c>
      <c r="G188" s="23">
        <f t="shared" si="1"/>
        <v>3</v>
      </c>
      <c r="H188" s="48"/>
      <c r="I188" s="1"/>
      <c r="J188" s="1"/>
      <c r="K188" s="1"/>
      <c r="L188" s="1"/>
    </row>
    <row r="189" ht="15" customHeight="1">
      <c r="A189" s="1"/>
      <c r="B189" s="17" t="s">
        <v>229</v>
      </c>
      <c r="C189" s="33">
        <v>70</v>
      </c>
      <c r="D189" s="22">
        <f>E189-Inputs!D200</f>
        <v>152</v>
      </c>
      <c r="E189" s="33">
        <v>403</v>
      </c>
      <c r="F189" s="33">
        <v>43</v>
      </c>
      <c r="G189" s="33">
        <v>84</v>
      </c>
      <c r="H189" s="48"/>
      <c r="I189" s="1"/>
      <c r="J189" s="1"/>
      <c r="K189" s="1"/>
      <c r="L189" s="1"/>
    </row>
    <row r="190" ht="15" customHeight="1">
      <c r="A190" s="1"/>
      <c r="B190" s="50" t="s">
        <v>111</v>
      </c>
      <c r="C190" s="42">
        <f>C189/Inputs!C85-1</f>
        <v>-0.453125</v>
      </c>
      <c r="D190" s="42">
        <f>D189/Inputs!E85-1</f>
        <v>-0.3944223107569721</v>
      </c>
      <c r="E190" s="42">
        <f>E189/Inputs!F85-1</f>
        <v>-0.38190184049079756</v>
      </c>
      <c r="F190" s="42">
        <f>F189/Inputs!G85-1</f>
        <v>-0.6090909090909091</v>
      </c>
      <c r="G190" s="42">
        <f>G189/Inputs!H85-1</f>
        <v>0.18309859154929575</v>
      </c>
      <c r="H190" s="49"/>
      <c r="I190" s="1"/>
      <c r="J190" s="1"/>
      <c r="K190" s="1"/>
      <c r="L190" s="1"/>
    </row>
    <row r="191" ht="15" customHeight="1">
      <c r="A191" s="1"/>
      <c r="B191" s="56" t="s">
        <v>144</v>
      </c>
      <c r="C191" s="22">
        <f>C189-Inputs!H85</f>
        <v>-1</v>
      </c>
      <c r="D191" s="23">
        <f t="shared" si="1"/>
        <v>82</v>
      </c>
      <c r="E191" s="23"/>
      <c r="F191" s="23">
        <f t="shared" si="4"/>
        <v>-109</v>
      </c>
      <c r="G191" s="23">
        <f t="shared" si="1"/>
        <v>41</v>
      </c>
      <c r="H191" s="48"/>
      <c r="I191" s="1"/>
      <c r="J191" s="1"/>
      <c r="K191" s="1"/>
      <c r="L191" s="1"/>
    </row>
    <row r="192" ht="15" customHeight="1">
      <c r="A192" s="1"/>
      <c r="B192" s="35" t="s">
        <v>230</v>
      </c>
      <c r="C192" s="24">
        <f t="shared" si="43" ref="C192:G192">C189/C49</f>
        <v>0.025945144551519646</v>
      </c>
      <c r="D192" s="24">
        <f t="shared" si="43"/>
        <v>0.05316544246239944</v>
      </c>
      <c r="E192" s="24">
        <f t="shared" si="43"/>
        <v>0.03741528177513694</v>
      </c>
      <c r="F192" s="24">
        <f t="shared" si="43"/>
        <v>0.017338709677419354</v>
      </c>
      <c r="G192" s="24">
        <f t="shared" si="43"/>
        <v>0.030512168543407193</v>
      </c>
      <c r="H192" s="49"/>
      <c r="I192" s="1"/>
      <c r="J192" s="1"/>
      <c r="K192" s="1"/>
      <c r="L192" s="1"/>
    </row>
    <row r="193" ht="15" customHeight="1">
      <c r="A193" s="1"/>
      <c r="B193" s="50" t="s">
        <v>114</v>
      </c>
      <c r="C193" s="52">
        <f>(C192-(Inputs!C85/Inputs!C70))*10000</f>
        <v>-186.54158584368855</v>
      </c>
      <c r="D193" s="52">
        <f>(D192-(Inputs!E85/Inputs!E70))*10000</f>
        <v>-394.5448373686255</v>
      </c>
      <c r="E193" s="52">
        <f>(E192-(Inputs!F85/Inputs!F70))*10000</f>
        <v>-181.6395273172522</v>
      </c>
      <c r="F193" s="52">
        <f>(F192-(Inputs!G85/Inputs!G70))*10000</f>
        <v>-254.96181288312732</v>
      </c>
      <c r="G193" s="52">
        <f>(G192-(Inputs!H85/Inputs!H70))*10000</f>
        <v>36.79213139023217</v>
      </c>
      <c r="H193" s="53"/>
      <c r="I193" s="1"/>
      <c r="J193" s="1"/>
      <c r="K193" s="1"/>
      <c r="L193" s="1"/>
    </row>
    <row r="194" ht="15" customHeight="1">
      <c r="A194" s="1"/>
      <c r="B194" s="50" t="s">
        <v>115</v>
      </c>
      <c r="C194" s="52">
        <f>(C192-(Inputs!H85/Inputs!H70))*10000</f>
        <v>-8.878108528643306</v>
      </c>
      <c r="D194" s="54">
        <f t="shared" si="12"/>
        <v>272.20297910879793</v>
      </c>
      <c r="E194" s="54"/>
      <c r="F194" s="54">
        <f t="shared" si="14"/>
        <v>-358.26732784980084</v>
      </c>
      <c r="G194" s="54">
        <f t="shared" si="12"/>
        <v>131.7345886598784</v>
      </c>
      <c r="H194" s="53"/>
      <c r="I194" s="1"/>
      <c r="J194" s="1"/>
      <c r="K194" s="1"/>
      <c r="L194" s="1"/>
    </row>
    <row r="195" ht="15" customHeight="1">
      <c r="A195" s="1"/>
      <c r="B195" s="1"/>
      <c r="C195" s="1"/>
      <c r="D195" s="1"/>
      <c r="E195" s="1"/>
      <c r="F195" s="1"/>
      <c r="G195" s="1"/>
      <c r="H195" s="45"/>
      <c r="I195" s="1"/>
      <c r="J195" s="1"/>
      <c r="K195" s="1"/>
      <c r="L19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5397278-3F68-64C8-F4A8-33287750FA6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80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251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252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7" t="s">
        <v>253</v>
      </c>
      <c r="C10" s="33">
        <v>8369</v>
      </c>
      <c r="D10" s="22">
        <f>E10-Inputs!D201</f>
        <v>9593</v>
      </c>
      <c r="E10" s="33">
        <v>33741</v>
      </c>
      <c r="F10" s="33">
        <v>7958</v>
      </c>
      <c r="G10" s="33">
        <v>8808</v>
      </c>
      <c r="H10" s="48">
        <f>H22*H29</f>
        <v>9019.631835782273</v>
      </c>
      <c r="I10" s="1"/>
      <c r="J10" s="1" t="s">
        <v>254</v>
      </c>
      <c r="K10" s="1"/>
      <c r="L10" s="1"/>
    </row>
    <row r="11" ht="15" customHeight="1">
      <c r="A11" s="1"/>
      <c r="B11" s="50" t="s">
        <v>111</v>
      </c>
      <c r="C11" s="42">
        <f>C10/Inputs!C91-1</f>
        <v>0.054162992820254496</v>
      </c>
      <c r="D11" s="42">
        <f>D10/Inputs!E91-1</f>
        <v>0.11429898942966665</v>
      </c>
      <c r="E11" s="42">
        <f>E10/Inputs!F91-1</f>
        <v>0.031015095031473372</v>
      </c>
      <c r="F11" s="42">
        <f>F10/Inputs!G91-1</f>
        <v>0.05810397553516822</v>
      </c>
      <c r="G11" s="42">
        <f>G10/Inputs!H91-1</f>
        <v>0.06660208282877211</v>
      </c>
      <c r="H11" s="49">
        <f t="shared" si="1" ref="H11:H166">H10/C10-1</f>
        <v>0.07774307991184992</v>
      </c>
      <c r="I11" s="1"/>
      <c r="J11" s="1"/>
      <c r="K11" s="1"/>
      <c r="L11" s="1"/>
    </row>
    <row r="12" ht="15" customHeight="1">
      <c r="A12" s="1"/>
      <c r="B12" s="50" t="s">
        <v>112</v>
      </c>
      <c r="C12" s="42">
        <f>C10/Inputs!H91-1</f>
        <v>0.013441511261806705</v>
      </c>
      <c r="D12" s="24">
        <f t="shared" si="0" ref="D12:H24">D10/C10-1</f>
        <v>0.14625403273987336</v>
      </c>
      <c r="E12" s="24"/>
      <c r="F12" s="24">
        <f t="shared" si="2" ref="F12:F24">F10/D10-1</f>
        <v>-0.17043677681642866</v>
      </c>
      <c r="G12" s="24">
        <f t="shared" si="0"/>
        <v>0.10681075647147531</v>
      </c>
      <c r="H12" s="49">
        <f t="shared" si="0"/>
        <v>0.02402722931224721</v>
      </c>
      <c r="I12" s="1"/>
      <c r="J12" s="1"/>
      <c r="K12" s="1"/>
      <c r="L12" s="1"/>
    </row>
    <row r="13" ht="15" customHeight="1">
      <c r="A13" s="1"/>
      <c r="B13" s="50" t="s">
        <v>119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49">
        <f t="shared" si="3" ref="H13:H19">H11</f>
        <v>0.07774307991184992</v>
      </c>
      <c r="I13" s="1"/>
      <c r="J13" s="1" t="s">
        <v>255</v>
      </c>
      <c r="K13" s="1"/>
      <c r="L13" s="1"/>
    </row>
    <row r="14" ht="15" customHeight="1">
      <c r="A14" s="1"/>
      <c r="B14" s="50" t="s">
        <v>117</v>
      </c>
      <c r="C14" s="24" t="s">
        <v>38</v>
      </c>
      <c r="D14" s="24" t="s">
        <v>38</v>
      </c>
      <c r="E14" s="24" t="s">
        <v>38</v>
      </c>
      <c r="F14" s="24" t="s">
        <v>38</v>
      </c>
      <c r="G14" s="24" t="s">
        <v>38</v>
      </c>
      <c r="H14" s="57">
        <v>0</v>
      </c>
      <c r="I14" s="1"/>
      <c r="J14" s="1"/>
      <c r="K14" s="1"/>
      <c r="L14" s="1"/>
    </row>
    <row r="15" ht="15" customHeight="1">
      <c r="A15" s="1"/>
      <c r="B15" s="56" t="s">
        <v>118</v>
      </c>
      <c r="C15" s="34" t="s">
        <v>38</v>
      </c>
      <c r="D15" s="34" t="s">
        <v>38</v>
      </c>
      <c r="E15" s="34" t="s">
        <v>38</v>
      </c>
      <c r="F15" s="34" t="s">
        <v>38</v>
      </c>
      <c r="G15" s="34" t="s">
        <v>38</v>
      </c>
      <c r="H15" s="32" t="s">
        <v>38</v>
      </c>
      <c r="I15" s="1"/>
      <c r="J15" s="1"/>
      <c r="K15" s="1"/>
      <c r="L15" s="1"/>
    </row>
    <row r="16" ht="15" customHeight="1">
      <c r="A16" s="1"/>
      <c r="B16" s="17" t="s">
        <v>256</v>
      </c>
      <c r="C16" s="33">
        <v>2054</v>
      </c>
      <c r="D16" s="22">
        <f>E16-Inputs!D202</f>
        <v>2119</v>
      </c>
      <c r="E16" s="33">
        <v>8213</v>
      </c>
      <c r="F16" s="33">
        <v>1923</v>
      </c>
      <c r="G16" s="33">
        <v>2068</v>
      </c>
      <c r="H16" s="48">
        <f>H22-H10</f>
        <v>2117.688310217727</v>
      </c>
      <c r="I16" s="1"/>
      <c r="J16" s="1" t="s">
        <v>257</v>
      </c>
      <c r="K16" s="1"/>
      <c r="L16" s="1"/>
    </row>
    <row r="17" ht="15" customHeight="1">
      <c r="A17" s="1"/>
      <c r="B17" s="50" t="s">
        <v>111</v>
      </c>
      <c r="C17" s="42">
        <f>C16/Inputs!C92-1</f>
        <v>-0.001458434613514803</v>
      </c>
      <c r="D17" s="42">
        <f>D16/Inputs!E92-1</f>
        <v>0.020221473278767554</v>
      </c>
      <c r="E17" s="42">
        <f>E16/Inputs!F92-1</f>
        <v>-0.01131575779463101</v>
      </c>
      <c r="F17" s="42">
        <f>F16/Inputs!G92-1</f>
        <v>-0.012326656394452962</v>
      </c>
      <c r="G17" s="42">
        <f>G16/Inputs!H92-1</f>
        <v>-0.011944577161968506</v>
      </c>
      <c r="H17" s="49">
        <f t="shared" si="1"/>
        <v>0.031006966999867158</v>
      </c>
      <c r="I17" s="1"/>
      <c r="J17" s="1"/>
      <c r="K17" s="1"/>
      <c r="L17" s="1"/>
    </row>
    <row r="18" ht="15" customHeight="1">
      <c r="A18" s="1"/>
      <c r="B18" s="50" t="s">
        <v>112</v>
      </c>
      <c r="C18" s="42">
        <f>C16/Inputs!H92-1</f>
        <v>-0.018633540372670843</v>
      </c>
      <c r="D18" s="24">
        <f t="shared" si="0"/>
        <v>0.03164556962025311</v>
      </c>
      <c r="E18" s="24"/>
      <c r="F18" s="24">
        <f t="shared" si="2"/>
        <v>-0.09249646059462013</v>
      </c>
      <c r="G18" s="24">
        <f t="shared" si="0"/>
        <v>0.07540301612064493</v>
      </c>
      <c r="H18" s="49">
        <f t="shared" si="0"/>
        <v>0.02402722931224721</v>
      </c>
      <c r="I18" s="1"/>
      <c r="J18" s="1"/>
      <c r="K18" s="1"/>
      <c r="L18" s="1"/>
    </row>
    <row r="19" ht="15" customHeight="1">
      <c r="A19" s="1"/>
      <c r="B19" s="50" t="s">
        <v>119</v>
      </c>
      <c r="C19" s="24" t="s">
        <v>38</v>
      </c>
      <c r="D19" s="24" t="s">
        <v>38</v>
      </c>
      <c r="E19" s="24" t="s">
        <v>38</v>
      </c>
      <c r="F19" s="24" t="s">
        <v>38</v>
      </c>
      <c r="G19" s="24" t="s">
        <v>38</v>
      </c>
      <c r="H19" s="49">
        <f t="shared" si="3"/>
        <v>0.031006966999867158</v>
      </c>
      <c r="I19" s="1"/>
      <c r="J19" s="1" t="s">
        <v>258</v>
      </c>
      <c r="K19" s="1"/>
      <c r="L19" s="1"/>
    </row>
    <row r="20" ht="15" customHeight="1">
      <c r="A20" s="1"/>
      <c r="B20" s="50" t="s">
        <v>117</v>
      </c>
      <c r="C20" s="24" t="s">
        <v>38</v>
      </c>
      <c r="D20" s="24" t="s">
        <v>38</v>
      </c>
      <c r="E20" s="24" t="s">
        <v>38</v>
      </c>
      <c r="F20" s="24" t="s">
        <v>38</v>
      </c>
      <c r="G20" s="24" t="s">
        <v>38</v>
      </c>
      <c r="H20" s="57">
        <v>0</v>
      </c>
      <c r="I20" s="1"/>
      <c r="J20" s="1"/>
      <c r="K20" s="1"/>
      <c r="L20" s="1"/>
    </row>
    <row r="21" ht="15" customHeight="1">
      <c r="A21" s="1"/>
      <c r="B21" s="56" t="s">
        <v>118</v>
      </c>
      <c r="C21" s="34" t="s">
        <v>38</v>
      </c>
      <c r="D21" s="34" t="s">
        <v>38</v>
      </c>
      <c r="E21" s="34" t="s">
        <v>38</v>
      </c>
      <c r="F21" s="34" t="s">
        <v>38</v>
      </c>
      <c r="G21" s="34" t="s">
        <v>38</v>
      </c>
      <c r="H21" s="32" t="s">
        <v>38</v>
      </c>
      <c r="I21" s="1"/>
      <c r="J21" s="1"/>
      <c r="K21" s="1"/>
      <c r="L21" s="1"/>
    </row>
    <row r="22" ht="15" customHeight="1">
      <c r="A22" s="1"/>
      <c r="B22" s="4" t="s">
        <v>103</v>
      </c>
      <c r="C22" s="58">
        <f>'Revenue summary'!C15</f>
        <v>10423</v>
      </c>
      <c r="D22" s="58">
        <f>'Revenue summary'!D15</f>
        <v>11712</v>
      </c>
      <c r="E22" s="58">
        <f>'Revenue summary'!E15</f>
        <v>41954</v>
      </c>
      <c r="F22" s="58">
        <f>'Revenue summary'!F15</f>
        <v>9881</v>
      </c>
      <c r="G22" s="58">
        <f>'Revenue summary'!G15</f>
        <v>10876</v>
      </c>
      <c r="H22" s="59">
        <f>'Revenue summary'!H15</f>
        <v>11137.320146</v>
      </c>
      <c r="I22" s="1"/>
      <c r="J22" s="1" t="s">
        <v>259</v>
      </c>
      <c r="K22" s="1"/>
      <c r="L22" s="1"/>
    </row>
    <row r="23" ht="15" customHeight="1">
      <c r="A23" s="1"/>
      <c r="B23" s="50" t="s">
        <v>111</v>
      </c>
      <c r="C23" s="42">
        <f>C22/(((Inputs!C13)+(Inputs!C32)+(Inputs!C51)+(Inputs!C70)+(-(Inputs!C15+Inputs!C34+Inputs!C53+Inputs!C72))))-1</f>
        <v>0.042717086834733964</v>
      </c>
      <c r="D23" s="42">
        <f>D22/(((Inputs!E13)+(Inputs!E32)+(Inputs!E51)+(Inputs!E70)+(-(Inputs!E15+Inputs!E34+Inputs!E53+Inputs!E72))))-1</f>
        <v>0.09601347557551931</v>
      </c>
      <c r="E23" s="42">
        <f>E22/(((Inputs!F13)+(Inputs!F32)+(Inputs!F51)+(Inputs!F70)+(-(Inputs!F15+Inputs!F34+Inputs!F53+Inputs!F72))))-1</f>
        <v>0.022445348865547166</v>
      </c>
      <c r="F23" s="42">
        <f>F22/(((Inputs!G13)+(Inputs!G32)+(Inputs!G51)+(Inputs!G70)+(-(Inputs!G15+Inputs!G34+Inputs!G53+Inputs!G72))))-1</f>
        <v>0.04362061681453322</v>
      </c>
      <c r="G23" s="42">
        <f>G22/(((Inputs!H13)+(Inputs!H32)+(Inputs!H51)+(Inputs!H70)+(-(Inputs!H15+Inputs!H34+Inputs!H53+Inputs!H72))))-1</f>
        <v>0.050719737223456685</v>
      </c>
      <c r="H23" s="49">
        <f t="shared" si="1"/>
        <v>0.06853306591192565</v>
      </c>
      <c r="I23" s="1"/>
      <c r="J23" s="1"/>
      <c r="K23" s="1"/>
      <c r="L23" s="1"/>
    </row>
    <row r="24" ht="15" customHeight="1">
      <c r="A24" s="1"/>
      <c r="B24" s="50" t="s">
        <v>112</v>
      </c>
      <c r="C24" s="42">
        <f>C22/(((Inputs!H13)+(Inputs!H32)+(Inputs!H51)+(Inputs!H70)+(-(Inputs!H15+Inputs!H34+Inputs!H53+Inputs!H72))))-1</f>
        <v>0.00695584967635976</v>
      </c>
      <c r="D24" s="24">
        <f t="shared" si="0"/>
        <v>0.12366880936390667</v>
      </c>
      <c r="E24" s="24"/>
      <c r="F24" s="24">
        <f t="shared" si="2"/>
        <v>-0.1563353825136612</v>
      </c>
      <c r="G24" s="24">
        <f t="shared" si="0"/>
        <v>0.10069830988766326</v>
      </c>
      <c r="H24" s="49">
        <f t="shared" si="0"/>
        <v>0.02402722931224721</v>
      </c>
      <c r="I24" s="1"/>
      <c r="J24" s="1"/>
      <c r="K24" s="1"/>
      <c r="L24" s="1"/>
    </row>
    <row r="25" ht="15" customHeight="1">
      <c r="A25" s="1"/>
      <c r="B25" s="50" t="s">
        <v>116</v>
      </c>
      <c r="C25" s="42">
        <f>'Revenue summary'!C74</f>
        <v>0.050070521861777184</v>
      </c>
      <c r="D25" s="42">
        <f>'Revenue summary'!D74</f>
        <v>0.10407239819004532</v>
      </c>
      <c r="E25" s="42">
        <f>'Revenue summary'!E74</f>
        <v>0.027326966043850875</v>
      </c>
      <c r="F25" s="42">
        <f>'Revenue summary'!F74</f>
        <v>0.05161770966368673</v>
      </c>
      <c r="G25" s="42">
        <f>'Revenue summary'!G74</f>
        <v>0.054795849093201454</v>
      </c>
      <c r="H25" s="55">
        <f>'Revenue summary'!H74</f>
        <v>0.06853306591192565</v>
      </c>
      <c r="I25" s="1"/>
      <c r="J25" s="1" t="s">
        <v>260</v>
      </c>
      <c r="K25" s="1"/>
      <c r="L25" s="1"/>
    </row>
    <row r="26" ht="15" customHeight="1">
      <c r="A26" s="1"/>
      <c r="B26" s="50" t="s">
        <v>117</v>
      </c>
      <c r="C26" s="42">
        <f>'Revenue summary'!C75</f>
        <v>-0.007002801120448154</v>
      </c>
      <c r="D26" s="42">
        <f>'Revenue summary'!D75</f>
        <v>-0.007299270072992803</v>
      </c>
      <c r="E26" s="42">
        <f>'Revenue summary'!E75</f>
        <v>-0.004751765834690835</v>
      </c>
      <c r="F26" s="42">
        <f>'Revenue summary'!F75</f>
        <v>-0.0076045627376425395</v>
      </c>
      <c r="G26" s="42">
        <f>'Revenue summary'!G75</f>
        <v>-0.0038643609313110394</v>
      </c>
      <c r="H26" s="55">
        <f>'Revenue summary'!H75</f>
        <v>0</v>
      </c>
      <c r="I26" s="1"/>
      <c r="J26" s="1"/>
      <c r="K26" s="1"/>
      <c r="L26" s="1"/>
    </row>
    <row r="27" ht="15" customHeight="1">
      <c r="A27" s="1"/>
      <c r="B27" s="56" t="s">
        <v>118</v>
      </c>
      <c r="C27" s="70" t="str">
        <f>'Revenue summary'!C76</f>
        <v>n/a</v>
      </c>
      <c r="D27" s="70" t="str">
        <f>'Revenue summary'!D76</f>
        <v>n/a</v>
      </c>
      <c r="E27" s="70" t="str">
        <f>'Revenue summary'!E76</f>
        <v>n/a</v>
      </c>
      <c r="F27" s="70" t="str">
        <f>'Revenue summary'!F76</f>
        <v>n/a</v>
      </c>
      <c r="G27" s="70" t="str">
        <f>'Revenue summary'!G76</f>
        <v>n/a</v>
      </c>
      <c r="H27" s="71" t="str">
        <f>'Revenue summary'!H76</f>
        <v>n/a</v>
      </c>
      <c r="I27" s="1"/>
      <c r="J27" s="1"/>
      <c r="K27" s="1"/>
      <c r="L27" s="1"/>
    </row>
    <row r="28" ht="15" customHeight="1">
      <c r="A28" s="1"/>
      <c r="B28" s="17" t="s">
        <v>261</v>
      </c>
      <c r="C28" s="23">
        <f t="shared" si="4" ref="C28:H28">C10+C16-C22</f>
        <v>0</v>
      </c>
      <c r="D28" s="23">
        <f t="shared" si="4"/>
        <v>0</v>
      </c>
      <c r="E28" s="23">
        <f t="shared" si="4"/>
        <v>0</v>
      </c>
      <c r="F28" s="23">
        <f t="shared" si="4"/>
        <v>0</v>
      </c>
      <c r="G28" s="23">
        <f t="shared" si="4"/>
        <v>0</v>
      </c>
      <c r="H28" s="48">
        <f t="shared" si="4"/>
        <v>0</v>
      </c>
      <c r="I28" s="1"/>
      <c r="J28" s="1"/>
      <c r="K28" s="1"/>
      <c r="L28" s="1"/>
    </row>
    <row r="29" ht="15" customHeight="1">
      <c r="A29" s="1"/>
      <c r="B29" s="35" t="s">
        <v>262</v>
      </c>
      <c r="C29" s="24">
        <f t="shared" si="5" ref="C29:G29">C10/C22</f>
        <v>0.8029358150244651</v>
      </c>
      <c r="D29" s="24">
        <f t="shared" si="5"/>
        <v>0.8190744535519126</v>
      </c>
      <c r="E29" s="24">
        <f t="shared" si="5"/>
        <v>0.8042379749249178</v>
      </c>
      <c r="F29" s="24">
        <f t="shared" si="5"/>
        <v>0.8053840704382148</v>
      </c>
      <c r="G29" s="24">
        <f t="shared" si="5"/>
        <v>0.8098565649135712</v>
      </c>
      <c r="H29" s="49">
        <f t="shared" si="21" ref="H29:H112">G29</f>
        <v>0.8098565649135712</v>
      </c>
      <c r="I29" s="1"/>
      <c r="J29" s="1" t="s">
        <v>263</v>
      </c>
      <c r="K29" s="1"/>
      <c r="L29" s="1"/>
    </row>
    <row r="30" ht="15" customHeight="1">
      <c r="A30" s="1"/>
      <c r="B30" s="50" t="s">
        <v>114</v>
      </c>
      <c r="C30" s="52">
        <f>(C29-(Inputs!C91/(((Inputs!C13)+(Inputs!C32)+(Inputs!C51)+(Inputs!C70)+(-(Inputs!C15+Inputs!C34+Inputs!C53+Inputs!C72))))))*10000</f>
        <v>87.18127949635112</v>
      </c>
      <c r="D30" s="52">
        <f>(D29-(Inputs!E91/(((Inputs!E13)+(Inputs!E32)+(Inputs!E51)+(Inputs!E70)+(-(Inputs!E15+Inputs!E34+Inputs!E53+Inputs!E72))))))*10000</f>
        <v>134.40914341731002</v>
      </c>
      <c r="E30" s="52">
        <f>(E29-(Inputs!F91/(((Inputs!F13)+(Inputs!F32)+(Inputs!F51)+(Inputs!F70)+(-(Inputs!F15+Inputs!F34+Inputs!F53+Inputs!F72))))))*10000</f>
        <v>66.84786028176126</v>
      </c>
      <c r="F30" s="52">
        <f>(F29-(Inputs!G91/(((Inputs!G13)+(Inputs!G32)+(Inputs!G51)+(Inputs!G70)+(-(Inputs!G15+Inputs!G34+Inputs!G53+Inputs!G72))))))*10000</f>
        <v>110.24121135299714</v>
      </c>
      <c r="G30" s="52">
        <f>(G29-(Inputs!H91/(((Inputs!H13)+(Inputs!H32)+(Inputs!H51)+(Inputs!H70)+(-(Inputs!H15+Inputs!H34+Inputs!H53+Inputs!H72))))))*10000</f>
        <v>120.59250644418373</v>
      </c>
      <c r="H30" s="53">
        <f t="shared" si="9" ref="H30:H137">(H29-C29)*10000</f>
        <v>69.20749889106071</v>
      </c>
      <c r="I30" s="1"/>
      <c r="J30" s="1"/>
      <c r="K30" s="1"/>
      <c r="L30" s="1"/>
    </row>
    <row r="31" ht="15" customHeight="1">
      <c r="A31" s="1"/>
      <c r="B31" s="50" t="s">
        <v>115</v>
      </c>
      <c r="C31" s="52">
        <f>(C29-(Inputs!H91/(((Inputs!H13)+(Inputs!H32)+(Inputs!H51)+(Inputs!H70)+(-(Inputs!H15+Inputs!H34+Inputs!H53+Inputs!H72))))))*10000</f>
        <v>51.38500755312303</v>
      </c>
      <c r="D31" s="54">
        <f t="shared" si="6" ref="D31:H138">(D29-C29)*10000</f>
        <v>161.38638527447458</v>
      </c>
      <c r="E31" s="54"/>
      <c r="F31" s="54">
        <f t="shared" si="10" ref="F31:F138">(F29-D29)*10000</f>
        <v>-136.90383113697746</v>
      </c>
      <c r="G31" s="54">
        <f t="shared" si="6"/>
        <v>44.72494475356359</v>
      </c>
      <c r="H31" s="53">
        <f t="shared" si="6"/>
        <v>0</v>
      </c>
      <c r="I31" s="1"/>
      <c r="J31" s="1"/>
      <c r="K31" s="1"/>
      <c r="L31" s="1"/>
    </row>
    <row r="32" ht="15" customHeight="1">
      <c r="A32" s="1"/>
      <c r="B32" s="1"/>
      <c r="C32" s="1"/>
      <c r="D32" s="1"/>
      <c r="E32" s="1"/>
      <c r="F32" s="1"/>
      <c r="G32" s="1"/>
      <c r="H32" s="45"/>
      <c r="I32" s="1"/>
      <c r="J32" s="1"/>
      <c r="K32" s="1"/>
      <c r="L32" s="1"/>
    </row>
    <row r="33" ht="15" customHeight="1">
      <c r="A33" s="1"/>
      <c r="B33" s="4" t="s">
        <v>264</v>
      </c>
      <c r="C33" s="34"/>
      <c r="D33" s="34"/>
      <c r="E33" s="34"/>
      <c r="F33" s="34"/>
      <c r="G33" s="34"/>
      <c r="H33" s="32"/>
      <c r="I33" s="1"/>
      <c r="J33" s="1"/>
      <c r="K33" s="1"/>
      <c r="L33" s="1"/>
    </row>
    <row r="34" ht="15" customHeight="1">
      <c r="A34" s="1"/>
      <c r="B34" s="17" t="s">
        <v>265</v>
      </c>
      <c r="C34" s="33">
        <v>6631</v>
      </c>
      <c r="D34" s="22">
        <f>E34-Inputs!D203</f>
        <v>7757</v>
      </c>
      <c r="E34" s="33">
        <v>27280</v>
      </c>
      <c r="F34" s="33">
        <v>6433</v>
      </c>
      <c r="G34" s="33">
        <v>7155</v>
      </c>
      <c r="H34" s="48">
        <f t="shared" si="11" ref="H34:H40">H10*H37</f>
        <v>7309.052512109811</v>
      </c>
      <c r="I34" s="1"/>
      <c r="J34" s="1"/>
      <c r="K34" s="1"/>
      <c r="L34" s="1"/>
    </row>
    <row r="35" ht="15" customHeight="1">
      <c r="A35" s="1"/>
      <c r="B35" s="50" t="s">
        <v>111</v>
      </c>
      <c r="C35" s="42">
        <f>C34/Inputs!C93-1</f>
        <v>0.05589171974522289</v>
      </c>
      <c r="D35" s="42">
        <f>D34/Inputs!E93-1</f>
        <v>0.0911520607680405</v>
      </c>
      <c r="E35" s="42">
        <f>E34/Inputs!F93-1</f>
        <v>0.04169848785703367</v>
      </c>
      <c r="F35" s="42">
        <f>F34/Inputs!G93-1</f>
        <v>0.0105246622683004</v>
      </c>
      <c r="G35" s="42">
        <f>G34/Inputs!H93-1</f>
        <v>0.09638369598528951</v>
      </c>
      <c r="H35" s="49">
        <f t="shared" si="1"/>
        <v>0.10225494074948127</v>
      </c>
      <c r="I35" s="1"/>
      <c r="J35" s="1"/>
      <c r="K35" s="1"/>
      <c r="L35" s="1"/>
    </row>
    <row r="36" ht="15" customHeight="1">
      <c r="A36" s="1"/>
      <c r="B36" s="56" t="s">
        <v>144</v>
      </c>
      <c r="C36" s="22">
        <f>C34-Inputs!H93</f>
        <v>105</v>
      </c>
      <c r="D36" s="23">
        <f t="shared" si="7" ref="D36:H167">D34-C34</f>
        <v>1126</v>
      </c>
      <c r="E36" s="23"/>
      <c r="F36" s="23">
        <f t="shared" si="12" ref="F36:F167">F34-D34</f>
        <v>-1324</v>
      </c>
      <c r="G36" s="23">
        <f t="shared" si="7"/>
        <v>722</v>
      </c>
      <c r="H36" s="48">
        <f t="shared" si="7"/>
        <v>154.05251210981078</v>
      </c>
      <c r="I36" s="1"/>
      <c r="J36" s="1"/>
      <c r="K36" s="1"/>
      <c r="L36" s="1"/>
    </row>
    <row r="37" ht="15" customHeight="1">
      <c r="A37" s="1"/>
      <c r="B37" s="35" t="s">
        <v>266</v>
      </c>
      <c r="C37" s="24">
        <f t="shared" si="8" ref="C37:H49">C34/C10</f>
        <v>0.792328832596487</v>
      </c>
      <c r="D37" s="24">
        <f t="shared" si="8"/>
        <v>0.8086104451162306</v>
      </c>
      <c r="E37" s="24">
        <f t="shared" si="8"/>
        <v>0.8085118994694882</v>
      </c>
      <c r="F37" s="24">
        <f t="shared" si="8"/>
        <v>0.8083689369188238</v>
      </c>
      <c r="G37" s="24">
        <f t="shared" si="8"/>
        <v>0.8123297002724795</v>
      </c>
      <c r="H37" s="49">
        <f t="shared" si="13" ref="H37:H43">AVERAGE(F37,G37)</f>
        <v>0.8103493185956516</v>
      </c>
      <c r="I37" s="1"/>
      <c r="J37" s="1" t="s">
        <v>267</v>
      </c>
      <c r="K37" s="1"/>
      <c r="L37" s="1"/>
    </row>
    <row r="38" ht="15" customHeight="1">
      <c r="A38" s="1"/>
      <c r="B38" s="50" t="s">
        <v>114</v>
      </c>
      <c r="C38" s="52">
        <f>(C37-(Inputs!C93/Inputs!C91))*10000</f>
        <v>12.972165239337752</v>
      </c>
      <c r="D38" s="52">
        <f>(D37-(Inputs!E93/Inputs!E91))*10000</f>
        <v>-171.53290509277608</v>
      </c>
      <c r="E38" s="52">
        <f>(E37-(Inputs!F93/Inputs!F91))*10000</f>
        <v>82.91890913599941</v>
      </c>
      <c r="F38" s="52">
        <f>(F37-(Inputs!G93/Inputs!G91))*10000</f>
        <v>-380.6105909234492</v>
      </c>
      <c r="G38" s="52">
        <f>(G37-(Inputs!H93/Inputs!H91))*10000</f>
        <v>220.65713835085486</v>
      </c>
      <c r="H38" s="53">
        <f t="shared" si="9"/>
        <v>180.20485999164615</v>
      </c>
      <c r="I38" s="1"/>
      <c r="J38" s="1"/>
      <c r="K38" s="1"/>
      <c r="L38" s="1"/>
    </row>
    <row r="39" ht="15" customHeight="1">
      <c r="A39" s="1"/>
      <c r="B39" s="50" t="s">
        <v>115</v>
      </c>
      <c r="C39" s="52">
        <f>(C37-(Inputs!H93/Inputs!H91))*10000</f>
        <v>20.6484615909297</v>
      </c>
      <c r="D39" s="54">
        <f t="shared" si="6"/>
        <v>162.81612519743584</v>
      </c>
      <c r="E39" s="54"/>
      <c r="F39" s="54">
        <f t="shared" si="10"/>
        <v>-2.41508197406759</v>
      </c>
      <c r="G39" s="54">
        <f t="shared" si="6"/>
        <v>39.60763353655694</v>
      </c>
      <c r="H39" s="53">
        <f t="shared" si="6"/>
        <v>-19.803816768279027</v>
      </c>
      <c r="I39" s="1"/>
      <c r="J39" s="1"/>
      <c r="K39" s="1"/>
      <c r="L39" s="1"/>
    </row>
    <row r="40" ht="15" customHeight="1">
      <c r="A40" s="1"/>
      <c r="B40" s="17" t="s">
        <v>268</v>
      </c>
      <c r="C40" s="33">
        <v>1565</v>
      </c>
      <c r="D40" s="22">
        <f>E40-Inputs!D204</f>
        <v>1659</v>
      </c>
      <c r="E40" s="33">
        <v>6361</v>
      </c>
      <c r="F40" s="33">
        <v>1488</v>
      </c>
      <c r="G40" s="33">
        <v>1600</v>
      </c>
      <c r="H40" s="48">
        <f t="shared" si="11"/>
        <v>1638.545809867889</v>
      </c>
      <c r="I40" s="1"/>
      <c r="J40" s="1"/>
      <c r="K40" s="1"/>
      <c r="L40" s="1"/>
    </row>
    <row r="41" ht="15" customHeight="1">
      <c r="A41" s="1"/>
      <c r="B41" s="50" t="s">
        <v>111</v>
      </c>
      <c r="C41" s="42">
        <f>C40/Inputs!C94-1</f>
        <v>-0.02795031055900621</v>
      </c>
      <c r="D41" s="42">
        <f>D40/Inputs!E94-1</f>
        <v>0.008510638297872353</v>
      </c>
      <c r="E41" s="42">
        <f>E40/Inputs!F94-1</f>
        <v>-0.01881844824926726</v>
      </c>
      <c r="F41" s="42">
        <f>F40/Inputs!G94-1</f>
        <v>-0.0223390275952694</v>
      </c>
      <c r="G41" s="42">
        <f>G40/Inputs!H94-1</f>
        <v>-0.009287925696594423</v>
      </c>
      <c r="H41" s="49">
        <f t="shared" si="1"/>
        <v>0.04699412771111122</v>
      </c>
      <c r="I41" s="1"/>
      <c r="J41" s="1"/>
      <c r="K41" s="1"/>
      <c r="L41" s="1"/>
    </row>
    <row r="42" ht="15" customHeight="1">
      <c r="A42" s="1"/>
      <c r="B42" s="56" t="s">
        <v>144</v>
      </c>
      <c r="C42" s="22">
        <f>C40-Inputs!H94</f>
        <v>-50</v>
      </c>
      <c r="D42" s="23">
        <f t="shared" si="7"/>
        <v>94</v>
      </c>
      <c r="E42" s="23"/>
      <c r="F42" s="23">
        <f t="shared" si="12"/>
        <v>-171</v>
      </c>
      <c r="G42" s="23">
        <f t="shared" si="7"/>
        <v>112</v>
      </c>
      <c r="H42" s="48">
        <f t="shared" si="7"/>
        <v>38.54580986788892</v>
      </c>
      <c r="I42" s="1"/>
      <c r="J42" s="1"/>
      <c r="K42" s="1"/>
      <c r="L42" s="1"/>
    </row>
    <row r="43" ht="15" customHeight="1">
      <c r="A43" s="1"/>
      <c r="B43" s="35" t="s">
        <v>269</v>
      </c>
      <c r="C43" s="24">
        <f t="shared" si="8"/>
        <v>0.7619279454722493</v>
      </c>
      <c r="D43" s="24">
        <f t="shared" si="8"/>
        <v>0.7829164700330344</v>
      </c>
      <c r="E43" s="24">
        <f t="shared" si="8"/>
        <v>0.7745038353829296</v>
      </c>
      <c r="F43" s="24">
        <f t="shared" si="8"/>
        <v>0.7737909516380655</v>
      </c>
      <c r="G43" s="24">
        <f t="shared" si="8"/>
        <v>0.7736943907156673</v>
      </c>
      <c r="H43" s="49">
        <f t="shared" si="13"/>
        <v>0.7737426711768665</v>
      </c>
      <c r="I43" s="1"/>
      <c r="J43" s="1" t="s">
        <v>267</v>
      </c>
      <c r="K43" s="1"/>
      <c r="L43" s="1"/>
    </row>
    <row r="44" ht="15" customHeight="1">
      <c r="A44" s="1"/>
      <c r="B44" s="50" t="s">
        <v>114</v>
      </c>
      <c r="C44" s="52">
        <f>(C43-(Inputs!C94/Inputs!C92))*10000</f>
        <v>-207.65297114041402</v>
      </c>
      <c r="D44" s="52">
        <f>(D43-(Inputs!E94/Inputs!E92))*10000</f>
        <v>-90.91233385357444</v>
      </c>
      <c r="E44" s="52">
        <f>(E43-(Inputs!F94/Inputs!F92))*10000</f>
        <v>-59.22311240400213</v>
      </c>
      <c r="F44" s="52">
        <f>(F43-(Inputs!G94/Inputs!G92))*10000</f>
        <v>-79.24508043495871</v>
      </c>
      <c r="G44" s="52">
        <f>(G43-(Inputs!H94/Inputs!H92))*10000</f>
        <v>20.747060525043715</v>
      </c>
      <c r="H44" s="53">
        <f t="shared" si="9"/>
        <v>118.14725704617169</v>
      </c>
      <c r="I44" s="1"/>
      <c r="J44" s="1"/>
      <c r="K44" s="1"/>
      <c r="L44" s="1"/>
    </row>
    <row r="45" ht="15" customHeight="1">
      <c r="A45" s="1"/>
      <c r="B45" s="50" t="s">
        <v>115</v>
      </c>
      <c r="C45" s="52">
        <f>(C43-(Inputs!H94/Inputs!H92))*10000</f>
        <v>-96.91739190913596</v>
      </c>
      <c r="D45" s="54">
        <f t="shared" si="6"/>
        <v>209.8852456078515</v>
      </c>
      <c r="E45" s="54"/>
      <c r="F45" s="54">
        <f t="shared" si="10"/>
        <v>-91.2551839496889</v>
      </c>
      <c r="G45" s="54">
        <f t="shared" si="6"/>
        <v>-0.9656092239829217</v>
      </c>
      <c r="H45" s="53">
        <f t="shared" si="6"/>
        <v>0.48280461199201596</v>
      </c>
      <c r="I45" s="1"/>
      <c r="J45" s="1"/>
      <c r="K45" s="1"/>
      <c r="L45" s="1"/>
    </row>
    <row r="46" ht="15" customHeight="1">
      <c r="A46" s="1"/>
      <c r="B46" s="17" t="s">
        <v>270</v>
      </c>
      <c r="C46" s="33">
        <v>985</v>
      </c>
      <c r="D46" s="22">
        <f>E46-Inputs!D205</f>
        <v>1025</v>
      </c>
      <c r="E46" s="33">
        <v>4033</v>
      </c>
      <c r="F46" s="33">
        <v>971</v>
      </c>
      <c r="G46" s="33">
        <v>1025</v>
      </c>
      <c r="H46" s="48">
        <f>H22-H34-H40+H53-H103</f>
        <v>989.0739583123002</v>
      </c>
      <c r="I46" s="1"/>
      <c r="J46" s="1" t="s">
        <v>271</v>
      </c>
      <c r="K46" s="1"/>
      <c r="L46" s="1"/>
    </row>
    <row r="47" ht="15" customHeight="1">
      <c r="A47" s="1"/>
      <c r="B47" s="50" t="s">
        <v>111</v>
      </c>
      <c r="C47" s="42">
        <f>C46/Inputs!C95-1</f>
        <v>-0.0010141987829614951</v>
      </c>
      <c r="D47" s="42">
        <f>D46/Inputs!E95-1</f>
        <v>0.21589561091340448</v>
      </c>
      <c r="E47" s="42">
        <f>E46/Inputs!F95-1</f>
        <v>0.010270541082164408</v>
      </c>
      <c r="F47" s="42">
        <f>F46/Inputs!G95-1</f>
        <v>-0.03574975173783512</v>
      </c>
      <c r="G47" s="42">
        <f>G46/Inputs!H95-1</f>
        <v>0.008858267716535417</v>
      </c>
      <c r="H47" s="49">
        <f t="shared" si="1"/>
        <v>0.004135998286599163</v>
      </c>
      <c r="I47" s="1"/>
      <c r="J47" s="1"/>
      <c r="K47" s="1"/>
      <c r="L47" s="1"/>
    </row>
    <row r="48" ht="15" customHeight="1">
      <c r="A48" s="1"/>
      <c r="B48" s="56" t="s">
        <v>144</v>
      </c>
      <c r="C48" s="22">
        <f>C46-Inputs!H95</f>
        <v>-31</v>
      </c>
      <c r="D48" s="23">
        <f t="shared" si="7"/>
        <v>40</v>
      </c>
      <c r="E48" s="23"/>
      <c r="F48" s="23">
        <f t="shared" si="12"/>
        <v>-54</v>
      </c>
      <c r="G48" s="23">
        <f t="shared" si="7"/>
        <v>54</v>
      </c>
      <c r="H48" s="48">
        <f t="shared" si="7"/>
        <v>-35.92604168769981</v>
      </c>
      <c r="I48" s="1"/>
      <c r="J48" s="1"/>
      <c r="K48" s="1"/>
      <c r="L48" s="1"/>
    </row>
    <row r="49" ht="15" customHeight="1">
      <c r="A49" s="1"/>
      <c r="B49" s="35" t="s">
        <v>272</v>
      </c>
      <c r="C49" s="24">
        <f t="shared" si="8"/>
        <v>0.09450254245418785</v>
      </c>
      <c r="D49" s="24">
        <f t="shared" si="8"/>
        <v>0.08751707650273224</v>
      </c>
      <c r="E49" s="24">
        <f t="shared" si="8"/>
        <v>0.09612909376936644</v>
      </c>
      <c r="F49" s="24">
        <f t="shared" si="8"/>
        <v>0.09826940593057383</v>
      </c>
      <c r="G49" s="24">
        <f t="shared" si="8"/>
        <v>0.0942442074292019</v>
      </c>
      <c r="H49" s="49">
        <f t="shared" si="8"/>
        <v>0.08880717671275068</v>
      </c>
      <c r="I49" s="1"/>
      <c r="J49" s="1" t="s">
        <v>273</v>
      </c>
      <c r="K49" s="1"/>
      <c r="L49" s="1"/>
    </row>
    <row r="50" ht="15" customHeight="1">
      <c r="A50" s="1"/>
      <c r="B50" s="50" t="s">
        <v>114</v>
      </c>
      <c r="C50" s="52">
        <f>(C49-(Inputs!C95/(((Inputs!C13)+(Inputs!C32)+(Inputs!C51)+(Inputs!C70)+(-(Inputs!C15+Inputs!C34+Inputs!C53+Inputs!C72))))))*10000</f>
        <v>-41.36913328125075</v>
      </c>
      <c r="D50" s="52">
        <f>(D49-(Inputs!E95/(((Inputs!E13)+(Inputs!E32)+(Inputs!E51)+(Inputs!E70)+(-(Inputs!E15+Inputs!E34+Inputs!E53+Inputs!E72))))))*10000</f>
        <v>86.28811483080368</v>
      </c>
      <c r="E50" s="52">
        <f>(E49-(Inputs!F95/(((Inputs!F13)+(Inputs!F32)+(Inputs!F51)+(Inputs!F70)+(-(Inputs!F15+Inputs!F34+Inputs!F53+Inputs!F72))))))*10000</f>
        <v>-11.584552765234458</v>
      </c>
      <c r="F50" s="52">
        <f>(F49-(Inputs!G95/(((Inputs!G13)+(Inputs!G32)+(Inputs!G51)+(Inputs!G70)+(-(Inputs!G15+Inputs!G34+Inputs!G53+Inputs!G72))))))*10000</f>
        <v>-80.8885346951066</v>
      </c>
      <c r="G50" s="52">
        <f>(G49-(Inputs!H95/(((Inputs!H13)+(Inputs!H32)+(Inputs!H51)+(Inputs!H70)+(-(Inputs!H15+Inputs!H34+Inputs!H53+Inputs!H72))))))*10000</f>
        <v>-39.105602260970926</v>
      </c>
      <c r="H50" s="53">
        <f t="shared" si="9"/>
        <v>-56.9536574143717</v>
      </c>
      <c r="I50" s="1"/>
      <c r="J50" s="1"/>
      <c r="K50" s="1"/>
      <c r="L50" s="1"/>
    </row>
    <row r="51" ht="15" customHeight="1">
      <c r="A51" s="1"/>
      <c r="B51" s="50" t="s">
        <v>115</v>
      </c>
      <c r="C51" s="52">
        <f>(C49-(Inputs!H95/(((Inputs!H13)+(Inputs!H32)+(Inputs!H51)+(Inputs!H70)+(-(Inputs!H15+Inputs!H34+Inputs!H53+Inputs!H72))))))*10000</f>
        <v>-36.522252011111505</v>
      </c>
      <c r="D51" s="54">
        <f t="shared" si="6"/>
        <v>-69.85465951455605</v>
      </c>
      <c r="E51" s="54"/>
      <c r="F51" s="54">
        <f t="shared" si="10"/>
        <v>107.52329427841586</v>
      </c>
      <c r="G51" s="54">
        <f t="shared" si="6"/>
        <v>-40.251985013719235</v>
      </c>
      <c r="H51" s="53">
        <f t="shared" si="6"/>
        <v>-54.37030716451227</v>
      </c>
      <c r="I51" s="1"/>
      <c r="J51" s="1"/>
      <c r="K51" s="1"/>
      <c r="L51" s="1"/>
    </row>
    <row r="52" ht="15" customHeight="1">
      <c r="A52" s="1"/>
      <c r="B52" s="4" t="s">
        <v>274</v>
      </c>
      <c r="C52" s="46">
        <f t="shared" si="14" ref="C52:H52">C34+C40+C46</f>
        <v>9181</v>
      </c>
      <c r="D52" s="46">
        <f t="shared" si="14"/>
        <v>10441</v>
      </c>
      <c r="E52" s="46">
        <f t="shared" si="14"/>
        <v>37674</v>
      </c>
      <c r="F52" s="46">
        <f t="shared" si="14"/>
        <v>8892</v>
      </c>
      <c r="G52" s="46">
        <f t="shared" si="14"/>
        <v>9780</v>
      </c>
      <c r="H52" s="47">
        <f t="shared" si="14"/>
        <v>9936.672280289999</v>
      </c>
      <c r="I52" s="1"/>
      <c r="J52" s="1"/>
      <c r="K52" s="1"/>
      <c r="L52" s="1"/>
    </row>
    <row r="53" ht="15" customHeight="1">
      <c r="A53" s="1"/>
      <c r="B53" s="17" t="s">
        <v>275</v>
      </c>
      <c r="C53" s="33">
        <v>0</v>
      </c>
      <c r="D53" s="33">
        <v>0</v>
      </c>
      <c r="E53" s="33">
        <v>231</v>
      </c>
      <c r="F53" s="33">
        <v>0</v>
      </c>
      <c r="G53" s="33">
        <v>0</v>
      </c>
      <c r="H53" s="69">
        <v>0</v>
      </c>
      <c r="I53" s="1"/>
      <c r="J53" s="1" t="s">
        <v>276</v>
      </c>
      <c r="K53" s="1"/>
      <c r="L53" s="1"/>
    </row>
    <row r="54" ht="15" customHeight="1">
      <c r="A54" s="1"/>
      <c r="B54" s="56" t="s">
        <v>277</v>
      </c>
      <c r="C54" s="22">
        <f>C53-Inputs!C96</f>
        <v>0</v>
      </c>
      <c r="D54" s="22">
        <f>D53-Inputs!E96</f>
        <v>0</v>
      </c>
      <c r="E54" s="22">
        <f>E53-Inputs!F96</f>
        <v>231</v>
      </c>
      <c r="F54" s="22">
        <f>F53-Inputs!G96</f>
        <v>0</v>
      </c>
      <c r="G54" s="22">
        <f>G53-Inputs!H96</f>
        <v>-231</v>
      </c>
      <c r="H54" s="48">
        <f t="shared" si="20" ref="H54:H122">H53-C53</f>
        <v>0</v>
      </c>
      <c r="I54" s="1"/>
      <c r="J54" s="1"/>
      <c r="K54" s="1"/>
      <c r="L54" s="1"/>
    </row>
    <row r="55" ht="15" customHeight="1">
      <c r="A55" s="1"/>
      <c r="B55" s="56" t="s">
        <v>144</v>
      </c>
      <c r="C55" s="22">
        <f>C53-Inputs!H96</f>
        <v>-231</v>
      </c>
      <c r="D55" s="23">
        <f t="shared" si="7"/>
        <v>0</v>
      </c>
      <c r="E55" s="23"/>
      <c r="F55" s="23">
        <f t="shared" si="12"/>
        <v>0</v>
      </c>
      <c r="G55" s="23">
        <f t="shared" si="7"/>
        <v>0</v>
      </c>
      <c r="H55" s="48">
        <f t="shared" si="7"/>
        <v>0</v>
      </c>
      <c r="I55" s="1"/>
      <c r="J55" s="1"/>
      <c r="K55" s="1"/>
      <c r="L55" s="1"/>
    </row>
    <row r="56" ht="15" customHeight="1">
      <c r="A56" s="1"/>
      <c r="B56" s="4" t="s">
        <v>278</v>
      </c>
      <c r="C56" s="46">
        <f t="shared" si="15" ref="C56:H56">C22-C52+C53</f>
        <v>1242</v>
      </c>
      <c r="D56" s="46">
        <f t="shared" si="15"/>
        <v>1271</v>
      </c>
      <c r="E56" s="46">
        <f t="shared" si="15"/>
        <v>4511</v>
      </c>
      <c r="F56" s="46">
        <f t="shared" si="15"/>
        <v>989</v>
      </c>
      <c r="G56" s="46">
        <f t="shared" si="15"/>
        <v>1096</v>
      </c>
      <c r="H56" s="47">
        <f t="shared" si="15"/>
        <v>1200.6478657100015</v>
      </c>
      <c r="I56" s="1"/>
      <c r="J56" s="1"/>
      <c r="K56" s="1"/>
      <c r="L56" s="1"/>
    </row>
    <row r="57" ht="15" customHeight="1">
      <c r="A57" s="1"/>
      <c r="B57" s="1"/>
      <c r="C57" s="1"/>
      <c r="D57" s="1"/>
      <c r="E57" s="1"/>
      <c r="F57" s="1"/>
      <c r="G57" s="1"/>
      <c r="H57" s="45"/>
      <c r="I57" s="1"/>
      <c r="J57" s="1"/>
      <c r="K57" s="1"/>
      <c r="L57" s="1"/>
    </row>
    <row r="58" ht="15" customHeight="1">
      <c r="A58" s="1"/>
      <c r="B58" s="4" t="s">
        <v>279</v>
      </c>
      <c r="C58" s="34"/>
      <c r="D58" s="34"/>
      <c r="E58" s="34"/>
      <c r="F58" s="34"/>
      <c r="G58" s="34"/>
      <c r="H58" s="32"/>
      <c r="I58" s="1"/>
      <c r="J58" s="1"/>
      <c r="K58" s="1"/>
      <c r="L58" s="1"/>
    </row>
    <row r="59" ht="15" customHeight="1">
      <c r="A59" s="1"/>
      <c r="B59" s="4" t="s">
        <v>280</v>
      </c>
      <c r="C59" s="46">
        <f t="shared" si="16" ref="C59:H59">C22-C34-C40</f>
        <v>2227</v>
      </c>
      <c r="D59" s="46">
        <f t="shared" si="16"/>
        <v>2296</v>
      </c>
      <c r="E59" s="46">
        <f t="shared" si="16"/>
        <v>8313</v>
      </c>
      <c r="F59" s="46">
        <f t="shared" si="16"/>
        <v>1960</v>
      </c>
      <c r="G59" s="46">
        <f t="shared" si="16"/>
        <v>2121</v>
      </c>
      <c r="H59" s="47">
        <f t="shared" si="16"/>
        <v>2189.7218240223</v>
      </c>
      <c r="I59" s="1"/>
      <c r="J59" s="1"/>
      <c r="K59" s="1"/>
      <c r="L59" s="1"/>
    </row>
    <row r="60" ht="15" customHeight="1">
      <c r="A60" s="1"/>
      <c r="B60" s="50" t="s">
        <v>111</v>
      </c>
      <c r="C60" s="42">
        <f>C59/((((Inputs!C13)+(Inputs!C32)+(Inputs!C51)+(Inputs!C70)+(-(Inputs!C15+Inputs!C34+Inputs!C53+Inputs!C72))))-Inputs!C93-Inputs!C94)-1</f>
        <v>0.05745489078822419</v>
      </c>
      <c r="D60" s="42">
        <f>D59/((((Inputs!E13)+(Inputs!E32)+(Inputs!E51)+(Inputs!E70)+(-(Inputs!E15+Inputs!E34+Inputs!E53+Inputs!E72))))-Inputs!E93-Inputs!E94)-1</f>
        <v>0.18840579710144922</v>
      </c>
      <c r="E60" s="42">
        <f>E59/((((Inputs!F13)+(Inputs!F32)+(Inputs!F51)+(Inputs!F70)+(-(Inputs!F15+Inputs!F34+Inputs!F53+Inputs!F72))))-Inputs!F93-Inputs!F94)-1</f>
        <v>-0.005859842143028038</v>
      </c>
      <c r="F60" s="42">
        <f>F59/((((Inputs!G13)+(Inputs!G32)+(Inputs!G51)+(Inputs!G70)+(-(Inputs!G15+Inputs!G34+Inputs!G53+Inputs!G72))))-Inputs!G93-Inputs!G94)-1</f>
        <v>0.240506329113924</v>
      </c>
      <c r="G60" s="42">
        <f>G59/((((Inputs!H13)+(Inputs!H32)+(Inputs!H51)+(Inputs!H70)+(-(Inputs!H15+Inputs!H34+Inputs!H53+Inputs!H72))))-Inputs!H93-Inputs!H94)-1</f>
        <v>-0.04027149321266965</v>
      </c>
      <c r="H60" s="49">
        <f t="shared" si="1"/>
        <v>-0.016739189931611942</v>
      </c>
      <c r="I60" s="1"/>
      <c r="J60" s="1"/>
      <c r="K60" s="1"/>
      <c r="L60" s="1"/>
    </row>
    <row r="61" ht="15" customHeight="1">
      <c r="A61" s="1"/>
      <c r="B61" s="56" t="s">
        <v>144</v>
      </c>
      <c r="C61" s="22">
        <f>C59-((((Inputs!H13)+(Inputs!H32)+(Inputs!H51)+(Inputs!H70)+(-(Inputs!H15+Inputs!H34+Inputs!H53+Inputs!H72))))-Inputs!H93-Inputs!H94)</f>
        <v>17</v>
      </c>
      <c r="D61" s="23">
        <f t="shared" si="7"/>
        <v>69</v>
      </c>
      <c r="E61" s="23"/>
      <c r="F61" s="23">
        <f t="shared" si="12"/>
        <v>-336</v>
      </c>
      <c r="G61" s="23">
        <f t="shared" si="7"/>
        <v>161</v>
      </c>
      <c r="H61" s="48">
        <f t="shared" si="7"/>
        <v>68.7218240223001</v>
      </c>
      <c r="I61" s="1"/>
      <c r="J61" s="1"/>
      <c r="K61" s="1"/>
      <c r="L61" s="1"/>
    </row>
    <row r="62" ht="15" customHeight="1">
      <c r="A62" s="1"/>
      <c r="B62" s="35" t="s">
        <v>281</v>
      </c>
      <c r="C62" s="24">
        <f t="shared" si="17" ref="C62:H62">C59/C22</f>
        <v>0.21366209344718412</v>
      </c>
      <c r="D62" s="24">
        <f t="shared" si="17"/>
        <v>0.19603825136612021</v>
      </c>
      <c r="E62" s="24">
        <f t="shared" si="17"/>
        <v>0.19814558802497975</v>
      </c>
      <c r="F62" s="24">
        <f t="shared" si="17"/>
        <v>0.19836048982896468</v>
      </c>
      <c r="G62" s="24">
        <f t="shared" si="17"/>
        <v>0.19501655020228026</v>
      </c>
      <c r="H62" s="49">
        <f t="shared" si="17"/>
        <v>0.19661119509155395</v>
      </c>
      <c r="I62" s="1"/>
      <c r="J62" s="1"/>
      <c r="K62" s="1"/>
      <c r="L62" s="1"/>
    </row>
    <row r="63" ht="15" customHeight="1">
      <c r="A63" s="1"/>
      <c r="B63" s="50" t="s">
        <v>114</v>
      </c>
      <c r="C63" s="52">
        <f>(C62-(((((Inputs!C13)+(Inputs!C32)+(Inputs!C51)+(Inputs!C70)+(-(Inputs!C15+Inputs!C34+Inputs!C53+Inputs!C72))))-Inputs!C93-Inputs!C94)/(((Inputs!C13)+(Inputs!C32)+(Inputs!C51)+(Inputs!C70)+(-(Inputs!C15+Inputs!C34+Inputs!C53+Inputs!C72))))))*10000</f>
        <v>29.77819737700338</v>
      </c>
      <c r="D63" s="52">
        <f>(D62-(((((Inputs!E13)+(Inputs!E32)+(Inputs!E51)+(Inputs!E70)+(-(Inputs!E15+Inputs!E34+Inputs!E53+Inputs!E72))))-Inputs!E93-Inputs!E94)/(((Inputs!E13)+(Inputs!E32)+(Inputs!E51)+(Inputs!E70)+(-(Inputs!E15+Inputs!E34+Inputs!E53+Inputs!E72))))))*10000</f>
        <v>152.40946481224094</v>
      </c>
      <c r="E63" s="52">
        <f>(E62-(((((Inputs!F13)+(Inputs!F32)+(Inputs!F51)+(Inputs!F70)+(-(Inputs!F15+Inputs!F34+Inputs!F53+Inputs!F72))))-Inputs!F93-Inputs!F94)/(((Inputs!F13)+(Inputs!F32)+(Inputs!F51)+(Inputs!F70)+(-(Inputs!F15+Inputs!F34+Inputs!F53+Inputs!F72))))))*10000</f>
        <v>-56.41607646796637</v>
      </c>
      <c r="F63" s="52">
        <f>(F62-(((((Inputs!G13)+(Inputs!G32)+(Inputs!G51)+(Inputs!G70)+(-(Inputs!G15+Inputs!G34+Inputs!G53+Inputs!G72))))-Inputs!G93-Inputs!G94)/(((Inputs!G13)+(Inputs!G32)+(Inputs!G51)+(Inputs!G70)+(-(Inputs!G15+Inputs!G34+Inputs!G53+Inputs!G72))))))*10000</f>
        <v>314.82585308474614</v>
      </c>
      <c r="G63" s="52">
        <f>(G62-(((((Inputs!H13)+(Inputs!H32)+(Inputs!H51)+(Inputs!H70)+(-(Inputs!H15+Inputs!H34+Inputs!H53+Inputs!H72))))-Inputs!H93-Inputs!H94)/(((Inputs!H13)+(Inputs!H32)+(Inputs!H51)+(Inputs!H70)+(-(Inputs!H15+Inputs!H34+Inputs!H53+Inputs!H72))))))*10000</f>
        <v>-184.89391252651643</v>
      </c>
      <c r="H63" s="53">
        <f t="shared" si="9"/>
        <v>-170.50898355630173</v>
      </c>
      <c r="I63" s="1"/>
      <c r="J63" s="1"/>
      <c r="K63" s="1"/>
      <c r="L63" s="1"/>
    </row>
    <row r="64" ht="15" customHeight="1">
      <c r="A64" s="1"/>
      <c r="B64" s="50" t="s">
        <v>115</v>
      </c>
      <c r="C64" s="52">
        <f>(C62-(((((Inputs!H13)+(Inputs!H32)+(Inputs!H51)+(Inputs!H70)+(-(Inputs!H15+Inputs!H34+Inputs!H53+Inputs!H72))))-Inputs!H93-Inputs!H94)/(((Inputs!H13)+(Inputs!H32)+(Inputs!H51)+(Inputs!H70)+(-(Inputs!H15+Inputs!H34+Inputs!H53+Inputs!H72))))))*10000</f>
        <v>1.561519922522181</v>
      </c>
      <c r="D64" s="54">
        <f t="shared" si="6"/>
        <v>-176.23842081063907</v>
      </c>
      <c r="E64" s="54"/>
      <c r="F64" s="54">
        <f t="shared" si="10"/>
        <v>23.222384628444615</v>
      </c>
      <c r="G64" s="54">
        <f t="shared" si="6"/>
        <v>-33.43939626684417</v>
      </c>
      <c r="H64" s="53">
        <f t="shared" si="6"/>
        <v>15.946448892736885</v>
      </c>
      <c r="I64" s="1"/>
      <c r="J64" s="1"/>
      <c r="K64" s="1"/>
      <c r="L64" s="1"/>
    </row>
    <row r="65" ht="15" customHeight="1">
      <c r="A65" s="1"/>
      <c r="B65" s="1"/>
      <c r="C65" s="1"/>
      <c r="D65" s="1"/>
      <c r="E65" s="1"/>
      <c r="F65" s="1"/>
      <c r="G65" s="1"/>
      <c r="H65" s="45"/>
      <c r="I65" s="1"/>
      <c r="J65" s="1"/>
      <c r="K65" s="1"/>
      <c r="L65" s="1"/>
    </row>
    <row r="66" ht="15" customHeight="1">
      <c r="A66" s="1"/>
      <c r="B66" s="4" t="s">
        <v>282</v>
      </c>
      <c r="C66" s="34"/>
      <c r="D66" s="34"/>
      <c r="E66" s="34"/>
      <c r="F66" s="34"/>
      <c r="G66" s="34"/>
      <c r="H66" s="32"/>
      <c r="I66" s="1"/>
      <c r="J66" s="1"/>
      <c r="K66" s="1"/>
      <c r="L66" s="1"/>
    </row>
    <row r="67" ht="15" customHeight="1">
      <c r="A67" s="1"/>
      <c r="B67" s="17" t="s">
        <v>93</v>
      </c>
      <c r="C67" s="22">
        <f>'Segment - Aeronautics Systems'!C169</f>
        <v>305</v>
      </c>
      <c r="D67" s="22">
        <f>'Segment - Aeronautics Systems'!D169</f>
        <v>370</v>
      </c>
      <c r="E67" s="22">
        <f>'Segment - Aeronautics Systems'!E169</f>
        <v>813</v>
      </c>
      <c r="F67" s="22">
        <f>'Segment - Aeronautics Systems'!F169</f>
        <v>305</v>
      </c>
      <c r="G67" s="22">
        <f>'Segment - Aeronautics Systems'!G169</f>
        <v>362</v>
      </c>
      <c r="H67" s="21">
        <f>'Segment - Aeronautics Systems'!H169</f>
        <v>337.269504</v>
      </c>
      <c r="I67" s="1"/>
      <c r="J67" s="1"/>
      <c r="K67" s="1"/>
      <c r="L67" s="1"/>
    </row>
    <row r="68" ht="15" customHeight="1">
      <c r="A68" s="1"/>
      <c r="B68" s="17" t="s">
        <v>95</v>
      </c>
      <c r="C68" s="22">
        <f>'Segment - Defense Systems'!C169</f>
        <v>234</v>
      </c>
      <c r="D68" s="22">
        <f>'Segment - Defense Systems'!D169</f>
        <v>205</v>
      </c>
      <c r="E68" s="22">
        <f>'Segment - Defense Systems'!E169</f>
        <v>871</v>
      </c>
      <c r="F68" s="22">
        <f>'Segment - Defense Systems'!F169</f>
        <v>184</v>
      </c>
      <c r="G68" s="22">
        <f>'Segment - Defense Systems'!G169</f>
        <v>156</v>
      </c>
      <c r="H68" s="21">
        <f>'Segment - Defense Systems'!H169</f>
        <v>243.43956000000003</v>
      </c>
      <c r="I68" s="1"/>
      <c r="J68" s="1"/>
      <c r="K68" s="1"/>
      <c r="L68" s="1"/>
    </row>
    <row r="69" ht="15" customHeight="1">
      <c r="A69" s="1"/>
      <c r="B69" s="17" t="s">
        <v>97</v>
      </c>
      <c r="C69" s="22">
        <f>'Segment - Mission Systems'!C169</f>
        <v>515</v>
      </c>
      <c r="D69" s="22">
        <f>'Segment - Mission Systems'!D169</f>
        <v>510</v>
      </c>
      <c r="E69" s="22">
        <f>'Segment - Mission Systems'!E169</f>
        <v>1827</v>
      </c>
      <c r="F69" s="22">
        <f>'Segment - Mission Systems'!F169</f>
        <v>433</v>
      </c>
      <c r="G69" s="22">
        <f>'Segment - Mission Systems'!G169</f>
        <v>501</v>
      </c>
      <c r="H69" s="21">
        <f>'Segment - Mission Systems'!H169</f>
        <v>480.97631999999993</v>
      </c>
      <c r="I69" s="1"/>
      <c r="J69" s="1"/>
      <c r="K69" s="1"/>
      <c r="L69" s="1"/>
    </row>
    <row r="70" ht="15" customHeight="1">
      <c r="A70" s="1"/>
      <c r="B70" s="17" t="s">
        <v>99</v>
      </c>
      <c r="C70" s="22">
        <f>'Segment - Space Systems'!C169</f>
        <v>298</v>
      </c>
      <c r="D70" s="22">
        <f>'Segment - Space Systems'!D169</f>
        <v>322</v>
      </c>
      <c r="E70" s="22">
        <f>'Segment - Space Systems'!E169</f>
        <v>1183</v>
      </c>
      <c r="F70" s="22">
        <f>'Segment - Space Systems'!F169</f>
        <v>235</v>
      </c>
      <c r="G70" s="22">
        <f>'Segment - Space Systems'!G169</f>
        <v>236</v>
      </c>
      <c r="H70" s="21">
        <f>'Segment - Space Systems'!H169</f>
        <v>303.050592</v>
      </c>
      <c r="I70" s="1"/>
      <c r="J70" s="1"/>
      <c r="K70" s="1"/>
      <c r="L70" s="1"/>
    </row>
    <row r="71" ht="15" customHeight="1">
      <c r="A71" s="1"/>
      <c r="B71" s="17" t="s">
        <v>101</v>
      </c>
      <c r="C71" s="33">
        <v>-75</v>
      </c>
      <c r="D71" s="33">
        <v>-94</v>
      </c>
      <c r="E71" s="33">
        <v>-317</v>
      </c>
      <c r="F71" s="33">
        <v>-85</v>
      </c>
      <c r="G71" s="33">
        <v>-97</v>
      </c>
      <c r="H71" s="21">
        <f>H74*'Revenue summary'!H14</f>
        <v>-92.58811029</v>
      </c>
      <c r="I71" s="1"/>
      <c r="J71" s="1" t="s">
        <v>283</v>
      </c>
      <c r="K71" s="1"/>
      <c r="L71" s="1"/>
    </row>
    <row r="72" ht="15" customHeight="1">
      <c r="A72" s="1"/>
      <c r="B72" s="50" t="s">
        <v>111</v>
      </c>
      <c r="C72" s="42">
        <f>C71/Inputs!C97-1</f>
        <v>0.2931034482758621</v>
      </c>
      <c r="D72" s="42">
        <f>D71/Inputs!E97-1</f>
        <v>0.3623188405797102</v>
      </c>
      <c r="E72" s="42">
        <f>E71/Inputs!F97-1</f>
        <v>0.21923076923076934</v>
      </c>
      <c r="F72" s="42">
        <f>F71/Inputs!G97-1</f>
        <v>0.18055555555555558</v>
      </c>
      <c r="G72" s="42">
        <f>G71/Inputs!H97-1</f>
        <v>0.2763157894736843</v>
      </c>
      <c r="H72" s="49">
        <f t="shared" si="1"/>
        <v>0.23450813719999997</v>
      </c>
      <c r="I72" s="1"/>
      <c r="J72" s="1"/>
      <c r="K72" s="1"/>
      <c r="L72" s="1"/>
    </row>
    <row r="73" ht="15" customHeight="1">
      <c r="A73" s="1"/>
      <c r="B73" s="56" t="s">
        <v>144</v>
      </c>
      <c r="C73" s="22">
        <f>C71-Inputs!H97</f>
        <v>1</v>
      </c>
      <c r="D73" s="23">
        <f t="shared" si="7"/>
        <v>-19</v>
      </c>
      <c r="E73" s="23"/>
      <c r="F73" s="23">
        <f t="shared" si="12"/>
        <v>9</v>
      </c>
      <c r="G73" s="23">
        <f t="shared" si="7"/>
        <v>-12</v>
      </c>
      <c r="H73" s="48">
        <f t="shared" si="7"/>
        <v>4.411889709999997</v>
      </c>
      <c r="I73" s="1"/>
      <c r="J73" s="1"/>
      <c r="K73" s="1"/>
      <c r="L73" s="1"/>
    </row>
    <row r="74" ht="15" customHeight="1">
      <c r="A74" s="1"/>
      <c r="B74" s="35" t="s">
        <v>284</v>
      </c>
      <c r="C74" s="42">
        <f>C71/'Revenue summary'!C14</f>
        <v>0.13181019332161686</v>
      </c>
      <c r="D74" s="42">
        <f>D71/'Revenue summary'!D14</f>
        <v>0.14135338345864662</v>
      </c>
      <c r="E74" s="42">
        <f>E71/'Revenue summary'!E14</f>
        <v>0.1368148467846353</v>
      </c>
      <c r="F74" s="42">
        <f>F71/'Revenue summary'!F14</f>
        <v>0.13239875389408098</v>
      </c>
      <c r="G74" s="42">
        <f>G71/'Revenue summary'!G14</f>
        <v>0.13125845737483086</v>
      </c>
      <c r="H74" s="57">
        <v>0.135</v>
      </c>
      <c r="I74" s="1"/>
      <c r="J74" s="1" t="s">
        <v>285</v>
      </c>
      <c r="K74" s="1"/>
      <c r="L74" s="1"/>
    </row>
    <row r="75" ht="15" customHeight="1">
      <c r="A75" s="1"/>
      <c r="B75" s="50" t="s">
        <v>114</v>
      </c>
      <c r="C75" s="52">
        <f>(C74-(Inputs!C97/(-(Inputs!C15+Inputs!C34+Inputs!C53+Inputs!C72))))*10000</f>
        <v>51.72638736464036</v>
      </c>
      <c r="D75" s="52">
        <f>(D74-(Inputs!E97/(-(Inputs!E15+Inputs!E34+Inputs!E53+Inputs!E72))))*10000</f>
        <v>39.0318425545938</v>
      </c>
      <c r="E75" s="52">
        <f>(E74-(Inputs!F97/(-(Inputs!F15+Inputs!F34+Inputs!F53+Inputs!F72))))*10000</f>
        <v>-6.05872031432364</v>
      </c>
      <c r="F75" s="52">
        <f>(F74-(Inputs!G97/(-(Inputs!G15+Inputs!G34+Inputs!G53+Inputs!G72))))*10000</f>
        <v>-44.83375383485561</v>
      </c>
      <c r="G75" s="52">
        <f>(G74-(Inputs!H97/(-(Inputs!H15+Inputs!H34+Inputs!H53+Inputs!H72))))*10000</f>
        <v>-51.867849950075765</v>
      </c>
      <c r="H75" s="53">
        <f t="shared" si="9"/>
        <v>31.898066783831446</v>
      </c>
      <c r="I75" s="1"/>
      <c r="J75" s="1"/>
      <c r="K75" s="1"/>
      <c r="L75" s="1"/>
    </row>
    <row r="76" ht="15" customHeight="1">
      <c r="A76" s="1"/>
      <c r="B76" s="50" t="s">
        <v>115</v>
      </c>
      <c r="C76" s="52">
        <f>(C74-(Inputs!H97/(-(Inputs!H15+Inputs!H34+Inputs!H53+Inputs!H72))))*10000</f>
        <v>-46.350490482215676</v>
      </c>
      <c r="D76" s="54">
        <f t="shared" si="6"/>
        <v>95.43190137029755</v>
      </c>
      <c r="E76" s="54"/>
      <c r="F76" s="54">
        <f t="shared" si="10"/>
        <v>-89.54629564565636</v>
      </c>
      <c r="G76" s="54">
        <f t="shared" si="6"/>
        <v>-11.40296519250128</v>
      </c>
      <c r="H76" s="53">
        <f t="shared" si="6"/>
        <v>37.41542625169153</v>
      </c>
      <c r="I76" s="1"/>
      <c r="J76" s="1"/>
      <c r="K76" s="1"/>
      <c r="L76" s="1"/>
    </row>
    <row r="77" ht="15" customHeight="1">
      <c r="A77" s="1"/>
      <c r="B77" s="4" t="s">
        <v>286</v>
      </c>
      <c r="C77" s="46">
        <f t="shared" si="18" ref="C77:H77">C67+C68+C69+C70+C71</f>
        <v>1277</v>
      </c>
      <c r="D77" s="46">
        <f t="shared" si="18"/>
        <v>1313</v>
      </c>
      <c r="E77" s="46">
        <f t="shared" si="18"/>
        <v>4377</v>
      </c>
      <c r="F77" s="46">
        <f t="shared" si="18"/>
        <v>1072</v>
      </c>
      <c r="G77" s="46">
        <f t="shared" si="18"/>
        <v>1158</v>
      </c>
      <c r="H77" s="47">
        <f t="shared" si="18"/>
        <v>1272.14786571</v>
      </c>
      <c r="I77" s="1"/>
      <c r="J77" s="1"/>
      <c r="K77" s="1"/>
      <c r="L77" s="1"/>
    </row>
    <row r="78" ht="15" customHeight="1">
      <c r="A78" s="1"/>
      <c r="B78" s="50" t="s">
        <v>111</v>
      </c>
      <c r="C78" s="42">
        <f>C77/((Inputs!C16)+(Inputs!C35)+(Inputs!C54)+(Inputs!C73)+Inputs!C97)-1</f>
        <v>0.1143106457242582</v>
      </c>
      <c r="D78" s="42">
        <f>D77/((Inputs!E16)+(Inputs!E35)+(Inputs!E54)+(Inputs!E73)+Inputs!E97)-1</f>
        <v>0.10058675607711653</v>
      </c>
      <c r="E78" s="42">
        <f>E77/((Inputs!F16)+(Inputs!F35)+(Inputs!F54)+(Inputs!F73)+Inputs!F97)-1</f>
        <v>-0.036751760563380254</v>
      </c>
      <c r="F78" s="42">
        <f>F77/((Inputs!G16)+(Inputs!G35)+(Inputs!G54)+(Inputs!G73)+Inputs!G97)-1</f>
        <v>0.8873239436619718</v>
      </c>
      <c r="G78" s="42">
        <f>G77/((Inputs!H16)+(Inputs!H35)+(Inputs!H54)+(Inputs!H73)+Inputs!H97)-1</f>
        <v>-0.05004101722723542</v>
      </c>
      <c r="H78" s="49">
        <f t="shared" si="1"/>
        <v>-0.003799635309318816</v>
      </c>
      <c r="I78" s="1"/>
      <c r="J78" s="1"/>
      <c r="K78" s="1"/>
      <c r="L78" s="1"/>
    </row>
    <row r="79" ht="15" customHeight="1">
      <c r="A79" s="1"/>
      <c r="B79" s="56" t="s">
        <v>144</v>
      </c>
      <c r="C79" s="22">
        <f>C77-((Inputs!H16)+(Inputs!H35)+(Inputs!H54)+(Inputs!H73)+Inputs!H97)</f>
        <v>58</v>
      </c>
      <c r="D79" s="23">
        <f t="shared" si="7"/>
        <v>36</v>
      </c>
      <c r="E79" s="23"/>
      <c r="F79" s="23">
        <f t="shared" si="12"/>
        <v>-241</v>
      </c>
      <c r="G79" s="23">
        <f t="shared" si="7"/>
        <v>86</v>
      </c>
      <c r="H79" s="48">
        <f t="shared" si="7"/>
        <v>114.1478657099999</v>
      </c>
      <c r="I79" s="1"/>
      <c r="J79" s="1"/>
      <c r="K79" s="1"/>
      <c r="L79" s="1"/>
    </row>
    <row r="80" ht="15" customHeight="1">
      <c r="A80" s="1"/>
      <c r="B80" s="35" t="s">
        <v>82</v>
      </c>
      <c r="C80" s="24">
        <f t="shared" si="19" ref="C80:H80">C77/C22</f>
        <v>0.12251750935431258</v>
      </c>
      <c r="D80" s="24">
        <f t="shared" si="19"/>
        <v>0.11210724043715847</v>
      </c>
      <c r="E80" s="24">
        <f t="shared" si="19"/>
        <v>0.10432855031701387</v>
      </c>
      <c r="F80" s="24">
        <f t="shared" si="19"/>
        <v>0.10849104341665823</v>
      </c>
      <c r="G80" s="24">
        <f t="shared" si="19"/>
        <v>0.10647296800294226</v>
      </c>
      <c r="H80" s="49">
        <f t="shared" si="19"/>
        <v>0.1142238751363267</v>
      </c>
      <c r="I80" s="1"/>
      <c r="J80" s="1"/>
      <c r="K80" s="1"/>
      <c r="L80" s="1"/>
    </row>
    <row r="81" ht="15" customHeight="1">
      <c r="A81" s="1"/>
      <c r="B81" s="50" t="s">
        <v>114</v>
      </c>
      <c r="C81" s="52">
        <f>(C80-(((Inputs!C16)+(Inputs!C35)+(Inputs!C54)+(Inputs!C73)+Inputs!C97)/(((Inputs!C13)+(Inputs!C32)+(Inputs!C51)+(Inputs!C70)+(-(Inputs!C15+Inputs!C34+Inputs!C53+Inputs!C72))))))*10000</f>
        <v>78.71651010975242</v>
      </c>
      <c r="D81" s="52">
        <f>(D80-(((Inputs!E16)+(Inputs!E35)+(Inputs!E54)+(Inputs!E73)+Inputs!E97)/(((Inputs!E13)+(Inputs!E32)+(Inputs!E51)+(Inputs!E70)+(-(Inputs!E15+Inputs!E34+Inputs!E53+Inputs!E72))))))*10000</f>
        <v>4.6584047459062585</v>
      </c>
      <c r="E81" s="52">
        <f>(E80-(((Inputs!F16)+(Inputs!F35)+(Inputs!F54)+(Inputs!F73)+Inputs!F97)/(((Inputs!F13)+(Inputs!F32)+(Inputs!F51)+(Inputs!F70)+(-(Inputs!F15+Inputs!F34+Inputs!F53+Inputs!F72))))))*10000</f>
        <v>-64.11585671093262</v>
      </c>
      <c r="F81" s="52">
        <f>(F80-(((Inputs!G16)+(Inputs!G35)+(Inputs!G54)+(Inputs!G73)+Inputs!G97)/(((Inputs!G13)+(Inputs!G32)+(Inputs!G51)+(Inputs!G70)+(-(Inputs!G15+Inputs!G34+Inputs!G53+Inputs!G72))))))*10000</f>
        <v>484.9949293081117</v>
      </c>
      <c r="G81" s="52">
        <f>(G80-(((Inputs!H16)+(Inputs!H35)+(Inputs!H54)+(Inputs!H73)+Inputs!H97)/(((Inputs!H13)+(Inputs!H32)+(Inputs!H51)+(Inputs!H70)+(-(Inputs!H15+Inputs!H34+Inputs!H53+Inputs!H72))))))*10000</f>
        <v>-112.93431378759988</v>
      </c>
      <c r="H81" s="53">
        <f t="shared" si="9"/>
        <v>-82.93634217985874</v>
      </c>
      <c r="I81" s="1"/>
      <c r="J81" s="1"/>
      <c r="K81" s="1"/>
      <c r="L81" s="1"/>
    </row>
    <row r="82" ht="15" customHeight="1">
      <c r="A82" s="1"/>
      <c r="B82" s="50" t="s">
        <v>115</v>
      </c>
      <c r="C82" s="52">
        <f>(C80-(((Inputs!H16)+(Inputs!H35)+(Inputs!H54)+(Inputs!H73)+Inputs!H97)/(((Inputs!H13)+(Inputs!H32)+(Inputs!H51)+(Inputs!H70)+(-(Inputs!H15+Inputs!H34+Inputs!H53+Inputs!H72))))))*10000</f>
        <v>47.51109972610329</v>
      </c>
      <c r="D82" s="54">
        <f t="shared" si="6"/>
        <v>-104.10268917154103</v>
      </c>
      <c r="E82" s="54"/>
      <c r="F82" s="54">
        <f t="shared" si="10"/>
        <v>-36.16197020500242</v>
      </c>
      <c r="G82" s="54">
        <f t="shared" si="6"/>
        <v>-20.180754137159724</v>
      </c>
      <c r="H82" s="53">
        <f t="shared" si="6"/>
        <v>77.50907133384443</v>
      </c>
      <c r="I82" s="1"/>
      <c r="J82" s="1"/>
      <c r="K82" s="1"/>
      <c r="L82" s="1"/>
    </row>
    <row r="83" ht="15" customHeight="1">
      <c r="A83" s="1"/>
      <c r="B83" s="17" t="s">
        <v>287</v>
      </c>
      <c r="C83" s="33">
        <v>67</v>
      </c>
      <c r="D83" s="33">
        <v>65</v>
      </c>
      <c r="E83" s="33">
        <v>258</v>
      </c>
      <c r="F83" s="33">
        <v>7</v>
      </c>
      <c r="G83" s="33">
        <v>7</v>
      </c>
      <c r="H83" s="21">
        <f>(Guidance!G39-F83-G83)/2</f>
        <v>10.5</v>
      </c>
      <c r="I83" s="1"/>
      <c r="J83" s="1" t="s">
        <v>288</v>
      </c>
      <c r="K83" s="1"/>
      <c r="L83" s="1"/>
    </row>
    <row r="84" ht="15" customHeight="1">
      <c r="A84" s="1"/>
      <c r="B84" s="56" t="s">
        <v>277</v>
      </c>
      <c r="C84" s="22">
        <f>C83-Inputs!C98</f>
        <v>47</v>
      </c>
      <c r="D84" s="22">
        <f>D83-Inputs!E98</f>
        <v>57</v>
      </c>
      <c r="E84" s="22">
        <f>E83-Inputs!F98</f>
        <v>218</v>
      </c>
      <c r="F84" s="22">
        <f>F83-Inputs!G98</f>
        <v>-56</v>
      </c>
      <c r="G84" s="22">
        <f>G83-Inputs!H98</f>
        <v>-56</v>
      </c>
      <c r="H84" s="48">
        <f t="shared" si="20"/>
        <v>-56.5</v>
      </c>
      <c r="I84" s="1"/>
      <c r="J84" s="1"/>
      <c r="K84" s="1"/>
      <c r="L84" s="1"/>
    </row>
    <row r="85" ht="15" customHeight="1">
      <c r="A85" s="1"/>
      <c r="B85" s="56" t="s">
        <v>144</v>
      </c>
      <c r="C85" s="22">
        <f>C83-Inputs!H98</f>
        <v>4</v>
      </c>
      <c r="D85" s="23">
        <f t="shared" si="7"/>
        <v>-2</v>
      </c>
      <c r="E85" s="23"/>
      <c r="F85" s="23">
        <f t="shared" si="12"/>
        <v>-58</v>
      </c>
      <c r="G85" s="23">
        <f t="shared" si="7"/>
        <v>0</v>
      </c>
      <c r="H85" s="48">
        <f t="shared" si="7"/>
        <v>3.5</v>
      </c>
      <c r="I85" s="1"/>
      <c r="J85" s="1"/>
      <c r="K85" s="1"/>
      <c r="L85" s="1"/>
    </row>
    <row r="86" ht="15" customHeight="1">
      <c r="A86" s="1"/>
      <c r="B86" s="17" t="s">
        <v>289</v>
      </c>
      <c r="C86" s="34"/>
      <c r="D86" s="34"/>
      <c r="E86" s="34"/>
      <c r="F86" s="34"/>
      <c r="G86" s="34"/>
      <c r="H86" s="32"/>
      <c r="I86" s="1"/>
      <c r="J86" s="1"/>
      <c r="K86" s="1"/>
      <c r="L86" s="1"/>
    </row>
    <row r="87" ht="15" customHeight="1">
      <c r="A87" s="1"/>
      <c r="B87" s="56" t="s">
        <v>275</v>
      </c>
      <c r="C87" s="33">
        <v>0</v>
      </c>
      <c r="D87" s="33">
        <v>0</v>
      </c>
      <c r="E87" s="33">
        <v>231</v>
      </c>
      <c r="F87" s="33">
        <v>0</v>
      </c>
      <c r="G87" s="33">
        <v>0</v>
      </c>
      <c r="H87" s="48">
        <f>H53</f>
        <v>0</v>
      </c>
      <c r="I87" s="1"/>
      <c r="J87" s="1"/>
      <c r="K87" s="1"/>
      <c r="L87" s="1"/>
    </row>
    <row r="88" ht="15" customHeight="1">
      <c r="A88" s="1"/>
      <c r="B88" s="72" t="s">
        <v>277</v>
      </c>
      <c r="C88" s="22">
        <f>C87-Inputs!C99</f>
        <v>0</v>
      </c>
      <c r="D88" s="22">
        <f>D87-Inputs!E99</f>
        <v>0</v>
      </c>
      <c r="E88" s="22">
        <f>E87-Inputs!F99</f>
        <v>231</v>
      </c>
      <c r="F88" s="22">
        <f>F87-Inputs!G99</f>
        <v>0</v>
      </c>
      <c r="G88" s="22">
        <f>G87-Inputs!H99</f>
        <v>-231</v>
      </c>
      <c r="H88" s="48">
        <f t="shared" si="20"/>
        <v>0</v>
      </c>
      <c r="I88" s="1"/>
      <c r="J88" s="1"/>
      <c r="K88" s="1"/>
      <c r="L88" s="1"/>
    </row>
    <row r="89" ht="15" customHeight="1">
      <c r="A89" s="1"/>
      <c r="B89" s="72" t="s">
        <v>144</v>
      </c>
      <c r="C89" s="22">
        <f>C87-Inputs!H99</f>
        <v>-231</v>
      </c>
      <c r="D89" s="23">
        <f t="shared" si="7"/>
        <v>0</v>
      </c>
      <c r="E89" s="23"/>
      <c r="F89" s="23">
        <f t="shared" si="12"/>
        <v>0</v>
      </c>
      <c r="G89" s="23">
        <f t="shared" si="7"/>
        <v>0</v>
      </c>
      <c r="H89" s="48">
        <f t="shared" si="7"/>
        <v>0</v>
      </c>
      <c r="I89" s="1"/>
      <c r="J89" s="1"/>
      <c r="K89" s="1"/>
      <c r="L89" s="1"/>
    </row>
    <row r="90" ht="15" customHeight="1">
      <c r="A90" s="1"/>
      <c r="B90" s="56" t="s">
        <v>290</v>
      </c>
      <c r="C90" s="33">
        <v>0</v>
      </c>
      <c r="D90" s="33">
        <v>0</v>
      </c>
      <c r="E90" s="33">
        <v>-20</v>
      </c>
      <c r="F90" s="33">
        <v>0</v>
      </c>
      <c r="G90" s="33">
        <v>0</v>
      </c>
      <c r="H90" s="69">
        <v>0</v>
      </c>
      <c r="I90" s="1"/>
      <c r="J90" s="1" t="s">
        <v>291</v>
      </c>
      <c r="K90" s="1"/>
      <c r="L90" s="1"/>
    </row>
    <row r="91" ht="15" customHeight="1">
      <c r="A91" s="1"/>
      <c r="B91" s="72" t="s">
        <v>277</v>
      </c>
      <c r="C91" s="22">
        <f>C90-Inputs!C100</f>
        <v>2</v>
      </c>
      <c r="D91" s="22">
        <f>D90-Inputs!E100</f>
        <v>3</v>
      </c>
      <c r="E91" s="22">
        <f>E90-Inputs!F100</f>
        <v>-15</v>
      </c>
      <c r="F91" s="22">
        <f>F90-Inputs!G100</f>
        <v>0</v>
      </c>
      <c r="G91" s="22">
        <f>G90-Inputs!H100</f>
        <v>19</v>
      </c>
      <c r="H91" s="48">
        <f t="shared" si="20"/>
        <v>0</v>
      </c>
      <c r="I91" s="1"/>
      <c r="J91" s="1"/>
      <c r="K91" s="1"/>
      <c r="L91" s="1"/>
    </row>
    <row r="92" ht="15" customHeight="1">
      <c r="A92" s="1"/>
      <c r="B92" s="72" t="s">
        <v>144</v>
      </c>
      <c r="C92" s="22">
        <f>C90-Inputs!H100</f>
        <v>19</v>
      </c>
      <c r="D92" s="23">
        <f t="shared" si="7"/>
        <v>0</v>
      </c>
      <c r="E92" s="23"/>
      <c r="F92" s="23">
        <f t="shared" si="12"/>
        <v>0</v>
      </c>
      <c r="G92" s="23">
        <f t="shared" si="7"/>
        <v>0</v>
      </c>
      <c r="H92" s="48">
        <f t="shared" si="7"/>
        <v>0</v>
      </c>
      <c r="I92" s="1"/>
      <c r="J92" s="1"/>
      <c r="K92" s="1"/>
      <c r="L92" s="1"/>
    </row>
    <row r="93" ht="15" customHeight="1">
      <c r="A93" s="1"/>
      <c r="B93" s="56" t="s">
        <v>292</v>
      </c>
      <c r="C93" s="33">
        <v>-21</v>
      </c>
      <c r="D93" s="33">
        <v>-21</v>
      </c>
      <c r="E93" s="33">
        <v>-84</v>
      </c>
      <c r="F93" s="33">
        <v>-21</v>
      </c>
      <c r="G93" s="33">
        <v>-17</v>
      </c>
      <c r="H93" s="48">
        <f t="shared" si="21"/>
        <v>-17</v>
      </c>
      <c r="I93" s="1"/>
      <c r="J93" s="1" t="s">
        <v>293</v>
      </c>
      <c r="K93" s="1"/>
      <c r="L93" s="1"/>
    </row>
    <row r="94" ht="15" customHeight="1">
      <c r="A94" s="1"/>
      <c r="B94" s="72" t="s">
        <v>277</v>
      </c>
      <c r="C94" s="22">
        <f>C93-Inputs!C101</f>
        <v>2</v>
      </c>
      <c r="D94" s="22">
        <f>D93-Inputs!E101</f>
        <v>4</v>
      </c>
      <c r="E94" s="22">
        <f>E93-Inputs!F101</f>
        <v>13</v>
      </c>
      <c r="F94" s="22">
        <f>F93-Inputs!G101</f>
        <v>0</v>
      </c>
      <c r="G94" s="22">
        <f>G93-Inputs!H101</f>
        <v>4</v>
      </c>
      <c r="H94" s="48">
        <f t="shared" si="20"/>
        <v>4</v>
      </c>
      <c r="I94" s="1"/>
      <c r="J94" s="1"/>
      <c r="K94" s="1"/>
      <c r="L94" s="1"/>
    </row>
    <row r="95" ht="15" customHeight="1">
      <c r="A95" s="1"/>
      <c r="B95" s="72" t="s">
        <v>144</v>
      </c>
      <c r="C95" s="22">
        <f>C93-Inputs!H101</f>
        <v>0</v>
      </c>
      <c r="D95" s="23">
        <f t="shared" si="7"/>
        <v>0</v>
      </c>
      <c r="E95" s="23"/>
      <c r="F95" s="23">
        <f t="shared" si="12"/>
        <v>0</v>
      </c>
      <c r="G95" s="23">
        <f t="shared" si="7"/>
        <v>4</v>
      </c>
      <c r="H95" s="48">
        <f t="shared" si="7"/>
        <v>0</v>
      </c>
      <c r="I95" s="1"/>
      <c r="J95" s="1"/>
      <c r="K95" s="1"/>
      <c r="L95" s="1"/>
    </row>
    <row r="96" ht="15" customHeight="1">
      <c r="A96" s="1"/>
      <c r="B96" s="56" t="s">
        <v>294</v>
      </c>
      <c r="C96" s="33">
        <v>0</v>
      </c>
      <c r="D96" s="33">
        <v>-28</v>
      </c>
      <c r="E96" s="33">
        <v>-28</v>
      </c>
      <c r="F96" s="33">
        <v>0</v>
      </c>
      <c r="G96" s="33">
        <v>0</v>
      </c>
      <c r="H96" s="69">
        <v>0</v>
      </c>
      <c r="I96" s="1"/>
      <c r="J96" s="1" t="s">
        <v>295</v>
      </c>
      <c r="K96" s="1"/>
      <c r="L96" s="1"/>
    </row>
    <row r="97" ht="15" customHeight="1">
      <c r="A97" s="1"/>
      <c r="B97" s="72" t="s">
        <v>277</v>
      </c>
      <c r="C97" s="22">
        <f>C96-Inputs!C102</f>
        <v>0</v>
      </c>
      <c r="D97" s="22">
        <f>D96-Inputs!E102</f>
        <v>-5</v>
      </c>
      <c r="E97" s="22">
        <f>E96-Inputs!F102</f>
        <v>-5</v>
      </c>
      <c r="F97" s="22">
        <f>F96-Inputs!G102</f>
        <v>0</v>
      </c>
      <c r="G97" s="22">
        <f>G96-Inputs!H102</f>
        <v>0</v>
      </c>
      <c r="H97" s="48">
        <f t="shared" si="20"/>
        <v>0</v>
      </c>
      <c r="I97" s="1"/>
      <c r="J97" s="1"/>
      <c r="K97" s="1"/>
      <c r="L97" s="1"/>
    </row>
    <row r="98" ht="15" customHeight="1">
      <c r="A98" s="1"/>
      <c r="B98" s="72" t="s">
        <v>144</v>
      </c>
      <c r="C98" s="22">
        <f>C96-Inputs!H102</f>
        <v>0</v>
      </c>
      <c r="D98" s="23">
        <f t="shared" si="7"/>
        <v>-28</v>
      </c>
      <c r="E98" s="23"/>
      <c r="F98" s="23">
        <f t="shared" si="12"/>
        <v>28</v>
      </c>
      <c r="G98" s="23">
        <f t="shared" si="7"/>
        <v>0</v>
      </c>
      <c r="H98" s="48">
        <f t="shared" si="7"/>
        <v>0</v>
      </c>
      <c r="I98" s="1"/>
      <c r="J98" s="1"/>
      <c r="K98" s="1"/>
      <c r="L98" s="1"/>
    </row>
    <row r="99" ht="15" customHeight="1">
      <c r="A99" s="1"/>
      <c r="B99" s="56" t="s">
        <v>296</v>
      </c>
      <c r="C99" s="33">
        <v>-81</v>
      </c>
      <c r="D99" s="33">
        <v>-58</v>
      </c>
      <c r="E99" s="33">
        <v>-223</v>
      </c>
      <c r="F99" s="33">
        <v>-69</v>
      </c>
      <c r="G99" s="33">
        <v>-52</v>
      </c>
      <c r="H99" s="48">
        <f>AVERAGE(C99,D99,F99,G99)</f>
        <v>-65</v>
      </c>
      <c r="I99" s="1"/>
      <c r="J99" s="1" t="s">
        <v>297</v>
      </c>
      <c r="K99" s="1"/>
      <c r="L99" s="1"/>
    </row>
    <row r="100" ht="15" customHeight="1">
      <c r="A100" s="1"/>
      <c r="B100" s="72" t="s">
        <v>277</v>
      </c>
      <c r="C100" s="22">
        <f>C99-Inputs!C103</f>
        <v>-60</v>
      </c>
      <c r="D100" s="22">
        <f>D99-Inputs!E103</f>
        <v>3</v>
      </c>
      <c r="E100" s="22">
        <f>E99-Inputs!F103</f>
        <v>-134</v>
      </c>
      <c r="F100" s="22">
        <f>F99-Inputs!G103</f>
        <v>-32</v>
      </c>
      <c r="G100" s="22">
        <f>G99-Inputs!H103</f>
        <v>-4</v>
      </c>
      <c r="H100" s="48">
        <f t="shared" si="20"/>
        <v>16</v>
      </c>
      <c r="I100" s="1"/>
      <c r="J100" s="1"/>
      <c r="K100" s="1"/>
      <c r="L100" s="1"/>
    </row>
    <row r="101" ht="15" customHeight="1">
      <c r="A101" s="1"/>
      <c r="B101" s="72" t="s">
        <v>144</v>
      </c>
      <c r="C101" s="22">
        <f>C99-Inputs!H103</f>
        <v>-33</v>
      </c>
      <c r="D101" s="23">
        <f t="shared" si="7"/>
        <v>23</v>
      </c>
      <c r="E101" s="23"/>
      <c r="F101" s="23">
        <f t="shared" si="12"/>
        <v>-11</v>
      </c>
      <c r="G101" s="23">
        <f t="shared" si="7"/>
        <v>17</v>
      </c>
      <c r="H101" s="48">
        <f t="shared" si="7"/>
        <v>-13</v>
      </c>
      <c r="I101" s="1"/>
      <c r="J101" s="1"/>
      <c r="K101" s="1"/>
      <c r="L101" s="1"/>
    </row>
    <row r="102" ht="15" customHeight="1">
      <c r="A102" s="1"/>
      <c r="B102" s="28" t="s">
        <v>298</v>
      </c>
      <c r="C102" s="46">
        <f t="shared" si="22" ref="C102:H102">C87+C90+C93+C96+C99</f>
        <v>-102</v>
      </c>
      <c r="D102" s="46">
        <f t="shared" si="22"/>
        <v>-107</v>
      </c>
      <c r="E102" s="46">
        <f t="shared" si="22"/>
        <v>-124</v>
      </c>
      <c r="F102" s="46">
        <f t="shared" si="22"/>
        <v>-90</v>
      </c>
      <c r="G102" s="46">
        <f t="shared" si="22"/>
        <v>-69</v>
      </c>
      <c r="H102" s="47">
        <f t="shared" si="22"/>
        <v>-82</v>
      </c>
      <c r="I102" s="1"/>
      <c r="J102" s="1"/>
      <c r="K102" s="1"/>
      <c r="L102" s="1"/>
    </row>
    <row r="103" ht="15" customHeight="1">
      <c r="A103" s="1"/>
      <c r="B103" s="4" t="s">
        <v>299</v>
      </c>
      <c r="C103" s="46">
        <f t="shared" si="23" ref="C103:H103">C77+C83+C102</f>
        <v>1242</v>
      </c>
      <c r="D103" s="46">
        <f t="shared" si="23"/>
        <v>1271</v>
      </c>
      <c r="E103" s="46">
        <f t="shared" si="23"/>
        <v>4511</v>
      </c>
      <c r="F103" s="46">
        <f t="shared" si="23"/>
        <v>989</v>
      </c>
      <c r="G103" s="46">
        <f t="shared" si="23"/>
        <v>1096</v>
      </c>
      <c r="H103" s="47">
        <f t="shared" si="23"/>
        <v>1200.64786571</v>
      </c>
      <c r="I103" s="1"/>
      <c r="J103" s="1" t="s">
        <v>300</v>
      </c>
      <c r="K103" s="1"/>
      <c r="L103" s="1"/>
    </row>
    <row r="104" ht="15" customHeight="1">
      <c r="A104" s="1"/>
      <c r="B104" s="50" t="s">
        <v>111</v>
      </c>
      <c r="C104" s="42">
        <f>C103/(((Inputs!C16)+(Inputs!C35)+(Inputs!C54)+(Inputs!C73)+Inputs!C97)+Inputs!C98+(Inputs!C99+Inputs!C100+Inputs!C101+Inputs!C102+Inputs!C103))-1</f>
        <v>0.10892857142857149</v>
      </c>
      <c r="D104" s="42">
        <f>D103/(((Inputs!E16)+(Inputs!E35)+(Inputs!E54)+(Inputs!E73)+Inputs!E97)+Inputs!E98+(Inputs!E99+Inputs!E100+Inputs!E101+Inputs!E102+Inputs!E103))-1</f>
        <v>0.16712580348943984</v>
      </c>
      <c r="E104" s="42">
        <f>E103/(((Inputs!F16)+(Inputs!F35)+(Inputs!F54)+(Inputs!F73)+Inputs!F97)+Inputs!F98+(Inputs!F99+Inputs!F100+Inputs!F101+Inputs!F102+Inputs!F103))-1</f>
        <v>0.0322654462242562</v>
      </c>
      <c r="F104" s="42">
        <f>F103/(((Inputs!G16)+(Inputs!G35)+(Inputs!G54)+(Inputs!G73)+Inputs!G97)+Inputs!G98+(Inputs!G99+Inputs!G100+Inputs!G101+Inputs!G102+Inputs!G103))-1</f>
        <v>0.7260034904013961</v>
      </c>
      <c r="G104" s="42">
        <f>G103/(((Inputs!H16)+(Inputs!H35)+(Inputs!H54)+(Inputs!H73)+Inputs!H97)+Inputs!H98+(Inputs!H99+Inputs!H100+Inputs!H101+Inputs!H102+Inputs!H103))-1</f>
        <v>-0.23087719298245613</v>
      </c>
      <c r="H104" s="49">
        <f t="shared" si="1"/>
        <v>-0.03329479411433178</v>
      </c>
      <c r="I104" s="1"/>
      <c r="J104" s="1"/>
      <c r="K104" s="1"/>
      <c r="L104" s="1"/>
    </row>
    <row r="105" ht="15" customHeight="1">
      <c r="A105" s="1"/>
      <c r="B105" s="56" t="s">
        <v>144</v>
      </c>
      <c r="C105" s="22">
        <f>C103-(((Inputs!H16)+(Inputs!H35)+(Inputs!H54)+(Inputs!H73)+Inputs!H97)+Inputs!H98+(Inputs!H99+Inputs!H100+Inputs!H101+Inputs!H102+Inputs!H103))</f>
        <v>-183</v>
      </c>
      <c r="D105" s="23">
        <f t="shared" si="7"/>
        <v>29</v>
      </c>
      <c r="E105" s="23"/>
      <c r="F105" s="23">
        <f t="shared" si="12"/>
        <v>-282</v>
      </c>
      <c r="G105" s="23">
        <f t="shared" si="7"/>
        <v>107</v>
      </c>
      <c r="H105" s="48">
        <f t="shared" si="7"/>
        <v>104.6478657099999</v>
      </c>
      <c r="I105" s="1"/>
      <c r="J105" s="1"/>
      <c r="K105" s="1"/>
      <c r="L105" s="1"/>
    </row>
    <row r="106" ht="15" customHeight="1">
      <c r="A106" s="1"/>
      <c r="B106" s="35" t="s">
        <v>301</v>
      </c>
      <c r="C106" s="24">
        <f t="shared" si="24" ref="C106:H106">C103/C22</f>
        <v>0.11915955099299626</v>
      </c>
      <c r="D106" s="24">
        <f t="shared" si="24"/>
        <v>0.10852117486338798</v>
      </c>
      <c r="E106" s="24">
        <f t="shared" si="24"/>
        <v>0.10752252466987654</v>
      </c>
      <c r="F106" s="24">
        <f t="shared" si="24"/>
        <v>0.10009108389839085</v>
      </c>
      <c r="G106" s="24">
        <f t="shared" si="24"/>
        <v>0.10077234277307834</v>
      </c>
      <c r="H106" s="49">
        <f t="shared" si="24"/>
        <v>0.10780401837880327</v>
      </c>
      <c r="I106" s="1"/>
      <c r="J106" s="1"/>
      <c r="K106" s="1"/>
      <c r="L106" s="1"/>
    </row>
    <row r="107" ht="15" customHeight="1">
      <c r="A107" s="1"/>
      <c r="B107" s="50" t="s">
        <v>114</v>
      </c>
      <c r="C107" s="52">
        <f>(C106-((((Inputs!C16)+(Inputs!C35)+(Inputs!C54)+(Inputs!C73)+Inputs!C97)+Inputs!C98+(Inputs!C99+Inputs!C100+Inputs!C101+Inputs!C102+Inputs!C103))/(((Inputs!C13)+(Inputs!C32)+(Inputs!C51)+(Inputs!C70)+(-(Inputs!C15+Inputs!C34+Inputs!C53+Inputs!C72))))))*10000</f>
        <v>71.14733065825385</v>
      </c>
      <c r="D107" s="52">
        <f>(D106-((((Inputs!E16)+(Inputs!E35)+(Inputs!E54)+(Inputs!E73)+Inputs!E97)+Inputs!E98+(Inputs!E99+Inputs!E100+Inputs!E101+Inputs!E102+Inputs!E103))/(((Inputs!E13)+(Inputs!E32)+(Inputs!E51)+(Inputs!E70)+(-(Inputs!E15+Inputs!E34+Inputs!E53+Inputs!E72))))))*10000</f>
        <v>66.1213499814374</v>
      </c>
      <c r="E107" s="52">
        <f>(E106-((((Inputs!F16)+(Inputs!F35)+(Inputs!F54)+(Inputs!F73)+Inputs!F97)+Inputs!F98+(Inputs!F99+Inputs!F100+Inputs!F101+Inputs!F102+Inputs!F103))/(((Inputs!F13)+(Inputs!F32)+(Inputs!F51)+(Inputs!F70)+(-(Inputs!F15+Inputs!F34+Inputs!F53+Inputs!F72))))))*10000</f>
        <v>10.228780439900525</v>
      </c>
      <c r="F107" s="52">
        <f>(F106-((((Inputs!G16)+(Inputs!G35)+(Inputs!G54)+(Inputs!G73)+Inputs!G97)+Inputs!G98+(Inputs!G99+Inputs!G100+Inputs!G101+Inputs!G102+Inputs!G103))/(((Inputs!G13)+(Inputs!G32)+(Inputs!G51)+(Inputs!G70)+(-(Inputs!G15+Inputs!G34+Inputs!G53+Inputs!G72))))))*10000</f>
        <v>395.71438777985264</v>
      </c>
      <c r="G107" s="52">
        <f>(G106-((((Inputs!H16)+(Inputs!H35)+(Inputs!H54)+(Inputs!H73)+Inputs!H97)+Inputs!H98+(Inputs!H99+Inputs!H100+Inputs!H101+Inputs!H102+Inputs!H103))/(((Inputs!H13)+(Inputs!H32)+(Inputs!H51)+(Inputs!H70)+(-(Inputs!H15+Inputs!H34+Inputs!H53+Inputs!H72))))))*10000</f>
        <v>-368.9551540487548</v>
      </c>
      <c r="H107" s="53">
        <f t="shared" si="9"/>
        <v>-113.5553261419299</v>
      </c>
      <c r="I107" s="1"/>
      <c r="J107" s="1"/>
      <c r="K107" s="1"/>
      <c r="L107" s="1"/>
    </row>
    <row r="108" ht="15" customHeight="1">
      <c r="A108" s="1"/>
      <c r="B108" s="50" t="s">
        <v>115</v>
      </c>
      <c r="C108" s="52">
        <f>(C106-((((Inputs!H16)+(Inputs!H35)+(Inputs!H54)+(Inputs!H73)+Inputs!H97)+Inputs!H98+(Inputs!H99+Inputs!H100+Inputs!H101+Inputs!H102+Inputs!H103))/(((Inputs!H13)+(Inputs!H32)+(Inputs!H51)+(Inputs!H70)+(-(Inputs!H15+Inputs!H34+Inputs!H53+Inputs!H72))))))*10000</f>
        <v>-185.08307184957565</v>
      </c>
      <c r="D108" s="54">
        <f t="shared" si="6"/>
        <v>-106.38376129608274</v>
      </c>
      <c r="E108" s="54"/>
      <c r="F108" s="54">
        <f t="shared" si="10"/>
        <v>-84.30090964997139</v>
      </c>
      <c r="G108" s="54">
        <f t="shared" si="6"/>
        <v>6.8125887468749315</v>
      </c>
      <c r="H108" s="53">
        <f t="shared" si="6"/>
        <v>70.3167560572493</v>
      </c>
      <c r="I108" s="1"/>
      <c r="J108" s="1"/>
      <c r="K108" s="1"/>
      <c r="L108" s="1"/>
    </row>
    <row r="109" ht="15" customHeight="1">
      <c r="A109" s="1"/>
      <c r="B109" s="17" t="s">
        <v>302</v>
      </c>
      <c r="C109" s="23">
        <f t="shared" si="25" ref="C109:H109">C103-C56</f>
        <v>0</v>
      </c>
      <c r="D109" s="23">
        <f t="shared" si="25"/>
        <v>0</v>
      </c>
      <c r="E109" s="23">
        <f t="shared" si="25"/>
        <v>0</v>
      </c>
      <c r="F109" s="23">
        <f t="shared" si="25"/>
        <v>0</v>
      </c>
      <c r="G109" s="23">
        <f t="shared" si="25"/>
        <v>0</v>
      </c>
      <c r="H109" s="48">
        <f t="shared" si="25"/>
        <v>0</v>
      </c>
      <c r="I109" s="1"/>
      <c r="J109" s="1" t="s">
        <v>303</v>
      </c>
      <c r="K109" s="1"/>
      <c r="L109" s="1"/>
    </row>
    <row r="110" ht="15" customHeight="1">
      <c r="A110" s="1"/>
      <c r="B110" s="1"/>
      <c r="C110" s="1"/>
      <c r="D110" s="1"/>
      <c r="E110" s="1"/>
      <c r="F110" s="1"/>
      <c r="G110" s="1"/>
      <c r="H110" s="45"/>
      <c r="I110" s="1"/>
      <c r="J110" s="1"/>
      <c r="K110" s="1"/>
      <c r="L110" s="1"/>
    </row>
    <row r="111" ht="15" customHeight="1">
      <c r="A111" s="1"/>
      <c r="B111" s="4" t="s">
        <v>304</v>
      </c>
      <c r="C111" s="34"/>
      <c r="D111" s="34"/>
      <c r="E111" s="34"/>
      <c r="F111" s="34"/>
      <c r="G111" s="34"/>
      <c r="H111" s="32"/>
      <c r="I111" s="1"/>
      <c r="J111" s="1"/>
      <c r="K111" s="1"/>
      <c r="L111" s="1"/>
    </row>
    <row r="112" ht="15" customHeight="1">
      <c r="A112" s="1"/>
      <c r="B112" s="17" t="s">
        <v>305</v>
      </c>
      <c r="C112" s="33">
        <v>-161</v>
      </c>
      <c r="D112" s="33">
        <v>-175</v>
      </c>
      <c r="E112" s="33">
        <v>-665</v>
      </c>
      <c r="F112" s="33">
        <v>-162</v>
      </c>
      <c r="G112" s="33">
        <v>-161</v>
      </c>
      <c r="H112" s="48">
        <f t="shared" si="21"/>
        <v>-161</v>
      </c>
      <c r="I112" s="1"/>
      <c r="J112" s="1" t="s">
        <v>306</v>
      </c>
      <c r="K112" s="1"/>
      <c r="L112" s="1"/>
    </row>
    <row r="113" ht="15" customHeight="1">
      <c r="A113" s="1"/>
      <c r="B113" s="56" t="s">
        <v>277</v>
      </c>
      <c r="C113" s="22">
        <f>C112-Inputs!C104</f>
        <v>0</v>
      </c>
      <c r="D113" s="22">
        <f>D112-Inputs!E104</f>
        <v>-15</v>
      </c>
      <c r="E113" s="22">
        <f>E112-Inputs!F104</f>
        <v>-44</v>
      </c>
      <c r="F113" s="22">
        <f>F112-Inputs!G104</f>
        <v>-6</v>
      </c>
      <c r="G113" s="22">
        <f>G112-Inputs!H104</f>
        <v>12</v>
      </c>
      <c r="H113" s="48">
        <f t="shared" si="20"/>
        <v>0</v>
      </c>
      <c r="I113" s="1"/>
      <c r="J113" s="1"/>
      <c r="K113" s="1"/>
      <c r="L113" s="1"/>
    </row>
    <row r="114" ht="15" customHeight="1">
      <c r="A114" s="1"/>
      <c r="B114" s="56" t="s">
        <v>144</v>
      </c>
      <c r="C114" s="22">
        <f>C112-Inputs!H104</f>
        <v>12</v>
      </c>
      <c r="D114" s="23">
        <f t="shared" si="7"/>
        <v>-14</v>
      </c>
      <c r="E114" s="23"/>
      <c r="F114" s="23">
        <f t="shared" si="12"/>
        <v>13</v>
      </c>
      <c r="G114" s="23">
        <f t="shared" si="7"/>
        <v>1</v>
      </c>
      <c r="H114" s="48">
        <f t="shared" si="7"/>
        <v>0</v>
      </c>
      <c r="I114" s="1"/>
      <c r="J114" s="1"/>
      <c r="K114" s="1"/>
      <c r="L114" s="1"/>
    </row>
    <row r="115" ht="15" customHeight="1">
      <c r="A115" s="1"/>
      <c r="B115" s="17" t="s">
        <v>307</v>
      </c>
      <c r="C115" s="33">
        <v>136</v>
      </c>
      <c r="D115" s="33">
        <v>138</v>
      </c>
      <c r="E115" s="33">
        <v>541</v>
      </c>
      <c r="F115" s="33">
        <v>166</v>
      </c>
      <c r="G115" s="33">
        <v>166</v>
      </c>
      <c r="H115" s="21">
        <f>(Guidance!G40-F115-G115)/2</f>
        <v>166.5</v>
      </c>
      <c r="I115" s="1"/>
      <c r="J115" s="1" t="s">
        <v>308</v>
      </c>
      <c r="K115" s="1"/>
      <c r="L115" s="1"/>
    </row>
    <row r="116" ht="15" customHeight="1">
      <c r="A116" s="1"/>
      <c r="B116" s="56" t="s">
        <v>277</v>
      </c>
      <c r="C116" s="22">
        <f>C115-Inputs!C105</f>
        <v>-32</v>
      </c>
      <c r="D116" s="22">
        <f>D115-Inputs!E105</f>
        <v>-15</v>
      </c>
      <c r="E116" s="22">
        <f>E115-Inputs!F105</f>
        <v>-115</v>
      </c>
      <c r="F116" s="22">
        <f>F115-Inputs!G105</f>
        <v>36</v>
      </c>
      <c r="G116" s="22">
        <f>G115-Inputs!H105</f>
        <v>29</v>
      </c>
      <c r="H116" s="48">
        <f t="shared" si="20"/>
        <v>30.5</v>
      </c>
      <c r="I116" s="1"/>
      <c r="J116" s="1"/>
      <c r="K116" s="1"/>
      <c r="L116" s="1"/>
    </row>
    <row r="117" ht="15" customHeight="1">
      <c r="A117" s="1"/>
      <c r="B117" s="56" t="s">
        <v>144</v>
      </c>
      <c r="C117" s="22">
        <f>C115-Inputs!H105</f>
        <v>-1</v>
      </c>
      <c r="D117" s="23">
        <f t="shared" si="7"/>
        <v>2</v>
      </c>
      <c r="E117" s="23"/>
      <c r="F117" s="23">
        <f t="shared" si="12"/>
        <v>28</v>
      </c>
      <c r="G117" s="23">
        <f t="shared" si="7"/>
        <v>0</v>
      </c>
      <c r="H117" s="48">
        <f t="shared" si="7"/>
        <v>0.5</v>
      </c>
      <c r="I117" s="1"/>
      <c r="J117" s="1"/>
      <c r="K117" s="1"/>
      <c r="L117" s="1"/>
    </row>
    <row r="118" ht="15" customHeight="1">
      <c r="A118" s="1"/>
      <c r="B118" s="17" t="s">
        <v>309</v>
      </c>
      <c r="C118" s="33">
        <v>0</v>
      </c>
      <c r="D118" s="33">
        <v>527</v>
      </c>
      <c r="E118" s="33">
        <v>527</v>
      </c>
      <c r="F118" s="33">
        <v>0</v>
      </c>
      <c r="G118" s="33">
        <v>0</v>
      </c>
      <c r="H118" s="69">
        <v>0</v>
      </c>
      <c r="I118" s="1"/>
      <c r="J118" s="1" t="s">
        <v>310</v>
      </c>
      <c r="K118" s="1"/>
      <c r="L118" s="1"/>
    </row>
    <row r="119" ht="15" customHeight="1">
      <c r="A119" s="1"/>
      <c r="B119" s="56" t="s">
        <v>277</v>
      </c>
      <c r="C119" s="22">
        <f>C118-Inputs!C106</f>
        <v>0</v>
      </c>
      <c r="D119" s="22">
        <f>D118-Inputs!E106</f>
        <v>84</v>
      </c>
      <c r="E119" s="22">
        <f>E118-Inputs!F106</f>
        <v>84</v>
      </c>
      <c r="F119" s="22">
        <f>F118-Inputs!G106</f>
        <v>0</v>
      </c>
      <c r="G119" s="22">
        <f>G118-Inputs!H106</f>
        <v>0</v>
      </c>
      <c r="H119" s="48">
        <f t="shared" si="20"/>
        <v>0</v>
      </c>
      <c r="I119" s="1"/>
      <c r="J119" s="1"/>
      <c r="K119" s="1"/>
      <c r="L119" s="1"/>
    </row>
    <row r="120" ht="15" customHeight="1">
      <c r="A120" s="1"/>
      <c r="B120" s="56" t="s">
        <v>144</v>
      </c>
      <c r="C120" s="22">
        <f>C118-Inputs!H106</f>
        <v>0</v>
      </c>
      <c r="D120" s="23">
        <f t="shared" si="7"/>
        <v>527</v>
      </c>
      <c r="E120" s="23"/>
      <c r="F120" s="23">
        <f t="shared" si="12"/>
        <v>-527</v>
      </c>
      <c r="G120" s="23">
        <f t="shared" si="7"/>
        <v>0</v>
      </c>
      <c r="H120" s="48">
        <f t="shared" si="7"/>
        <v>0</v>
      </c>
      <c r="I120" s="1"/>
      <c r="J120" s="1"/>
      <c r="K120" s="1"/>
      <c r="L120" s="1"/>
    </row>
    <row r="121" ht="15" customHeight="1">
      <c r="A121" s="1"/>
      <c r="B121" s="17" t="s">
        <v>311</v>
      </c>
      <c r="C121" s="33">
        <v>106</v>
      </c>
      <c r="D121" s="33">
        <v>-21</v>
      </c>
      <c r="E121" s="33">
        <v>154</v>
      </c>
      <c r="F121" s="33">
        <v>37</v>
      </c>
      <c r="G121" s="33">
        <v>67</v>
      </c>
      <c r="H121" s="69">
        <v>40</v>
      </c>
      <c r="I121" s="1"/>
      <c r="J121" s="1" t="s">
        <v>312</v>
      </c>
      <c r="K121" s="1"/>
      <c r="L121" s="1"/>
    </row>
    <row r="122" ht="15" customHeight="1">
      <c r="A122" s="1"/>
      <c r="B122" s="56" t="s">
        <v>277</v>
      </c>
      <c r="C122" s="22">
        <f>C121-Inputs!C107</f>
        <v>45</v>
      </c>
      <c r="D122" s="22">
        <f>D121-Inputs!E107</f>
        <v>-47</v>
      </c>
      <c r="E122" s="22">
        <f>E121-Inputs!F107</f>
        <v>-14</v>
      </c>
      <c r="F122" s="22">
        <f>F121-Inputs!G107</f>
        <v>6</v>
      </c>
      <c r="G122" s="22">
        <f>G121-Inputs!H107</f>
        <v>29</v>
      </c>
      <c r="H122" s="48">
        <f t="shared" si="20"/>
        <v>-66</v>
      </c>
      <c r="I122" s="1"/>
      <c r="J122" s="1"/>
      <c r="K122" s="1"/>
      <c r="L122" s="1"/>
    </row>
    <row r="123" ht="15" customHeight="1">
      <c r="A123" s="1"/>
      <c r="B123" s="56" t="s">
        <v>144</v>
      </c>
      <c r="C123" s="22">
        <f>C121-Inputs!H107</f>
        <v>68</v>
      </c>
      <c r="D123" s="23">
        <f t="shared" si="7"/>
        <v>-127</v>
      </c>
      <c r="E123" s="23"/>
      <c r="F123" s="23">
        <f t="shared" si="12"/>
        <v>58</v>
      </c>
      <c r="G123" s="23">
        <f t="shared" si="7"/>
        <v>30</v>
      </c>
      <c r="H123" s="48">
        <f t="shared" si="7"/>
        <v>-27</v>
      </c>
      <c r="I123" s="1"/>
      <c r="J123" s="1"/>
      <c r="K123" s="1"/>
      <c r="L123" s="1"/>
    </row>
    <row r="124" ht="15" customHeight="1">
      <c r="A124" s="1"/>
      <c r="B124" s="4" t="s">
        <v>313</v>
      </c>
      <c r="C124" s="46">
        <f t="shared" si="26" ref="C124:H124">C103+C112+C115+C118+C121</f>
        <v>1323</v>
      </c>
      <c r="D124" s="46">
        <f t="shared" si="26"/>
        <v>1740</v>
      </c>
      <c r="E124" s="46">
        <f t="shared" si="26"/>
        <v>5068</v>
      </c>
      <c r="F124" s="46">
        <f t="shared" si="26"/>
        <v>1030</v>
      </c>
      <c r="G124" s="46">
        <f t="shared" si="26"/>
        <v>1168</v>
      </c>
      <c r="H124" s="47">
        <f t="shared" si="26"/>
        <v>1246.14786571</v>
      </c>
      <c r="I124" s="1"/>
      <c r="J124" s="1"/>
      <c r="K124" s="1"/>
      <c r="L124" s="1"/>
    </row>
    <row r="125" ht="15" customHeight="1">
      <c r="A125" s="1"/>
      <c r="B125" s="50" t="s">
        <v>111</v>
      </c>
      <c r="C125" s="42">
        <f>C124/((((Inputs!C16)+(Inputs!C35)+(Inputs!C54)+(Inputs!C73)+Inputs!C97)+Inputs!C98+(Inputs!C99+Inputs!C100+Inputs!C101+Inputs!C102+Inputs!C103))+Inputs!C104+Inputs!C105+Inputs!C106+Inputs!C107)-1</f>
        <v>0.11363636363636354</v>
      </c>
      <c r="D125" s="42">
        <f>D124/((((Inputs!E16)+(Inputs!E35)+(Inputs!E54)+(Inputs!E73)+Inputs!E97)+Inputs!E98+(Inputs!E99+Inputs!E100+Inputs!E101+Inputs!E102+Inputs!E103))+Inputs!E104+Inputs!E105+Inputs!E106+Inputs!E107)-1</f>
        <v>0.12185686653771755</v>
      </c>
      <c r="E125" s="42">
        <f>E124/((((Inputs!F16)+(Inputs!F35)+(Inputs!F54)+(Inputs!F73)+Inputs!F97)+Inputs!F98+(Inputs!F99+Inputs!F100+Inputs!F101+Inputs!F102+Inputs!F103))+Inputs!F104+Inputs!F105+Inputs!F106+Inputs!F107)-1</f>
        <v>0.010366826156299913</v>
      </c>
      <c r="F125" s="42">
        <f>F124/((((Inputs!G16)+(Inputs!G35)+(Inputs!G54)+(Inputs!G73)+Inputs!G97)+Inputs!G98+(Inputs!G99+Inputs!G100+Inputs!G101+Inputs!G102+Inputs!G103))+Inputs!G104+Inputs!G105+Inputs!G106+Inputs!G107)-1</f>
        <v>0.7820069204152249</v>
      </c>
      <c r="G125" s="42">
        <f>G124/((((Inputs!H16)+(Inputs!H35)+(Inputs!H54)+(Inputs!H73)+Inputs!H97)+Inputs!H98+(Inputs!H99+Inputs!H100+Inputs!H101+Inputs!H102+Inputs!H103))+Inputs!H104+Inputs!H105+Inputs!H106+Inputs!H107)-1</f>
        <v>-0.181499649614576</v>
      </c>
      <c r="H125" s="49">
        <f t="shared" si="1"/>
        <v>-0.05808929273620567</v>
      </c>
      <c r="I125" s="1"/>
      <c r="J125" s="1"/>
      <c r="K125" s="1"/>
      <c r="L125" s="1"/>
    </row>
    <row r="126" ht="15" customHeight="1">
      <c r="A126" s="1"/>
      <c r="B126" s="56" t="s">
        <v>144</v>
      </c>
      <c r="C126" s="22">
        <f>C124-((((Inputs!H16)+(Inputs!H35)+(Inputs!H54)+(Inputs!H73)+Inputs!H97)+Inputs!H98+(Inputs!H99+Inputs!H100+Inputs!H101+Inputs!H102+Inputs!H103))+Inputs!H104+Inputs!H105+Inputs!H106+Inputs!H107)</f>
        <v>-104</v>
      </c>
      <c r="D126" s="23">
        <f t="shared" si="7"/>
        <v>417</v>
      </c>
      <c r="E126" s="23"/>
      <c r="F126" s="23">
        <f t="shared" si="12"/>
        <v>-710</v>
      </c>
      <c r="G126" s="23">
        <f t="shared" si="7"/>
        <v>138</v>
      </c>
      <c r="H126" s="48">
        <f t="shared" si="7"/>
        <v>78.1478657099999</v>
      </c>
      <c r="I126" s="1"/>
      <c r="J126" s="1"/>
      <c r="K126" s="1"/>
      <c r="L126" s="1"/>
    </row>
    <row r="127" ht="15" customHeight="1">
      <c r="A127" s="1"/>
      <c r="B127" s="17" t="s">
        <v>314</v>
      </c>
      <c r="C127" s="33">
        <v>223</v>
      </c>
      <c r="D127" s="33">
        <v>313</v>
      </c>
      <c r="E127" s="33">
        <v>886</v>
      </c>
      <c r="F127" s="33">
        <v>155</v>
      </c>
      <c r="G127" s="33">
        <v>74</v>
      </c>
      <c r="H127" s="48">
        <f>H124*H130</f>
        <v>218.07587649924997</v>
      </c>
      <c r="I127" s="1"/>
      <c r="J127" s="1"/>
      <c r="K127" s="1"/>
      <c r="L127" s="1"/>
    </row>
    <row r="128" ht="15" customHeight="1">
      <c r="A128" s="1"/>
      <c r="B128" s="50" t="s">
        <v>111</v>
      </c>
      <c r="C128" s="42">
        <f>C127/Inputs!C108-1</f>
        <v>0.3765432098765431</v>
      </c>
      <c r="D128" s="42">
        <f>D127/Inputs!E108-1</f>
        <v>0.09059233449477344</v>
      </c>
      <c r="E128" s="42">
        <f>E127/Inputs!F108-1</f>
        <v>0.052256532066508266</v>
      </c>
      <c r="F128" s="42">
        <f>F127/Inputs!G108-1</f>
        <v>0.597938144329897</v>
      </c>
      <c r="G128" s="42">
        <f>G127/Inputs!H108-1</f>
        <v>-0.7075098814229249</v>
      </c>
      <c r="H128" s="49">
        <f t="shared" si="1"/>
        <v>-0.022081271303811767</v>
      </c>
      <c r="I128" s="1"/>
      <c r="J128" s="1"/>
      <c r="K128" s="1"/>
      <c r="L128" s="1"/>
    </row>
    <row r="129" ht="15" customHeight="1">
      <c r="A129" s="1"/>
      <c r="B129" s="56" t="s">
        <v>144</v>
      </c>
      <c r="C129" s="22">
        <f>C127-Inputs!H108</f>
        <v>-30</v>
      </c>
      <c r="D129" s="23">
        <f t="shared" si="7"/>
        <v>90</v>
      </c>
      <c r="E129" s="23"/>
      <c r="F129" s="23">
        <f t="shared" si="12"/>
        <v>-158</v>
      </c>
      <c r="G129" s="23">
        <f t="shared" si="7"/>
        <v>-81</v>
      </c>
      <c r="H129" s="48">
        <f t="shared" si="7"/>
        <v>144.07587649924997</v>
      </c>
      <c r="I129" s="1"/>
      <c r="J129" s="1"/>
      <c r="K129" s="1"/>
      <c r="L129" s="1"/>
    </row>
    <row r="130" ht="15" customHeight="1">
      <c r="A130" s="1"/>
      <c r="B130" s="35" t="s">
        <v>315</v>
      </c>
      <c r="C130" s="24">
        <f t="shared" si="27" ref="C130:G130">C127/C124</f>
        <v>0.16855631141345426</v>
      </c>
      <c r="D130" s="24">
        <f t="shared" si="27"/>
        <v>0.17988505747126438</v>
      </c>
      <c r="E130" s="24">
        <f t="shared" si="27"/>
        <v>0.17482241515390687</v>
      </c>
      <c r="F130" s="24">
        <f t="shared" si="27"/>
        <v>0.15048543689320387</v>
      </c>
      <c r="G130" s="24">
        <f t="shared" si="27"/>
        <v>0.06335616438356165</v>
      </c>
      <c r="H130" s="57">
        <v>0.175</v>
      </c>
      <c r="I130" s="1"/>
      <c r="J130" s="1" t="s">
        <v>316</v>
      </c>
      <c r="K130" s="1"/>
      <c r="L130" s="1"/>
    </row>
    <row r="131" ht="15" customHeight="1">
      <c r="A131" s="1"/>
      <c r="B131" s="50" t="s">
        <v>114</v>
      </c>
      <c r="C131" s="52">
        <f>(C130-(Inputs!C108/((((Inputs!C16)+(Inputs!C35)+(Inputs!C54)+(Inputs!C73)+Inputs!C97)+Inputs!C98+(Inputs!C99+Inputs!C100+Inputs!C101+Inputs!C102+Inputs!C103))+Inputs!C104+Inputs!C105+Inputs!C106+Inputs!C107)))*10000</f>
        <v>321.92675049817905</v>
      </c>
      <c r="D131" s="52">
        <f>(D130-(Inputs!E108/((((Inputs!E16)+(Inputs!E35)+(Inputs!E54)+(Inputs!E73)+Inputs!E97)+Inputs!E98+(Inputs!E99+Inputs!E100+Inputs!E101+Inputs!E102+Inputs!E103))+Inputs!E104+Inputs!E105+Inputs!E106+Inputs!E107)))*10000</f>
        <v>-51.56850974899402</v>
      </c>
      <c r="E131" s="52">
        <f>(E130-(Inputs!F108/((((Inputs!F16)+(Inputs!F35)+(Inputs!F54)+(Inputs!F73)+Inputs!F97)+Inputs!F98+(Inputs!F99+Inputs!F100+Inputs!F101+Inputs!F102+Inputs!F103))+Inputs!F104+Inputs!F105+Inputs!F106+Inputs!F107)))*10000</f>
        <v>69.59576238436377</v>
      </c>
      <c r="F131" s="52">
        <f>(F130-(Inputs!G108/((((Inputs!G16)+(Inputs!G35)+(Inputs!G54)+(Inputs!G73)+Inputs!G97)+Inputs!G98+(Inputs!G99+Inputs!G100+Inputs!G101+Inputs!G102+Inputs!G103))+Inputs!G104+Inputs!G105+Inputs!G106+Inputs!G107)))*10000</f>
        <v>-173.34632310948368</v>
      </c>
      <c r="G131" s="52">
        <f>(G130-(Inputs!H108/((((Inputs!H16)+(Inputs!H35)+(Inputs!H54)+(Inputs!H73)+Inputs!H97)+Inputs!H98+(Inputs!H99+Inputs!H100+Inputs!H101+Inputs!H102+Inputs!H103))+Inputs!H104+Inputs!H105+Inputs!H106+Inputs!H107)))*10000</f>
        <v>-1139.3886014341804</v>
      </c>
      <c r="H131" s="53">
        <f t="shared" si="9"/>
        <v>64.43688586545731</v>
      </c>
      <c r="I131" s="1"/>
      <c r="J131" s="1"/>
      <c r="K131" s="1"/>
      <c r="L131" s="1"/>
    </row>
    <row r="132" ht="15" customHeight="1">
      <c r="A132" s="1"/>
      <c r="B132" s="50" t="s">
        <v>115</v>
      </c>
      <c r="C132" s="52">
        <f>(C130-(Inputs!H108/((((Inputs!H16)+(Inputs!H35)+(Inputs!H54)+(Inputs!H73)+Inputs!H97)+Inputs!H98+(Inputs!H99+Inputs!H100+Inputs!H101+Inputs!H102+Inputs!H103))+Inputs!H104+Inputs!H105+Inputs!H106+Inputs!H107)))*10000</f>
        <v>-87.38713113525421</v>
      </c>
      <c r="D132" s="54">
        <f t="shared" si="6"/>
        <v>113.28746057810119</v>
      </c>
      <c r="E132" s="54"/>
      <c r="F132" s="54">
        <f t="shared" si="10"/>
        <v>-293.996205780605</v>
      </c>
      <c r="G132" s="54">
        <f t="shared" si="6"/>
        <v>-871.2927250964223</v>
      </c>
      <c r="H132" s="53">
        <f t="shared" si="6"/>
        <v>1116.4383561643833</v>
      </c>
      <c r="I132" s="1"/>
      <c r="J132" s="1"/>
      <c r="K132" s="1"/>
      <c r="L132" s="1"/>
    </row>
    <row r="133" ht="15" customHeight="1">
      <c r="A133" s="1"/>
      <c r="B133" s="4" t="s">
        <v>317</v>
      </c>
      <c r="C133" s="46">
        <f t="shared" si="28" ref="C133:H133">C124-C127</f>
        <v>1100</v>
      </c>
      <c r="D133" s="46">
        <f t="shared" si="28"/>
        <v>1427</v>
      </c>
      <c r="E133" s="46">
        <f t="shared" si="28"/>
        <v>4182</v>
      </c>
      <c r="F133" s="46">
        <f t="shared" si="28"/>
        <v>875</v>
      </c>
      <c r="G133" s="46">
        <f t="shared" si="28"/>
        <v>1094</v>
      </c>
      <c r="H133" s="47">
        <f t="shared" si="28"/>
        <v>1028.07198921075</v>
      </c>
      <c r="I133" s="1"/>
      <c r="J133" s="1"/>
      <c r="K133" s="1"/>
      <c r="L133" s="1"/>
    </row>
    <row r="134" ht="15" customHeight="1">
      <c r="A134" s="1"/>
      <c r="B134" s="50" t="s">
        <v>111</v>
      </c>
      <c r="C134" s="42">
        <f>C133/(((((Inputs!C16)+(Inputs!C35)+(Inputs!C54)+(Inputs!C73)+Inputs!C97)+Inputs!C98+(Inputs!C99+Inputs!C100+Inputs!C101+Inputs!C102+Inputs!C103))+Inputs!C104+Inputs!C105+Inputs!C106+Inputs!C107)-Inputs!C108)-1</f>
        <v>0.0721247563352827</v>
      </c>
      <c r="D134" s="42">
        <f>D133/(((((Inputs!E16)+(Inputs!E35)+(Inputs!E54)+(Inputs!E73)+Inputs!E97)+Inputs!E98+(Inputs!E99+Inputs!E100+Inputs!E101+Inputs!E102+Inputs!E103))+Inputs!E104+Inputs!E105+Inputs!E106+Inputs!E107)-Inputs!E108)-1</f>
        <v>0.12895569620253156</v>
      </c>
      <c r="E134" s="42">
        <f>E133/(((((Inputs!F16)+(Inputs!F35)+(Inputs!F54)+(Inputs!F73)+Inputs!F97)+Inputs!F98+(Inputs!F99+Inputs!F100+Inputs!F101+Inputs!F102+Inputs!F103))+Inputs!F104+Inputs!F105+Inputs!F106+Inputs!F107)-Inputs!F108)-1</f>
        <v>0.001916626736943039</v>
      </c>
      <c r="F134" s="42">
        <f>F133/(((((Inputs!G16)+(Inputs!G35)+(Inputs!G54)+(Inputs!G73)+Inputs!G97)+Inputs!G98+(Inputs!G99+Inputs!G100+Inputs!G101+Inputs!G102+Inputs!G103))+Inputs!G104+Inputs!G105+Inputs!G106+Inputs!G107)-Inputs!G108)-1</f>
        <v>0.8191268191268191</v>
      </c>
      <c r="G134" s="42">
        <f>G133/(((((Inputs!H16)+(Inputs!H35)+(Inputs!H54)+(Inputs!H73)+Inputs!H97)+Inputs!H98+(Inputs!H99+Inputs!H100+Inputs!H101+Inputs!H102+Inputs!H103))+Inputs!H104+Inputs!H105+Inputs!H106+Inputs!H107)-Inputs!H108)-1</f>
        <v>-0.0681431005110733</v>
      </c>
      <c r="H134" s="49">
        <f t="shared" si="1"/>
        <v>-0.06538910071750004</v>
      </c>
      <c r="I134" s="1"/>
      <c r="J134" s="1"/>
      <c r="K134" s="1"/>
      <c r="L134" s="1"/>
    </row>
    <row r="135" ht="15" customHeight="1">
      <c r="A135" s="1"/>
      <c r="B135" s="56" t="s">
        <v>144</v>
      </c>
      <c r="C135" s="22">
        <f>C133-(((((Inputs!H16)+(Inputs!H35)+(Inputs!H54)+(Inputs!H73)+Inputs!H97)+Inputs!H98+(Inputs!H99+Inputs!H100+Inputs!H101+Inputs!H102+Inputs!H103))+Inputs!H104+Inputs!H105+Inputs!H106+Inputs!H107)-Inputs!H108)</f>
        <v>-74</v>
      </c>
      <c r="D135" s="23">
        <f t="shared" si="7"/>
        <v>327</v>
      </c>
      <c r="E135" s="23"/>
      <c r="F135" s="23">
        <f t="shared" si="12"/>
        <v>-552</v>
      </c>
      <c r="G135" s="23">
        <f t="shared" si="7"/>
        <v>219</v>
      </c>
      <c r="H135" s="48">
        <f t="shared" si="7"/>
        <v>-65.92801078925004</v>
      </c>
      <c r="I135" s="1"/>
      <c r="J135" s="1"/>
      <c r="K135" s="1"/>
      <c r="L135" s="1"/>
    </row>
    <row r="136" ht="15" customHeight="1">
      <c r="A136" s="1"/>
      <c r="B136" s="35" t="s">
        <v>318</v>
      </c>
      <c r="C136" s="24">
        <f t="shared" si="29" ref="C136:H136">C133/C22</f>
        <v>0.10553583421279862</v>
      </c>
      <c r="D136" s="24">
        <f t="shared" si="29"/>
        <v>0.12184084699453553</v>
      </c>
      <c r="E136" s="24">
        <f t="shared" si="29"/>
        <v>0.09968060256471373</v>
      </c>
      <c r="F136" s="24">
        <f t="shared" si="29"/>
        <v>0.08855379010221638</v>
      </c>
      <c r="G136" s="24">
        <f t="shared" si="29"/>
        <v>0.10058845163663112</v>
      </c>
      <c r="H136" s="49">
        <f t="shared" si="29"/>
        <v>0.09230873996021251</v>
      </c>
      <c r="I136" s="1"/>
      <c r="J136" s="1"/>
      <c r="K136" s="1"/>
      <c r="L136" s="1"/>
    </row>
    <row r="137" ht="15" customHeight="1">
      <c r="A137" s="1"/>
      <c r="B137" s="50" t="s">
        <v>114</v>
      </c>
      <c r="C137" s="52">
        <f>(C136-((((((Inputs!C16)+(Inputs!C35)+(Inputs!C54)+(Inputs!C73)+Inputs!C97)+Inputs!C98+(Inputs!C99+Inputs!C100+Inputs!C101+Inputs!C102+Inputs!C103))+Inputs!C104+Inputs!C105+Inputs!C106+Inputs!C107)-Inputs!C108)/(((Inputs!C13)+(Inputs!C32)+(Inputs!C51)+(Inputs!C70)+(-(Inputs!C15+Inputs!C34+Inputs!C53+Inputs!C72))))))*10000</f>
        <v>28.94777790229591</v>
      </c>
      <c r="D137" s="52">
        <f>(D136-((((((Inputs!E16)+(Inputs!E35)+(Inputs!E54)+(Inputs!E73)+Inputs!E97)+Inputs!E98+(Inputs!E99+Inputs!E100+Inputs!E101+Inputs!E102+Inputs!E103))+Inputs!E104+Inputs!E105+Inputs!E106+Inputs!E107)-Inputs!E108)/(((Inputs!E13)+(Inputs!E32)+(Inputs!E51)+(Inputs!E70)+(-(Inputs!E15+Inputs!E34+Inputs!E53+Inputs!E72))))))*10000</f>
        <v>35.55239657833303</v>
      </c>
      <c r="E137" s="52">
        <f>(E136-((((((Inputs!F16)+(Inputs!F35)+(Inputs!F54)+(Inputs!F73)+Inputs!F97)+Inputs!F98+(Inputs!F99+Inputs!F100+Inputs!F101+Inputs!F102+Inputs!F103))+Inputs!F104+Inputs!F105+Inputs!F106+Inputs!F107)-Inputs!F108)/(((Inputs!F13)+(Inputs!F32)+(Inputs!F51)+(Inputs!F70)+(-(Inputs!F15+Inputs!F34+Inputs!F53+Inputs!F72))))))*10000</f>
        <v>-20.424008715448917</v>
      </c>
      <c r="F137" s="52">
        <f>(F136-((((((Inputs!G16)+(Inputs!G35)+(Inputs!G54)+(Inputs!G73)+Inputs!G97)+Inputs!G98+(Inputs!G99+Inputs!G100+Inputs!G101+Inputs!G102+Inputs!G103))+Inputs!G104+Inputs!G105+Inputs!G106+Inputs!G107)-Inputs!G108)/(((Inputs!G13)+(Inputs!G32)+(Inputs!G51)+(Inputs!G70)+(-(Inputs!G15+Inputs!G34+Inputs!G53+Inputs!G72))))))*10000</f>
        <v>377.51086257687444</v>
      </c>
      <c r="G137" s="52">
        <f>(G136-((((((Inputs!H16)+(Inputs!H35)+(Inputs!H54)+(Inputs!H73)+Inputs!H97)+Inputs!H98+(Inputs!H99+Inputs!H100+Inputs!H101+Inputs!H102+Inputs!H103))+Inputs!H104+Inputs!H105+Inputs!H106+Inputs!H107)-Inputs!H108)/(((Inputs!H13)+(Inputs!H32)+(Inputs!H51)+(Inputs!H70)+(-(Inputs!H15+Inputs!H34+Inputs!H53+Inputs!H72))))))*10000</f>
        <v>-128.3054169734628</v>
      </c>
      <c r="H137" s="53">
        <f t="shared" si="9"/>
        <v>-132.27094252586113</v>
      </c>
      <c r="I137" s="1"/>
      <c r="J137" s="1"/>
      <c r="K137" s="1"/>
      <c r="L137" s="1"/>
    </row>
    <row r="138" ht="15" customHeight="1">
      <c r="A138" s="1"/>
      <c r="B138" s="50" t="s">
        <v>115</v>
      </c>
      <c r="C138" s="52">
        <f>(C136-((((((Inputs!H16)+(Inputs!H35)+(Inputs!H54)+(Inputs!H73)+Inputs!H97)+Inputs!H98+(Inputs!H99+Inputs!H100+Inputs!H101+Inputs!H102+Inputs!H103))+Inputs!H104+Inputs!H105+Inputs!H106+Inputs!H107)-Inputs!H108)/(((Inputs!H13)+(Inputs!H32)+(Inputs!H51)+(Inputs!H70)+(-(Inputs!H15+Inputs!H34+Inputs!H53+Inputs!H72))))))*10000</f>
        <v>-78.83159121178777</v>
      </c>
      <c r="D138" s="54">
        <f t="shared" si="6"/>
        <v>163.05012781736906</v>
      </c>
      <c r="E138" s="54"/>
      <c r="F138" s="54">
        <f t="shared" si="10"/>
        <v>-332.87056892319146</v>
      </c>
      <c r="G138" s="54">
        <f t="shared" si="6"/>
        <v>120.34661534414737</v>
      </c>
      <c r="H138" s="53">
        <f t="shared" si="6"/>
        <v>-82.79711676418611</v>
      </c>
      <c r="I138" s="1"/>
      <c r="J138" s="1"/>
      <c r="K138" s="1"/>
      <c r="L138" s="1"/>
    </row>
    <row r="139" ht="15" customHeight="1">
      <c r="A139" s="1"/>
      <c r="B139" s="17" t="s">
        <v>319</v>
      </c>
      <c r="C139" s="22">
        <f>'Cash Flow Statement'!C10</f>
        <v>1100</v>
      </c>
      <c r="D139" s="22">
        <f>'Cash Flow Statement'!D10</f>
        <v>1427</v>
      </c>
      <c r="E139" s="22">
        <f>'Cash Flow Statement'!E10</f>
        <v>4182</v>
      </c>
      <c r="F139" s="22">
        <f>'Cash Flow Statement'!F10</f>
        <v>875</v>
      </c>
      <c r="G139" s="22">
        <f>'Cash Flow Statement'!G10</f>
        <v>1094</v>
      </c>
      <c r="H139" s="48"/>
      <c r="I139" s="1"/>
      <c r="J139" s="1" t="s">
        <v>320</v>
      </c>
      <c r="K139" s="1"/>
      <c r="L139" s="1"/>
    </row>
    <row r="140" ht="15" customHeight="1">
      <c r="A140" s="1"/>
      <c r="B140" s="17" t="s">
        <v>321</v>
      </c>
      <c r="C140" s="23">
        <f t="shared" si="30" ref="C140:G140">C133-C139</f>
        <v>0</v>
      </c>
      <c r="D140" s="23">
        <f t="shared" si="30"/>
        <v>0</v>
      </c>
      <c r="E140" s="23">
        <f t="shared" si="30"/>
        <v>0</v>
      </c>
      <c r="F140" s="23">
        <f t="shared" si="30"/>
        <v>0</v>
      </c>
      <c r="G140" s="23">
        <f t="shared" si="30"/>
        <v>0</v>
      </c>
      <c r="H140" s="48"/>
      <c r="I140" s="1"/>
      <c r="J140" s="1"/>
      <c r="K140" s="1"/>
      <c r="L140" s="1"/>
    </row>
    <row r="141" ht="15" customHeight="1">
      <c r="A141" s="1"/>
      <c r="B141" s="1"/>
      <c r="C141" s="1"/>
      <c r="D141" s="1"/>
      <c r="E141" s="1"/>
      <c r="F141" s="1"/>
      <c r="G141" s="1"/>
      <c r="H141" s="45"/>
      <c r="I141" s="1"/>
      <c r="J141" s="1"/>
      <c r="K141" s="1"/>
      <c r="L141" s="1"/>
    </row>
    <row r="142" ht="15" customHeight="1">
      <c r="A142" s="1"/>
      <c r="B142" s="4" t="s">
        <v>322</v>
      </c>
      <c r="C142" s="34"/>
      <c r="D142" s="34"/>
      <c r="E142" s="34"/>
      <c r="F142" s="34"/>
      <c r="G142" s="34"/>
      <c r="H142" s="32"/>
      <c r="I142" s="1"/>
      <c r="J142" s="1"/>
      <c r="K142" s="1"/>
      <c r="L142" s="1"/>
    </row>
    <row r="143" ht="15" customHeight="1">
      <c r="A143" s="1"/>
      <c r="B143" s="17" t="s">
        <v>323</v>
      </c>
      <c r="C143" s="22">
        <f>'Share Count'!C10</f>
        <v>143.1</v>
      </c>
      <c r="D143" s="23"/>
      <c r="E143" s="22">
        <f>'Share Count'!E10</f>
        <v>143.5</v>
      </c>
      <c r="F143" s="22">
        <f>'Share Count'!F10</f>
        <v>142.1</v>
      </c>
      <c r="G143" s="22">
        <f>'Share Count'!G10</f>
        <v>142.1</v>
      </c>
      <c r="H143" s="21">
        <f>'Share Count'!H10</f>
        <v>142.1</v>
      </c>
      <c r="I143" s="1"/>
      <c r="J143" s="1" t="s">
        <v>324</v>
      </c>
      <c r="K143" s="1"/>
      <c r="L143" s="1"/>
    </row>
    <row r="144" ht="15" customHeight="1">
      <c r="A144" s="1"/>
      <c r="B144" s="17" t="s">
        <v>325</v>
      </c>
      <c r="C144" s="22">
        <f>'Share Count'!C13</f>
        <v>143.5</v>
      </c>
      <c r="D144" s="22">
        <f>'Share Count'!D13</f>
        <v>142.9</v>
      </c>
      <c r="E144" s="22">
        <f>'Share Count'!E13</f>
        <v>143.8</v>
      </c>
      <c r="F144" s="22">
        <f>'Share Count'!F13</f>
        <v>142.5</v>
      </c>
      <c r="G144" s="22">
        <f>'Share Count'!G13</f>
        <v>142.4</v>
      </c>
      <c r="H144" s="21">
        <f>'Share Count'!H13</f>
        <v>142.4</v>
      </c>
      <c r="I144" s="1"/>
      <c r="J144" s="1"/>
      <c r="K144" s="1"/>
      <c r="L144" s="1"/>
    </row>
    <row r="145" ht="15" customHeight="1">
      <c r="A145" s="1"/>
      <c r="B145" s="17" t="s">
        <v>326</v>
      </c>
      <c r="C145" s="27">
        <f t="shared" si="31" ref="C145:H145">C133/C143</f>
        <v>7.686932215234102</v>
      </c>
      <c r="D145" s="27"/>
      <c r="E145" s="27">
        <f t="shared" si="31"/>
        <v>29.142857142857142</v>
      </c>
      <c r="F145" s="27">
        <f t="shared" si="31"/>
        <v>6.157635467980295</v>
      </c>
      <c r="G145" s="27">
        <f t="shared" si="31"/>
        <v>7.698803659394793</v>
      </c>
      <c r="H145" s="73">
        <f t="shared" si="31"/>
        <v>7.234848622172765</v>
      </c>
      <c r="I145" s="1"/>
      <c r="J145" s="1"/>
      <c r="K145" s="1"/>
      <c r="L145" s="1"/>
    </row>
    <row r="146" ht="15" customHeight="1">
      <c r="A146" s="1"/>
      <c r="B146" s="4" t="s">
        <v>327</v>
      </c>
      <c r="C146" s="74">
        <f t="shared" si="32" ref="C146:H146">C133/C144</f>
        <v>7.665505226480836</v>
      </c>
      <c r="D146" s="74">
        <f t="shared" si="32"/>
        <v>9.986004198740378</v>
      </c>
      <c r="E146" s="74">
        <f t="shared" si="32"/>
        <v>29.08205841446453</v>
      </c>
      <c r="F146" s="74">
        <f t="shared" si="32"/>
        <v>6.140350877192983</v>
      </c>
      <c r="G146" s="74">
        <f t="shared" si="32"/>
        <v>7.682584269662921</v>
      </c>
      <c r="H146" s="75">
        <f t="shared" si="32"/>
        <v>7.219606665805828</v>
      </c>
      <c r="I146" s="1"/>
      <c r="J146" s="1"/>
      <c r="K146" s="1"/>
      <c r="L146" s="1"/>
    </row>
    <row r="147" ht="15" customHeight="1">
      <c r="A147" s="1"/>
      <c r="B147" s="50" t="s">
        <v>111</v>
      </c>
      <c r="C147" s="42">
        <f>C146/((((((Inputs!C16)+(Inputs!C35)+(Inputs!C54)+(Inputs!C73)+Inputs!C97)+Inputs!C98+(Inputs!C99+Inputs!C100+Inputs!C101+Inputs!C102+Inputs!C103))+Inputs!C104+Inputs!C105+Inputs!C106+Inputs!C107)-Inputs!C108)/(Inputs!C87))-1</f>
        <v>0.09453851430744886</v>
      </c>
      <c r="D147" s="42">
        <f>D146/((((((Inputs!E16)+(Inputs!E35)+(Inputs!E54)+(Inputs!E73)+Inputs!E97)+Inputs!E98+(Inputs!E99+Inputs!E100+Inputs!E101+Inputs!E102+Inputs!E103))+Inputs!E104+Inputs!E105+Inputs!E106+Inputs!E107)-Inputs!E108)/(Inputs!E87))-1</f>
        <v>0.1526566555349853</v>
      </c>
      <c r="E147" s="42">
        <f>E146/((((((Inputs!F16)+(Inputs!F35)+(Inputs!F54)+(Inputs!F73)+Inputs!F97)+Inputs!F98+(Inputs!F99+Inputs!F100+Inputs!F101+Inputs!F102+Inputs!F103))+Inputs!F104+Inputs!F105+Inputs!F106+Inputs!F107)-Inputs!F108)/(Inputs!F87))-1</f>
        <v>0.026302636428036763</v>
      </c>
      <c r="F147" s="42">
        <f>F146/((((((Inputs!G16)+(Inputs!G35)+(Inputs!G54)+(Inputs!G73)+Inputs!G97)+Inputs!G98+(Inputs!G99+Inputs!G100+Inputs!G101+Inputs!G102+Inputs!G103))+Inputs!G104+Inputs!G105+Inputs!G106+Inputs!G107)-Inputs!G108)/(Inputs!G87))-1</f>
        <v>0.8497647445015868</v>
      </c>
      <c r="G147" s="42">
        <f>G146/((((((Inputs!H16)+(Inputs!H35)+(Inputs!H54)+(Inputs!H73)+Inputs!H97)+Inputs!H98+(Inputs!H99+Inputs!H100+Inputs!H101+Inputs!H102+Inputs!H103))+Inputs!H104+Inputs!H105+Inputs!H106+Inputs!H107)-Inputs!H108)/(Inputs!H87))-1</f>
        <v>-0.05767279826962479</v>
      </c>
      <c r="H147" s="49">
        <f t="shared" si="1"/>
        <v>-0.05816949405169425</v>
      </c>
      <c r="I147" s="1"/>
      <c r="J147" s="1"/>
      <c r="K147" s="1"/>
      <c r="L147" s="1"/>
    </row>
    <row r="148" ht="15" customHeight="1">
      <c r="A148" s="1"/>
      <c r="B148" s="56" t="s">
        <v>328</v>
      </c>
      <c r="C148" s="26">
        <f>C146-((((((Inputs!H16)+(Inputs!H35)+(Inputs!H54)+(Inputs!H73)+Inputs!H97)+Inputs!H98+(Inputs!H99+Inputs!H100+Inputs!H101+Inputs!H102+Inputs!H103))+Inputs!H104+Inputs!H105+Inputs!H106+Inputs!H107)-Inputs!H108)/(Inputs!H87))</f>
        <v>-0.48727255129694225</v>
      </c>
      <c r="D148" s="27">
        <f t="shared" si="7"/>
        <v>2.320498972259542</v>
      </c>
      <c r="E148" s="27"/>
      <c r="F148" s="27">
        <f t="shared" si="12"/>
        <v>-3.8456533215473954</v>
      </c>
      <c r="G148" s="27">
        <f t="shared" si="7"/>
        <v>1.5422333924699378</v>
      </c>
      <c r="H148" s="73">
        <f t="shared" si="7"/>
        <v>-0.46297760385709275</v>
      </c>
      <c r="I148" s="1"/>
      <c r="J148" s="1"/>
      <c r="K148" s="1"/>
      <c r="L148" s="1"/>
    </row>
    <row r="149" ht="15" customHeight="1">
      <c r="A149" s="1"/>
      <c r="B149" s="17" t="s">
        <v>329</v>
      </c>
      <c r="C149" s="41">
        <v>7.67</v>
      </c>
      <c r="D149" s="41">
        <v>9.99</v>
      </c>
      <c r="E149" s="41">
        <v>29.08</v>
      </c>
      <c r="F149" s="41">
        <v>6.14</v>
      </c>
      <c r="G149" s="41">
        <v>7.68</v>
      </c>
      <c r="H149" s="73"/>
      <c r="I149" s="1"/>
      <c r="J149" s="1"/>
      <c r="K149" s="1"/>
      <c r="L149" s="1"/>
    </row>
    <row r="150" ht="15" customHeight="1">
      <c r="A150" s="1"/>
      <c r="B150" s="17" t="s">
        <v>330</v>
      </c>
      <c r="C150" s="27">
        <f t="shared" si="33" ref="C150:G150">ROUND(C146,2)-C149</f>
        <v>0</v>
      </c>
      <c r="D150" s="27">
        <f t="shared" si="33"/>
        <v>0</v>
      </c>
      <c r="E150" s="27">
        <f t="shared" si="33"/>
        <v>0</v>
      </c>
      <c r="F150" s="27">
        <f t="shared" si="33"/>
        <v>0</v>
      </c>
      <c r="G150" s="27">
        <f t="shared" si="33"/>
        <v>0</v>
      </c>
      <c r="H150" s="73"/>
      <c r="I150" s="1"/>
      <c r="J150" s="1"/>
      <c r="K150" s="1"/>
      <c r="L150" s="1"/>
    </row>
    <row r="151" ht="15" customHeight="1">
      <c r="A151" s="1"/>
      <c r="B151" s="1"/>
      <c r="C151" s="1"/>
      <c r="D151" s="1"/>
      <c r="E151" s="1"/>
      <c r="F151" s="1"/>
      <c r="G151" s="1"/>
      <c r="H151" s="45"/>
      <c r="I151" s="1"/>
      <c r="J151" s="1"/>
      <c r="K151" s="1"/>
      <c r="L151" s="1"/>
    </row>
    <row r="152" ht="15" customHeight="1">
      <c r="A152" s="1"/>
      <c r="B152" s="4" t="s">
        <v>331</v>
      </c>
      <c r="C152" s="34"/>
      <c r="D152" s="34"/>
      <c r="E152" s="34"/>
      <c r="F152" s="34"/>
      <c r="G152" s="34"/>
      <c r="H152" s="32"/>
      <c r="I152" s="1"/>
      <c r="J152" s="1"/>
      <c r="K152" s="1"/>
      <c r="L152" s="1"/>
    </row>
    <row r="153" ht="15" customHeight="1">
      <c r="A153" s="1"/>
      <c r="B153" s="17" t="s">
        <v>317</v>
      </c>
      <c r="C153" s="23">
        <f t="shared" si="34" ref="C153:H153">C133</f>
        <v>1100</v>
      </c>
      <c r="D153" s="23">
        <f t="shared" si="34"/>
        <v>1427</v>
      </c>
      <c r="E153" s="23">
        <f t="shared" si="34"/>
        <v>4182</v>
      </c>
      <c r="F153" s="23">
        <f t="shared" si="34"/>
        <v>875</v>
      </c>
      <c r="G153" s="23">
        <f t="shared" si="34"/>
        <v>1094</v>
      </c>
      <c r="H153" s="48">
        <f t="shared" si="34"/>
        <v>1028.07198921075</v>
      </c>
      <c r="I153" s="1"/>
      <c r="J153" s="1"/>
      <c r="K153" s="1"/>
      <c r="L153" s="1"/>
    </row>
    <row r="154" ht="15" customHeight="1">
      <c r="A154" s="1"/>
      <c r="B154" s="17" t="s">
        <v>332</v>
      </c>
      <c r="C154" s="23">
        <f t="shared" si="35" ref="C154:H154">-C118</f>
        <v>0</v>
      </c>
      <c r="D154" s="23">
        <f t="shared" si="35"/>
        <v>-527</v>
      </c>
      <c r="E154" s="23">
        <f t="shared" si="35"/>
        <v>-527</v>
      </c>
      <c r="F154" s="23">
        <f t="shared" si="35"/>
        <v>0</v>
      </c>
      <c r="G154" s="23">
        <f t="shared" si="35"/>
        <v>0</v>
      </c>
      <c r="H154" s="48">
        <f t="shared" si="35"/>
        <v>0</v>
      </c>
      <c r="I154" s="1"/>
      <c r="J154" s="1"/>
      <c r="K154" s="1"/>
      <c r="L154" s="1"/>
    </row>
    <row r="155" ht="15" customHeight="1">
      <c r="A155" s="1"/>
      <c r="B155" s="17" t="s">
        <v>333</v>
      </c>
      <c r="C155" s="23">
        <f t="shared" si="36" ref="C155:H155">-C96</f>
        <v>0</v>
      </c>
      <c r="D155" s="23">
        <f t="shared" si="36"/>
        <v>28</v>
      </c>
      <c r="E155" s="23">
        <f t="shared" si="36"/>
        <v>28</v>
      </c>
      <c r="F155" s="23">
        <f t="shared" si="36"/>
        <v>0</v>
      </c>
      <c r="G155" s="23">
        <f t="shared" si="36"/>
        <v>0</v>
      </c>
      <c r="H155" s="48">
        <f t="shared" si="36"/>
        <v>0</v>
      </c>
      <c r="I155" s="1"/>
      <c r="J155" s="1"/>
      <c r="K155" s="1"/>
      <c r="L155" s="1"/>
    </row>
    <row r="156" ht="15" customHeight="1">
      <c r="A156" s="1"/>
      <c r="B156" s="17" t="s">
        <v>334</v>
      </c>
      <c r="C156" s="33">
        <v>0</v>
      </c>
      <c r="D156" s="33">
        <v>105</v>
      </c>
      <c r="E156" s="33">
        <v>105</v>
      </c>
      <c r="F156" s="33">
        <v>0</v>
      </c>
      <c r="G156" s="33">
        <v>0</v>
      </c>
      <c r="H156" s="21">
        <f>(Inputs!C243)*(H118+H96)</f>
        <v>0</v>
      </c>
      <c r="I156" s="1"/>
      <c r="J156" s="1" t="s">
        <v>335</v>
      </c>
      <c r="K156" s="1"/>
      <c r="L156" s="1"/>
    </row>
    <row r="157" ht="15" customHeight="1">
      <c r="A157" s="1"/>
      <c r="B157" s="28" t="s">
        <v>336</v>
      </c>
      <c r="C157" s="46">
        <f t="shared" si="37" ref="C157:H157">C154+C155+C156</f>
        <v>0</v>
      </c>
      <c r="D157" s="46">
        <f t="shared" si="37"/>
        <v>-394</v>
      </c>
      <c r="E157" s="46">
        <f t="shared" si="37"/>
        <v>-394</v>
      </c>
      <c r="F157" s="46">
        <f t="shared" si="37"/>
        <v>0</v>
      </c>
      <c r="G157" s="46">
        <f t="shared" si="37"/>
        <v>0</v>
      </c>
      <c r="H157" s="47">
        <f t="shared" si="37"/>
        <v>0</v>
      </c>
      <c r="I157" s="1"/>
      <c r="J157" s="1"/>
      <c r="K157" s="1"/>
      <c r="L157" s="1"/>
    </row>
    <row r="158" ht="15" customHeight="1">
      <c r="A158" s="1"/>
      <c r="B158" s="4" t="s">
        <v>337</v>
      </c>
      <c r="C158" s="46">
        <f t="shared" si="38" ref="C158:H158">C153+C157</f>
        <v>1100</v>
      </c>
      <c r="D158" s="46">
        <f t="shared" si="38"/>
        <v>1033</v>
      </c>
      <c r="E158" s="46">
        <f t="shared" si="38"/>
        <v>3788</v>
      </c>
      <c r="F158" s="46">
        <f t="shared" si="38"/>
        <v>875</v>
      </c>
      <c r="G158" s="46">
        <f t="shared" si="38"/>
        <v>1094</v>
      </c>
      <c r="H158" s="47">
        <f t="shared" si="38"/>
        <v>1028.07198921075</v>
      </c>
      <c r="I158" s="1"/>
      <c r="J158" s="1"/>
      <c r="K158" s="1"/>
      <c r="L158" s="1"/>
    </row>
    <row r="159" ht="15" customHeight="1">
      <c r="A159" s="1"/>
      <c r="B159" s="50" t="s">
        <v>111</v>
      </c>
      <c r="C159" s="42">
        <f>C158/Inputs!C109-1</f>
        <v>0.0721247563352827</v>
      </c>
      <c r="D159" s="42">
        <f>D158/Inputs!E109-1</f>
        <v>0.10836909871244638</v>
      </c>
      <c r="E159" s="42">
        <f>E158/Inputs!F109-1</f>
        <v>-0.01405517959396152</v>
      </c>
      <c r="F159" s="42">
        <f>F158/Inputs!G109-1</f>
        <v>0.8191268191268191</v>
      </c>
      <c r="G159" s="42">
        <f>G158/Inputs!H109-1</f>
        <v>-0.0681431005110733</v>
      </c>
      <c r="H159" s="49">
        <f t="shared" si="1"/>
        <v>-0.06538910071750004</v>
      </c>
      <c r="I159" s="1"/>
      <c r="J159" s="1"/>
      <c r="K159" s="1"/>
      <c r="L159" s="1"/>
    </row>
    <row r="160" ht="15" customHeight="1">
      <c r="A160" s="1"/>
      <c r="B160" s="56" t="s">
        <v>144</v>
      </c>
      <c r="C160" s="22">
        <f>C158-Inputs!H109</f>
        <v>-74</v>
      </c>
      <c r="D160" s="23">
        <f t="shared" si="7"/>
        <v>-67</v>
      </c>
      <c r="E160" s="23"/>
      <c r="F160" s="23">
        <f t="shared" si="12"/>
        <v>-158</v>
      </c>
      <c r="G160" s="23">
        <f t="shared" si="7"/>
        <v>219</v>
      </c>
      <c r="H160" s="48">
        <f t="shared" si="7"/>
        <v>-65.92801078925004</v>
      </c>
      <c r="I160" s="1"/>
      <c r="J160" s="1"/>
      <c r="K160" s="1"/>
      <c r="L160" s="1"/>
    </row>
    <row r="161" ht="15" customHeight="1">
      <c r="A161" s="1"/>
      <c r="B161" s="17" t="s">
        <v>327</v>
      </c>
      <c r="C161" s="27">
        <f t="shared" si="39" ref="C161:H161">C146</f>
        <v>7.665505226480836</v>
      </c>
      <c r="D161" s="27">
        <f t="shared" si="39"/>
        <v>9.986004198740378</v>
      </c>
      <c r="E161" s="27">
        <f t="shared" si="39"/>
        <v>29.08205841446453</v>
      </c>
      <c r="F161" s="27">
        <f t="shared" si="39"/>
        <v>6.140350877192983</v>
      </c>
      <c r="G161" s="27">
        <f t="shared" si="39"/>
        <v>7.682584269662921</v>
      </c>
      <c r="H161" s="73">
        <f t="shared" si="39"/>
        <v>7.219606665805828</v>
      </c>
      <c r="I161" s="1"/>
      <c r="J161" s="1"/>
      <c r="K161" s="1"/>
      <c r="L161" s="1"/>
    </row>
    <row r="162" ht="15" customHeight="1">
      <c r="A162" s="1"/>
      <c r="B162" s="17" t="s">
        <v>338</v>
      </c>
      <c r="C162" s="27">
        <f t="shared" si="40" ref="C162:H162">C154/C144</f>
        <v>0</v>
      </c>
      <c r="D162" s="27">
        <f t="shared" si="40"/>
        <v>-3.6878936319104265</v>
      </c>
      <c r="E162" s="27">
        <f t="shared" si="40"/>
        <v>-3.66481223922114</v>
      </c>
      <c r="F162" s="27">
        <f t="shared" si="40"/>
        <v>0</v>
      </c>
      <c r="G162" s="27">
        <f t="shared" si="40"/>
        <v>0</v>
      </c>
      <c r="H162" s="73">
        <f t="shared" si="40"/>
        <v>0</v>
      </c>
      <c r="I162" s="1"/>
      <c r="J162" s="1"/>
      <c r="K162" s="1"/>
      <c r="L162" s="1"/>
    </row>
    <row r="163" ht="15" customHeight="1">
      <c r="A163" s="1"/>
      <c r="B163" s="17" t="s">
        <v>339</v>
      </c>
      <c r="C163" s="27">
        <f t="shared" si="41" ref="C163:H163">C155/C144</f>
        <v>0</v>
      </c>
      <c r="D163" s="27">
        <f t="shared" si="41"/>
        <v>0.1959412176347096</v>
      </c>
      <c r="E163" s="27">
        <f t="shared" si="41"/>
        <v>0.19471488178025034</v>
      </c>
      <c r="F163" s="27">
        <f t="shared" si="41"/>
        <v>0</v>
      </c>
      <c r="G163" s="27">
        <f t="shared" si="41"/>
        <v>0</v>
      </c>
      <c r="H163" s="73">
        <f t="shared" si="41"/>
        <v>0</v>
      </c>
      <c r="I163" s="1"/>
      <c r="J163" s="1"/>
      <c r="K163" s="1"/>
      <c r="L163" s="1"/>
    </row>
    <row r="164" ht="15" customHeight="1">
      <c r="A164" s="1"/>
      <c r="B164" s="17" t="s">
        <v>340</v>
      </c>
      <c r="C164" s="27">
        <f t="shared" si="42" ref="C164:H164">C156/C144</f>
        <v>0</v>
      </c>
      <c r="D164" s="27">
        <f t="shared" si="42"/>
        <v>0.7347795661301609</v>
      </c>
      <c r="E164" s="27">
        <f t="shared" si="42"/>
        <v>0.7301808066759388</v>
      </c>
      <c r="F164" s="27">
        <f t="shared" si="42"/>
        <v>0</v>
      </c>
      <c r="G164" s="27">
        <f t="shared" si="42"/>
        <v>0</v>
      </c>
      <c r="H164" s="73">
        <f t="shared" si="42"/>
        <v>0</v>
      </c>
      <c r="I164" s="1"/>
      <c r="J164" s="1"/>
      <c r="K164" s="1"/>
      <c r="L164" s="1"/>
    </row>
    <row r="165" ht="15" customHeight="1">
      <c r="A165" s="1"/>
      <c r="B165" s="4" t="s">
        <v>341</v>
      </c>
      <c r="C165" s="76">
        <f t="shared" si="43" ref="C165:H165">C158/C144</f>
        <v>7.665505226480836</v>
      </c>
      <c r="D165" s="76">
        <f t="shared" si="43"/>
        <v>7.228831350594821</v>
      </c>
      <c r="E165" s="76">
        <f t="shared" si="43"/>
        <v>26.34214186369958</v>
      </c>
      <c r="F165" s="76">
        <f t="shared" si="43"/>
        <v>6.140350877192983</v>
      </c>
      <c r="G165" s="76">
        <f t="shared" si="43"/>
        <v>7.682584269662921</v>
      </c>
      <c r="H165" s="77">
        <f t="shared" si="43"/>
        <v>7.219606665805828</v>
      </c>
      <c r="I165" s="1"/>
      <c r="J165" s="1"/>
      <c r="K165" s="1"/>
      <c r="L165" s="1"/>
    </row>
    <row r="166" ht="15" customHeight="1">
      <c r="A166" s="1"/>
      <c r="B166" s="50" t="s">
        <v>111</v>
      </c>
      <c r="C166" s="42">
        <f>C165/Inputs!C110-1</f>
        <v>0.09507217521154798</v>
      </c>
      <c r="D166" s="42">
        <f>D165/Inputs!E110-1</f>
        <v>0.1312725118301754</v>
      </c>
      <c r="E166" s="42">
        <f>E165/Inputs!F110-1</f>
        <v>0.010051451828971825</v>
      </c>
      <c r="F166" s="42">
        <f>F165/Inputs!G110-1</f>
        <v>0.8495032762629466</v>
      </c>
      <c r="G166" s="42">
        <f>G165/Inputs!H110-1</f>
        <v>-0.05735162335424293</v>
      </c>
      <c r="H166" s="49">
        <f t="shared" si="1"/>
        <v>-0.05816949405169425</v>
      </c>
      <c r="I166" s="1"/>
      <c r="J166" s="1"/>
      <c r="K166" s="1"/>
      <c r="L166" s="1"/>
    </row>
    <row r="167" ht="15" customHeight="1">
      <c r="A167" s="1"/>
      <c r="B167" s="56" t="s">
        <v>328</v>
      </c>
      <c r="C167" s="26">
        <f>C165-Inputs!H110</f>
        <v>-0.48449477351916403</v>
      </c>
      <c r="D167" s="27">
        <f t="shared" si="7"/>
        <v>-0.43667387588601514</v>
      </c>
      <c r="E167" s="27"/>
      <c r="F167" s="27">
        <f t="shared" si="12"/>
        <v>-1.0884804734018383</v>
      </c>
      <c r="G167" s="27">
        <f t="shared" si="7"/>
        <v>1.5422333924699378</v>
      </c>
      <c r="H167" s="73">
        <f t="shared" si="7"/>
        <v>-0.46297760385709275</v>
      </c>
      <c r="I167" s="1"/>
      <c r="J167" s="1"/>
      <c r="K167" s="1"/>
      <c r="L167" s="1"/>
    </row>
    <row r="168" ht="15" customHeight="1">
      <c r="A168" s="1"/>
      <c r="B168" s="17" t="s">
        <v>342</v>
      </c>
      <c r="C168" s="41">
        <v>7.67</v>
      </c>
      <c r="D168" s="41">
        <v>7.23</v>
      </c>
      <c r="E168" s="41">
        <v>26.34</v>
      </c>
      <c r="F168" s="41">
        <v>6.14</v>
      </c>
      <c r="G168" s="41">
        <v>7.68</v>
      </c>
      <c r="H168" s="73"/>
      <c r="I168" s="1"/>
      <c r="J168" s="1" t="s">
        <v>343</v>
      </c>
      <c r="K168" s="1"/>
      <c r="L168" s="1"/>
    </row>
    <row r="169" ht="15" customHeight="1">
      <c r="A169" s="1"/>
      <c r="B169" s="17" t="s">
        <v>344</v>
      </c>
      <c r="C169" s="26">
        <f>Inputs!E249</f>
        <v>7.67</v>
      </c>
      <c r="D169" s="26">
        <f>Inputs!E250</f>
        <v>7.23</v>
      </c>
      <c r="E169" s="27"/>
      <c r="F169" s="26">
        <f>Inputs!E251</f>
        <v>6.14</v>
      </c>
      <c r="G169" s="26">
        <f>Inputs!E252</f>
        <v>7.68</v>
      </c>
      <c r="H169" s="73"/>
      <c r="I169" s="1"/>
      <c r="J169" s="1" t="s">
        <v>345</v>
      </c>
      <c r="K169" s="1"/>
      <c r="L169" s="1"/>
    </row>
    <row r="170" ht="15" customHeight="1">
      <c r="A170" s="1"/>
      <c r="B170" s="17" t="s">
        <v>346</v>
      </c>
      <c r="C170" s="27">
        <f t="shared" si="44" ref="C170:G170">ROUND(C165,2)-C169</f>
        <v>0</v>
      </c>
      <c r="D170" s="27">
        <f t="shared" si="44"/>
        <v>0</v>
      </c>
      <c r="E170" s="27"/>
      <c r="F170" s="27">
        <f t="shared" si="44"/>
        <v>0</v>
      </c>
      <c r="G170" s="27">
        <f t="shared" si="44"/>
        <v>0</v>
      </c>
      <c r="H170" s="73"/>
      <c r="I170" s="1"/>
      <c r="J170" s="1"/>
      <c r="K170" s="1"/>
      <c r="L170" s="1"/>
    </row>
    <row r="171" ht="15" customHeight="1">
      <c r="A171" s="1"/>
      <c r="B171" s="1"/>
      <c r="C171" s="1"/>
      <c r="D171" s="1"/>
      <c r="E171" s="1"/>
      <c r="F171" s="1"/>
      <c r="G171" s="1"/>
      <c r="H171" s="45"/>
      <c r="I171" s="1"/>
      <c r="J171" s="1"/>
      <c r="K171" s="1"/>
      <c r="L171" s="1"/>
    </row>
    <row r="172" ht="15" customHeight="1">
      <c r="A172" s="1"/>
      <c r="B172" s="4" t="s">
        <v>347</v>
      </c>
      <c r="C172" s="34"/>
      <c r="D172" s="34"/>
      <c r="E172" s="34"/>
      <c r="F172" s="34"/>
      <c r="G172" s="34"/>
      <c r="H172" s="32"/>
      <c r="I172" s="1"/>
      <c r="J172" s="1"/>
      <c r="K172" s="1"/>
      <c r="L172" s="1"/>
    </row>
    <row r="173" ht="15" customHeight="1">
      <c r="A173" s="1"/>
      <c r="B173" s="17" t="s">
        <v>348</v>
      </c>
      <c r="C173" s="26">
        <f>Inputs!D249</f>
        <v>6.46</v>
      </c>
      <c r="D173" s="26">
        <f>Inputs!D250</f>
        <v>6.96</v>
      </c>
      <c r="E173" s="27"/>
      <c r="F173" s="26">
        <f>Inputs!D251</f>
        <v>6.06</v>
      </c>
      <c r="G173" s="26">
        <f>Inputs!D252</f>
        <v>6.82</v>
      </c>
      <c r="H173" s="25">
        <f>Inputs!C288</f>
        <v>7.18</v>
      </c>
      <c r="I173" s="1"/>
      <c r="J173" s="1"/>
      <c r="K173" s="1"/>
      <c r="L173" s="1"/>
    </row>
    <row r="174" ht="15" customHeight="1">
      <c r="A174" s="1"/>
      <c r="B174" s="17" t="s">
        <v>349</v>
      </c>
      <c r="C174" s="27">
        <f t="shared" si="45" ref="C174:H174">C165</f>
        <v>7.665505226480836</v>
      </c>
      <c r="D174" s="27">
        <f t="shared" si="45"/>
        <v>7.228831350594821</v>
      </c>
      <c r="E174" s="27"/>
      <c r="F174" s="27">
        <f t="shared" si="45"/>
        <v>6.140350877192983</v>
      </c>
      <c r="G174" s="27">
        <f t="shared" si="45"/>
        <v>7.682584269662921</v>
      </c>
      <c r="H174" s="73">
        <f t="shared" si="45"/>
        <v>7.219606665805828</v>
      </c>
      <c r="I174" s="1"/>
      <c r="J174" s="1"/>
      <c r="K174" s="1"/>
      <c r="L174" s="1"/>
    </row>
    <row r="175" ht="15" customHeight="1">
      <c r="A175" s="1"/>
      <c r="B175" s="17" t="s">
        <v>350</v>
      </c>
      <c r="C175" s="27">
        <f t="shared" si="46" ref="C175:H175">C174-C173</f>
        <v>1.2055052264808364</v>
      </c>
      <c r="D175" s="27">
        <f t="shared" si="46"/>
        <v>0.2688313505948212</v>
      </c>
      <c r="E175" s="27"/>
      <c r="F175" s="27">
        <f t="shared" si="46"/>
        <v>0.08035087719298328</v>
      </c>
      <c r="G175" s="27">
        <f t="shared" si="46"/>
        <v>0.8625842696629205</v>
      </c>
      <c r="H175" s="73">
        <f t="shared" si="46"/>
        <v>0.03960666580582828</v>
      </c>
      <c r="I175" s="1"/>
      <c r="J175" s="1"/>
      <c r="K175" s="1"/>
      <c r="L175" s="1"/>
    </row>
    <row r="176" ht="15" customHeight="1">
      <c r="A176" s="1"/>
      <c r="B176" s="35" t="s">
        <v>351</v>
      </c>
      <c r="C176" s="24">
        <f t="shared" si="47" ref="C176:H176">C174/C173-1</f>
        <v>0.186610716173504</v>
      </c>
      <c r="D176" s="24">
        <f t="shared" si="47"/>
        <v>0.03862519405098008</v>
      </c>
      <c r="E176" s="24"/>
      <c r="F176" s="24">
        <f t="shared" si="47"/>
        <v>0.013259220658908166</v>
      </c>
      <c r="G176" s="24">
        <f t="shared" si="47"/>
        <v>0.12647863191538433</v>
      </c>
      <c r="H176" s="49">
        <f t="shared" si="47"/>
        <v>0.005516248719474648</v>
      </c>
      <c r="I176" s="1"/>
      <c r="J176" s="1"/>
      <c r="K176" s="1"/>
      <c r="L176" s="1"/>
    </row>
    <row r="177" ht="15" customHeight="1">
      <c r="A177" s="1"/>
      <c r="B177" s="17" t="s">
        <v>352</v>
      </c>
      <c r="C177" s="22">
        <f>Inputs!H249</f>
        <v>10714.2</v>
      </c>
      <c r="D177" s="22">
        <f>Inputs!H250</f>
        <v>11616.54</v>
      </c>
      <c r="E177" s="23"/>
      <c r="F177" s="22">
        <f>Inputs!H251</f>
        <v>9755.58</v>
      </c>
      <c r="G177" s="22">
        <f>Inputs!H252</f>
        <v>10804.59</v>
      </c>
      <c r="H177" s="21">
        <f>Inputs!C306</f>
        <v>11123.84</v>
      </c>
      <c r="I177" s="1"/>
      <c r="J177" s="1"/>
      <c r="K177" s="1"/>
      <c r="L177" s="1"/>
    </row>
    <row r="178" ht="15" customHeight="1">
      <c r="A178" s="1"/>
      <c r="B178" s="35" t="s">
        <v>353</v>
      </c>
      <c r="C178" s="24">
        <f t="shared" si="48" ref="C178:H178">C22/C177-1</f>
        <v>-0.027178884097739497</v>
      </c>
      <c r="D178" s="24">
        <f t="shared" si="48"/>
        <v>0.008217593190399164</v>
      </c>
      <c r="E178" s="24"/>
      <c r="F178" s="24">
        <f t="shared" si="48"/>
        <v>0.012856232023108927</v>
      </c>
      <c r="G178" s="24">
        <f t="shared" si="48"/>
        <v>0.006609228115088017</v>
      </c>
      <c r="H178" s="49">
        <f t="shared" si="48"/>
        <v>0.0012118248734249715</v>
      </c>
      <c r="I178" s="1"/>
      <c r="J178" s="1"/>
      <c r="K178" s="1"/>
      <c r="L178" s="1"/>
    </row>
    <row r="179" ht="15" customHeight="1">
      <c r="A179" s="1"/>
      <c r="B179" s="1"/>
      <c r="C179" s="1"/>
      <c r="D179" s="1"/>
      <c r="E179" s="1"/>
      <c r="F179" s="1"/>
      <c r="G179" s="1"/>
      <c r="H179" s="45"/>
      <c r="I179" s="1"/>
      <c r="J179" s="1"/>
      <c r="K179" s="1"/>
      <c r="L179" s="1"/>
    </row>
    <row r="180" ht="15" customHeight="1">
      <c r="A180" s="1"/>
      <c r="B180" s="4" t="s">
        <v>354</v>
      </c>
      <c r="C180" s="34"/>
      <c r="D180" s="34"/>
      <c r="E180" s="34"/>
      <c r="F180" s="34"/>
      <c r="G180" s="34"/>
      <c r="H180" s="32"/>
      <c r="I180" s="1"/>
      <c r="J180" s="1"/>
      <c r="K180" s="1"/>
      <c r="L180" s="1"/>
    </row>
    <row r="181" ht="15" customHeight="1">
      <c r="A181" s="1"/>
      <c r="B181" s="17" t="s">
        <v>355</v>
      </c>
      <c r="C181" s="23"/>
      <c r="D181" s="23"/>
      <c r="E181" s="22">
        <f>E22-(C22+D22+((Inputs!G13)+(Inputs!G32)+(Inputs!G51)+(Inputs!G70)+(-(Inputs!G15+Inputs!G34+Inputs!G53+Inputs!G72)))+((Inputs!H13)+(Inputs!H32)+(Inputs!H51)+(Inputs!H70)+(-(Inputs!H15+Inputs!H34+Inputs!H53+Inputs!H72))))</f>
        <v>0</v>
      </c>
      <c r="F181" s="23"/>
      <c r="G181" s="23"/>
      <c r="H181" s="48"/>
      <c r="I181" s="1"/>
      <c r="J181" s="1" t="s">
        <v>356</v>
      </c>
      <c r="K181" s="1"/>
      <c r="L181" s="1"/>
    </row>
    <row r="182" ht="15" customHeight="1">
      <c r="A182" s="1"/>
      <c r="B182" s="17" t="s">
        <v>357</v>
      </c>
      <c r="C182" s="23"/>
      <c r="D182" s="23"/>
      <c r="E182" s="22">
        <f>E103-(C103+D103+(((Inputs!G16)+(Inputs!G35)+(Inputs!G54)+(Inputs!G73)+Inputs!G97)+Inputs!G98+(Inputs!G99+Inputs!G100+Inputs!G101+Inputs!G102+Inputs!G103))+(((Inputs!H16)+(Inputs!H35)+(Inputs!H54)+(Inputs!H73)+Inputs!H97)+Inputs!H98+(Inputs!H99+Inputs!H100+Inputs!H101+Inputs!H102+Inputs!H103)))</f>
        <v>0</v>
      </c>
      <c r="F182" s="23"/>
      <c r="G182" s="23"/>
      <c r="H182" s="48"/>
      <c r="I182" s="1"/>
      <c r="J182" s="1" t="s">
        <v>356</v>
      </c>
      <c r="K182" s="1"/>
      <c r="L182" s="1"/>
    </row>
    <row r="183" ht="15" customHeight="1">
      <c r="A183" s="1"/>
      <c r="B183" s="17" t="s">
        <v>358</v>
      </c>
      <c r="C183" s="23"/>
      <c r="D183" s="23"/>
      <c r="E183" s="22">
        <f>E133-(C133+D133+(((((Inputs!G16)+(Inputs!G35)+(Inputs!G54)+(Inputs!G73)+Inputs!G97)+Inputs!G98+(Inputs!G99+Inputs!G100+Inputs!G101+Inputs!G102+Inputs!G103))+Inputs!G104+Inputs!G105+Inputs!G106+Inputs!G107)-Inputs!G108)+(((((Inputs!H16)+(Inputs!H35)+(Inputs!H54)+(Inputs!H73)+Inputs!H97)+Inputs!H98+(Inputs!H99+Inputs!H100+Inputs!H101+Inputs!H102+Inputs!H103))+Inputs!H104+Inputs!H105+Inputs!H106+Inputs!H107)-Inputs!H108))</f>
        <v>0</v>
      </c>
      <c r="F183" s="23"/>
      <c r="G183" s="23"/>
      <c r="H183" s="48"/>
      <c r="I183" s="1"/>
      <c r="J183" s="1" t="s">
        <v>356</v>
      </c>
      <c r="K183" s="1"/>
      <c r="L183" s="1"/>
    </row>
    <row r="184" ht="15" customHeight="1">
      <c r="A184" s="1"/>
      <c r="B184" s="1"/>
      <c r="C184" s="1"/>
      <c r="D184" s="1"/>
      <c r="E184" s="1"/>
      <c r="F184" s="1"/>
      <c r="G184" s="1"/>
      <c r="H184" s="45"/>
      <c r="I184" s="1"/>
      <c r="J184" s="1"/>
      <c r="K184" s="1"/>
      <c r="L18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83730E8-D54C-6DF8-EDAF-D192AF6E5EF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72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359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360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7" t="s">
        <v>361</v>
      </c>
      <c r="C10" s="33">
        <v>1957</v>
      </c>
      <c r="D10" s="33">
        <v>4403</v>
      </c>
      <c r="E10" s="23">
        <f t="shared" si="0" ref="E10:H47">D10</f>
        <v>4403</v>
      </c>
      <c r="F10" s="33">
        <v>2090</v>
      </c>
      <c r="G10" s="33">
        <v>2307</v>
      </c>
      <c r="H10" s="21">
        <f>'Cash Flow Statement'!H123</f>
        <v>3137.325</v>
      </c>
      <c r="I10" s="1"/>
      <c r="J10" s="1" t="s">
        <v>362</v>
      </c>
      <c r="K10" s="1"/>
      <c r="L10" s="1"/>
    </row>
    <row r="11" ht="15" customHeight="1">
      <c r="A11" s="1"/>
      <c r="B11" s="17" t="s">
        <v>363</v>
      </c>
      <c r="C11" s="33">
        <v>1983</v>
      </c>
      <c r="D11" s="33">
        <v>1375</v>
      </c>
      <c r="E11" s="23">
        <f t="shared" si="0"/>
        <v>1375</v>
      </c>
      <c r="F11" s="33">
        <v>1806</v>
      </c>
      <c r="G11" s="33">
        <v>2311</v>
      </c>
      <c r="H11" s="48">
        <f t="shared" si="0"/>
        <v>2311</v>
      </c>
      <c r="I11" s="1"/>
      <c r="J11" s="1"/>
      <c r="K11" s="1"/>
      <c r="L11" s="1"/>
    </row>
    <row r="12" ht="15" customHeight="1">
      <c r="A12" s="1"/>
      <c r="B12" s="17" t="s">
        <v>364</v>
      </c>
      <c r="C12" s="33">
        <v>7030</v>
      </c>
      <c r="D12" s="33">
        <v>6544</v>
      </c>
      <c r="E12" s="23">
        <f t="shared" si="0"/>
        <v>6544</v>
      </c>
      <c r="F12" s="33">
        <v>7556</v>
      </c>
      <c r="G12" s="33">
        <v>7953</v>
      </c>
      <c r="H12" s="21">
        <f>G12-'Cash Flow Statement'!H67</f>
        <v>7592.51698921075</v>
      </c>
      <c r="I12" s="1"/>
      <c r="J12" s="1"/>
      <c r="K12" s="1"/>
      <c r="L12" s="1"/>
    </row>
    <row r="13" ht="15" customHeight="1">
      <c r="A13" s="1"/>
      <c r="B13" s="17" t="s">
        <v>365</v>
      </c>
      <c r="C13" s="33">
        <v>1615</v>
      </c>
      <c r="D13" s="33">
        <v>1309</v>
      </c>
      <c r="E13" s="23">
        <f t="shared" si="0"/>
        <v>1309</v>
      </c>
      <c r="F13" s="33">
        <v>1450</v>
      </c>
      <c r="G13" s="33">
        <v>1415</v>
      </c>
      <c r="H13" s="48">
        <f t="shared" si="0"/>
        <v>1415</v>
      </c>
      <c r="I13" s="1"/>
      <c r="J13" s="1"/>
      <c r="K13" s="1"/>
      <c r="L13" s="1"/>
    </row>
    <row r="14" ht="15" customHeight="1">
      <c r="A14" s="1"/>
      <c r="B14" s="17" t="s">
        <v>366</v>
      </c>
      <c r="C14" s="33">
        <v>1520</v>
      </c>
      <c r="D14" s="33">
        <v>1656</v>
      </c>
      <c r="E14" s="23">
        <f t="shared" si="0"/>
        <v>1656</v>
      </c>
      <c r="F14" s="33">
        <v>1868</v>
      </c>
      <c r="G14" s="33">
        <v>1604</v>
      </c>
      <c r="H14" s="48">
        <f t="shared" si="0"/>
        <v>1604</v>
      </c>
      <c r="I14" s="1"/>
      <c r="J14" s="1"/>
      <c r="K14" s="1"/>
      <c r="L14" s="1"/>
    </row>
    <row r="15" ht="15" customHeight="1">
      <c r="A15" s="1"/>
      <c r="B15" s="4" t="s">
        <v>367</v>
      </c>
      <c r="C15" s="46">
        <f t="shared" si="1" ref="C15:H15">SUM(C10:C14)</f>
        <v>14105</v>
      </c>
      <c r="D15" s="46">
        <f t="shared" si="1"/>
        <v>15287</v>
      </c>
      <c r="E15" s="46">
        <f t="shared" si="1"/>
        <v>15287</v>
      </c>
      <c r="F15" s="46">
        <f t="shared" si="1"/>
        <v>14770</v>
      </c>
      <c r="G15" s="46">
        <f t="shared" si="1"/>
        <v>15590</v>
      </c>
      <c r="H15" s="47">
        <f t="shared" si="1"/>
        <v>16059.841989210749</v>
      </c>
      <c r="I15" s="1"/>
      <c r="J15" s="1"/>
      <c r="K15" s="1"/>
      <c r="L15" s="1"/>
    </row>
    <row r="16" ht="15" customHeight="1">
      <c r="A16" s="1"/>
      <c r="B16" s="17" t="s">
        <v>368</v>
      </c>
      <c r="C16" s="33">
        <v>10542</v>
      </c>
      <c r="D16" s="33">
        <v>10972</v>
      </c>
      <c r="E16" s="23">
        <f t="shared" si="0"/>
        <v>10972</v>
      </c>
      <c r="F16" s="33">
        <v>10243</v>
      </c>
      <c r="G16" s="33">
        <v>10297</v>
      </c>
      <c r="H16" s="21">
        <f>G16-'Cash Flow Statement'!H77-'Cash Flow Statement'!H13</f>
        <v>10377.73</v>
      </c>
      <c r="I16" s="1"/>
      <c r="J16" s="1" t="s">
        <v>369</v>
      </c>
      <c r="K16" s="1"/>
      <c r="L16" s="1"/>
    </row>
    <row r="17" ht="15" customHeight="1">
      <c r="A17" s="1"/>
      <c r="B17" s="17" t="s">
        <v>370</v>
      </c>
      <c r="C17" s="33">
        <v>1783</v>
      </c>
      <c r="D17" s="33">
        <v>1859</v>
      </c>
      <c r="E17" s="23">
        <f t="shared" si="0"/>
        <v>1859</v>
      </c>
      <c r="F17" s="33">
        <v>1925</v>
      </c>
      <c r="G17" s="33">
        <v>1901</v>
      </c>
      <c r="H17" s="48">
        <f t="shared" si="0"/>
        <v>1901</v>
      </c>
      <c r="I17" s="1"/>
      <c r="J17" s="1"/>
      <c r="K17" s="1"/>
      <c r="L17" s="1"/>
    </row>
    <row r="18" ht="15" customHeight="1">
      <c r="A18" s="1"/>
      <c r="B18" s="17" t="s">
        <v>371</v>
      </c>
      <c r="C18" s="33">
        <v>17436</v>
      </c>
      <c r="D18" s="33">
        <v>17437</v>
      </c>
      <c r="E18" s="23">
        <f t="shared" si="0"/>
        <v>17437</v>
      </c>
      <c r="F18" s="33">
        <v>17439</v>
      </c>
      <c r="G18" s="33">
        <v>17439</v>
      </c>
      <c r="H18" s="48">
        <f t="shared" si="0"/>
        <v>17439</v>
      </c>
      <c r="I18" s="1"/>
      <c r="J18" s="1"/>
      <c r="K18" s="1"/>
      <c r="L18" s="1"/>
    </row>
    <row r="19" ht="15" customHeight="1">
      <c r="A19" s="1"/>
      <c r="B19" s="17" t="s">
        <v>372</v>
      </c>
      <c r="C19" s="33">
        <v>220</v>
      </c>
      <c r="D19" s="23"/>
      <c r="E19" s="23"/>
      <c r="F19" s="23"/>
      <c r="G19" s="23"/>
      <c r="H19" s="48"/>
      <c r="I19" s="1"/>
      <c r="J19" s="1" t="s">
        <v>373</v>
      </c>
      <c r="K19" s="1"/>
      <c r="L19" s="1"/>
    </row>
    <row r="20" ht="15" customHeight="1">
      <c r="A20" s="1"/>
      <c r="B20" s="17" t="s">
        <v>374</v>
      </c>
      <c r="C20" s="33">
        <v>1255</v>
      </c>
      <c r="D20" s="33">
        <v>1051</v>
      </c>
      <c r="E20" s="23">
        <f t="shared" si="0"/>
        <v>1051</v>
      </c>
      <c r="F20" s="33">
        <v>743</v>
      </c>
      <c r="G20" s="33">
        <v>598</v>
      </c>
      <c r="H20" s="21">
        <f>G20-'Cash Flow Statement'!H19</f>
        <v>598</v>
      </c>
      <c r="I20" s="1"/>
      <c r="J20" s="1"/>
      <c r="K20" s="1"/>
      <c r="L20" s="1"/>
    </row>
    <row r="21" ht="15" customHeight="1">
      <c r="A21" s="1"/>
      <c r="B21" s="17" t="s">
        <v>375</v>
      </c>
      <c r="C21" s="33">
        <v>2501</v>
      </c>
      <c r="D21" s="33">
        <v>3167</v>
      </c>
      <c r="E21" s="23">
        <f t="shared" si="0"/>
        <v>3167</v>
      </c>
      <c r="F21" s="33">
        <v>3307</v>
      </c>
      <c r="G21" s="33">
        <v>3447</v>
      </c>
      <c r="H21" s="21">
        <f>G21-'Cash Flow Statement'!H31-'Cash Flow Statement'!H34</f>
        <v>3598.5</v>
      </c>
      <c r="I21" s="1"/>
      <c r="J21" s="1"/>
      <c r="K21" s="1"/>
      <c r="L21" s="1"/>
    </row>
    <row r="22" ht="15" customHeight="1">
      <c r="A22" s="1"/>
      <c r="B22" s="17" t="s">
        <v>376</v>
      </c>
      <c r="C22" s="33">
        <v>1458</v>
      </c>
      <c r="D22" s="33">
        <v>1604</v>
      </c>
      <c r="E22" s="23">
        <f t="shared" si="0"/>
        <v>1604</v>
      </c>
      <c r="F22" s="33">
        <v>1580</v>
      </c>
      <c r="G22" s="33">
        <v>1491</v>
      </c>
      <c r="H22" s="48">
        <f t="shared" si="0"/>
        <v>1491</v>
      </c>
      <c r="I22" s="1"/>
      <c r="J22" s="1" t="s">
        <v>377</v>
      </c>
      <c r="K22" s="1"/>
      <c r="L22" s="1"/>
    </row>
    <row r="23" ht="15" customHeight="1">
      <c r="A23" s="1"/>
      <c r="B23" s="4" t="s">
        <v>378</v>
      </c>
      <c r="C23" s="46">
        <f t="shared" si="2" ref="C23:H23">C15+SUM(C16:C22)</f>
        <v>49300</v>
      </c>
      <c r="D23" s="46">
        <f t="shared" si="2"/>
        <v>51377</v>
      </c>
      <c r="E23" s="46">
        <f t="shared" si="2"/>
        <v>51377</v>
      </c>
      <c r="F23" s="46">
        <f t="shared" si="2"/>
        <v>50007</v>
      </c>
      <c r="G23" s="46">
        <f t="shared" si="2"/>
        <v>50763</v>
      </c>
      <c r="H23" s="47">
        <f t="shared" si="2"/>
        <v>51465.071989210745</v>
      </c>
      <c r="I23" s="1"/>
      <c r="J23" s="1"/>
      <c r="K23" s="1"/>
      <c r="L23" s="1"/>
    </row>
    <row r="24" ht="15" customHeight="1">
      <c r="A24" s="1"/>
      <c r="B24" s="1"/>
      <c r="C24" s="1"/>
      <c r="D24" s="1"/>
      <c r="E24" s="1"/>
      <c r="F24" s="1"/>
      <c r="G24" s="1"/>
      <c r="H24" s="45"/>
      <c r="I24" s="1"/>
      <c r="J24" s="1"/>
      <c r="K24" s="1"/>
      <c r="L24" s="1"/>
    </row>
    <row r="25" ht="15" customHeight="1">
      <c r="A25" s="1"/>
      <c r="B25" s="4" t="s">
        <v>379</v>
      </c>
      <c r="C25" s="34"/>
      <c r="D25" s="34"/>
      <c r="E25" s="34"/>
      <c r="F25" s="34"/>
      <c r="G25" s="34"/>
      <c r="H25" s="32"/>
      <c r="I25" s="1"/>
      <c r="J25" s="1"/>
      <c r="K25" s="1"/>
      <c r="L25" s="1"/>
    </row>
    <row r="26" ht="15" customHeight="1">
      <c r="A26" s="1"/>
      <c r="B26" s="17" t="s">
        <v>380</v>
      </c>
      <c r="C26" s="33">
        <v>2797</v>
      </c>
      <c r="D26" s="33">
        <v>3240</v>
      </c>
      <c r="E26" s="23">
        <f t="shared" si="0"/>
        <v>3240</v>
      </c>
      <c r="F26" s="33">
        <v>2681</v>
      </c>
      <c r="G26" s="33">
        <v>2895</v>
      </c>
      <c r="H26" s="48">
        <f t="shared" si="0"/>
        <v>2895</v>
      </c>
      <c r="I26" s="1"/>
      <c r="J26" s="1"/>
      <c r="K26" s="1"/>
      <c r="L26" s="1"/>
    </row>
    <row r="27" ht="15" customHeight="1">
      <c r="A27" s="1"/>
      <c r="B27" s="17" t="s">
        <v>381</v>
      </c>
      <c r="C27" s="33">
        <v>1946</v>
      </c>
      <c r="D27" s="33">
        <v>2309</v>
      </c>
      <c r="E27" s="23">
        <f t="shared" si="0"/>
        <v>2309</v>
      </c>
      <c r="F27" s="33">
        <v>1732</v>
      </c>
      <c r="G27" s="33">
        <v>1991</v>
      </c>
      <c r="H27" s="48">
        <f t="shared" si="0"/>
        <v>1991</v>
      </c>
      <c r="I27" s="1"/>
      <c r="J27" s="1"/>
      <c r="K27" s="1"/>
      <c r="L27" s="1"/>
    </row>
    <row r="28" ht="15" customHeight="1">
      <c r="A28" s="1"/>
      <c r="B28" s="17" t="s">
        <v>382</v>
      </c>
      <c r="C28" s="33">
        <v>3562</v>
      </c>
      <c r="D28" s="33">
        <v>4086</v>
      </c>
      <c r="E28" s="23">
        <f t="shared" si="0"/>
        <v>4086</v>
      </c>
      <c r="F28" s="33">
        <v>3697</v>
      </c>
      <c r="G28" s="33">
        <v>3823</v>
      </c>
      <c r="H28" s="48">
        <f t="shared" si="0"/>
        <v>3823</v>
      </c>
      <c r="I28" s="1"/>
      <c r="J28" s="1"/>
      <c r="K28" s="1"/>
      <c r="L28" s="1"/>
    </row>
    <row r="29" ht="15" customHeight="1">
      <c r="A29" s="1"/>
      <c r="B29" s="17" t="s">
        <v>383</v>
      </c>
      <c r="C29" s="33">
        <v>4413</v>
      </c>
      <c r="D29" s="33">
        <v>4247</v>
      </c>
      <c r="E29" s="23">
        <f t="shared" si="0"/>
        <v>4247</v>
      </c>
      <c r="F29" s="33">
        <v>4711</v>
      </c>
      <c r="G29" s="33">
        <v>4636</v>
      </c>
      <c r="H29" s="48">
        <f t="shared" si="0"/>
        <v>4636</v>
      </c>
      <c r="I29" s="1"/>
      <c r="J29" s="1"/>
      <c r="K29" s="1"/>
      <c r="L29" s="1"/>
    </row>
    <row r="30" ht="15" customHeight="1">
      <c r="A30" s="1"/>
      <c r="B30" s="4" t="s">
        <v>384</v>
      </c>
      <c r="C30" s="46">
        <f t="shared" si="3" ref="C30:H42">SUM(C26:C29)</f>
        <v>12718</v>
      </c>
      <c r="D30" s="46">
        <f t="shared" si="3"/>
        <v>13882</v>
      </c>
      <c r="E30" s="46">
        <f t="shared" si="3"/>
        <v>13882</v>
      </c>
      <c r="F30" s="46">
        <f t="shared" si="3"/>
        <v>12821</v>
      </c>
      <c r="G30" s="46">
        <f t="shared" si="3"/>
        <v>13345</v>
      </c>
      <c r="H30" s="47">
        <f t="shared" si="3"/>
        <v>13345</v>
      </c>
      <c r="I30" s="1"/>
      <c r="J30" s="1"/>
      <c r="K30" s="1"/>
      <c r="L30" s="1"/>
    </row>
    <row r="31" ht="15" customHeight="1">
      <c r="A31" s="1"/>
      <c r="B31" s="17" t="s">
        <v>385</v>
      </c>
      <c r="C31" s="33">
        <v>15162</v>
      </c>
      <c r="D31" s="33">
        <v>15162</v>
      </c>
      <c r="E31" s="23">
        <f t="shared" si="0"/>
        <v>15162</v>
      </c>
      <c r="F31" s="33">
        <v>14411</v>
      </c>
      <c r="G31" s="33">
        <v>14428</v>
      </c>
      <c r="H31" s="48">
        <f t="shared" si="0"/>
        <v>14428</v>
      </c>
      <c r="I31" s="1"/>
      <c r="J31" s="1"/>
      <c r="K31" s="1"/>
      <c r="L31" s="1"/>
    </row>
    <row r="32" ht="15" customHeight="1">
      <c r="A32" s="1"/>
      <c r="B32" s="17" t="s">
        <v>386</v>
      </c>
      <c r="C32" s="33">
        <v>1100</v>
      </c>
      <c r="D32" s="33">
        <v>1110</v>
      </c>
      <c r="E32" s="23">
        <f t="shared" si="0"/>
        <v>1110</v>
      </c>
      <c r="F32" s="33">
        <v>1095</v>
      </c>
      <c r="G32" s="33">
        <v>1086</v>
      </c>
      <c r="H32" s="48">
        <f t="shared" si="0"/>
        <v>1086</v>
      </c>
      <c r="I32" s="1"/>
      <c r="J32" s="1"/>
      <c r="K32" s="1"/>
      <c r="L32" s="1"/>
    </row>
    <row r="33" ht="15" customHeight="1">
      <c r="A33" s="1"/>
      <c r="B33" s="17" t="s">
        <v>387</v>
      </c>
      <c r="C33" s="33">
        <v>1796</v>
      </c>
      <c r="D33" s="33">
        <v>1857</v>
      </c>
      <c r="E33" s="23">
        <f t="shared" si="0"/>
        <v>1857</v>
      </c>
      <c r="F33" s="33">
        <v>1905</v>
      </c>
      <c r="G33" s="33">
        <v>1861</v>
      </c>
      <c r="H33" s="48">
        <f t="shared" si="0"/>
        <v>1861</v>
      </c>
      <c r="I33" s="1"/>
      <c r="J33" s="1"/>
      <c r="K33" s="1"/>
      <c r="L33" s="1"/>
    </row>
    <row r="34" ht="15" customHeight="1">
      <c r="A34" s="1"/>
      <c r="B34" s="17" t="s">
        <v>388</v>
      </c>
      <c r="C34" s="33">
        <v>2536</v>
      </c>
      <c r="D34" s="33">
        <v>2692</v>
      </c>
      <c r="E34" s="23">
        <f t="shared" si="0"/>
        <v>2692</v>
      </c>
      <c r="F34" s="33">
        <v>2660</v>
      </c>
      <c r="G34" s="33">
        <v>2159</v>
      </c>
      <c r="H34" s="48">
        <f t="shared" si="0"/>
        <v>2159</v>
      </c>
      <c r="I34" s="1"/>
      <c r="J34" s="1"/>
      <c r="K34" s="1"/>
      <c r="L34" s="1"/>
    </row>
    <row r="35" ht="15" customHeight="1">
      <c r="A35" s="1"/>
      <c r="B35" s="4" t="s">
        <v>389</v>
      </c>
      <c r="C35" s="46">
        <f t="shared" si="4" ref="C35:H35">C30+SUM(C31:C34)</f>
        <v>33312</v>
      </c>
      <c r="D35" s="46">
        <f t="shared" si="4"/>
        <v>34703</v>
      </c>
      <c r="E35" s="46">
        <f t="shared" si="4"/>
        <v>34703</v>
      </c>
      <c r="F35" s="46">
        <f t="shared" si="4"/>
        <v>32892</v>
      </c>
      <c r="G35" s="46">
        <f t="shared" si="4"/>
        <v>32879</v>
      </c>
      <c r="H35" s="47">
        <f t="shared" si="4"/>
        <v>32879</v>
      </c>
      <c r="I35" s="1"/>
      <c r="J35" s="1"/>
      <c r="K35" s="1"/>
      <c r="L35" s="1"/>
    </row>
    <row r="36" ht="15" customHeight="1">
      <c r="A36" s="1"/>
      <c r="B36" s="1"/>
      <c r="C36" s="1"/>
      <c r="D36" s="1"/>
      <c r="E36" s="1"/>
      <c r="F36" s="1"/>
      <c r="G36" s="1"/>
      <c r="H36" s="45"/>
      <c r="I36" s="1"/>
      <c r="J36" s="1"/>
      <c r="K36" s="1"/>
      <c r="L36" s="1"/>
    </row>
    <row r="37" ht="15" customHeight="1">
      <c r="A37" s="1"/>
      <c r="B37" s="4" t="s">
        <v>390</v>
      </c>
      <c r="C37" s="34"/>
      <c r="D37" s="34"/>
      <c r="E37" s="34"/>
      <c r="F37" s="34"/>
      <c r="G37" s="34"/>
      <c r="H37" s="32"/>
      <c r="I37" s="1"/>
      <c r="J37" s="1"/>
      <c r="K37" s="1"/>
      <c r="L37" s="1"/>
    </row>
    <row r="38" ht="15" customHeight="1">
      <c r="A38" s="1"/>
      <c r="B38" s="17" t="s">
        <v>391</v>
      </c>
      <c r="C38" s="33">
        <v>143</v>
      </c>
      <c r="D38" s="33">
        <v>142</v>
      </c>
      <c r="E38" s="23">
        <f t="shared" si="0"/>
        <v>142</v>
      </c>
      <c r="F38" s="33">
        <v>142</v>
      </c>
      <c r="G38" s="33">
        <v>142</v>
      </c>
      <c r="H38" s="48">
        <f t="shared" si="0"/>
        <v>142</v>
      </c>
      <c r="I38" s="1"/>
      <c r="J38" s="1"/>
      <c r="K38" s="1"/>
      <c r="L38" s="1"/>
    </row>
    <row r="39" ht="15" customHeight="1">
      <c r="A39" s="1"/>
      <c r="B39" s="17" t="s">
        <v>392</v>
      </c>
      <c r="C39" s="33">
        <v>0</v>
      </c>
      <c r="D39" s="33">
        <v>0</v>
      </c>
      <c r="E39" s="23">
        <f t="shared" si="0"/>
        <v>0</v>
      </c>
      <c r="F39" s="33">
        <v>8</v>
      </c>
      <c r="G39" s="33">
        <v>37</v>
      </c>
      <c r="H39" s="21">
        <f>G39+'Cash Flow Statement'!H16</f>
        <v>62</v>
      </c>
      <c r="I39" s="1"/>
      <c r="J39" s="1"/>
      <c r="K39" s="1"/>
      <c r="L39" s="1"/>
    </row>
    <row r="40" ht="15" customHeight="1">
      <c r="A40" s="1"/>
      <c r="B40" s="17" t="s">
        <v>393</v>
      </c>
      <c r="C40" s="33">
        <v>15968</v>
      </c>
      <c r="D40" s="33">
        <v>16658</v>
      </c>
      <c r="E40" s="23">
        <f t="shared" si="0"/>
        <v>16658</v>
      </c>
      <c r="F40" s="33">
        <v>17096</v>
      </c>
      <c r="G40" s="33">
        <v>17839</v>
      </c>
      <c r="H40" s="21">
        <f>G40+'Income Statement'!H133+'Cash Flow Statement'!H106</f>
        <v>18516.07198921075</v>
      </c>
      <c r="I40" s="1"/>
      <c r="J40" s="1"/>
      <c r="K40" s="1"/>
      <c r="L40" s="1"/>
    </row>
    <row r="41" ht="15" customHeight="1">
      <c r="A41" s="1"/>
      <c r="B41" s="17" t="s">
        <v>394</v>
      </c>
      <c r="C41" s="33">
        <v>-123</v>
      </c>
      <c r="D41" s="33">
        <v>-126</v>
      </c>
      <c r="E41" s="23">
        <f t="shared" si="0"/>
        <v>-126</v>
      </c>
      <c r="F41" s="33">
        <v>-131</v>
      </c>
      <c r="G41" s="33">
        <v>-134</v>
      </c>
      <c r="H41" s="48">
        <f t="shared" si="0"/>
        <v>-134</v>
      </c>
      <c r="I41" s="1"/>
      <c r="J41" s="1"/>
      <c r="K41" s="1"/>
      <c r="L41" s="1"/>
    </row>
    <row r="42" ht="15" customHeight="1">
      <c r="A42" s="1"/>
      <c r="B42" s="4" t="s">
        <v>395</v>
      </c>
      <c r="C42" s="46">
        <f t="shared" si="3"/>
        <v>15988</v>
      </c>
      <c r="D42" s="46">
        <f t="shared" si="3"/>
        <v>16674</v>
      </c>
      <c r="E42" s="46">
        <f t="shared" si="3"/>
        <v>16674</v>
      </c>
      <c r="F42" s="46">
        <f t="shared" si="3"/>
        <v>17115</v>
      </c>
      <c r="G42" s="46">
        <f t="shared" si="3"/>
        <v>17884</v>
      </c>
      <c r="H42" s="47">
        <f t="shared" si="3"/>
        <v>18586.07198921075</v>
      </c>
      <c r="I42" s="1"/>
      <c r="J42" s="1"/>
      <c r="K42" s="1"/>
      <c r="L42" s="1"/>
    </row>
    <row r="43" ht="15" customHeight="1">
      <c r="A43" s="1"/>
      <c r="B43" s="4" t="s">
        <v>396</v>
      </c>
      <c r="C43" s="46">
        <f t="shared" si="5" ref="C43:H43">C35+C42</f>
        <v>49300</v>
      </c>
      <c r="D43" s="46">
        <f t="shared" si="5"/>
        <v>51377</v>
      </c>
      <c r="E43" s="46">
        <f t="shared" si="5"/>
        <v>51377</v>
      </c>
      <c r="F43" s="46">
        <f t="shared" si="5"/>
        <v>50007</v>
      </c>
      <c r="G43" s="46">
        <f t="shared" si="5"/>
        <v>50763</v>
      </c>
      <c r="H43" s="47">
        <f t="shared" si="5"/>
        <v>51465.07198921075</v>
      </c>
      <c r="I43" s="1"/>
      <c r="J43" s="1"/>
      <c r="K43" s="1"/>
      <c r="L43" s="1"/>
    </row>
    <row r="44" ht="15" customHeight="1">
      <c r="A44" s="1"/>
      <c r="B44" s="4" t="s">
        <v>397</v>
      </c>
      <c r="C44" s="44">
        <f t="shared" si="6" ref="C44:H44">C23-C35-C42</f>
        <v>0</v>
      </c>
      <c r="D44" s="44">
        <f t="shared" si="6"/>
        <v>0</v>
      </c>
      <c r="E44" s="44">
        <f t="shared" si="6"/>
        <v>0</v>
      </c>
      <c r="F44" s="44">
        <f t="shared" si="6"/>
        <v>0</v>
      </c>
      <c r="G44" s="44">
        <f t="shared" si="6"/>
        <v>0</v>
      </c>
      <c r="H44" s="68">
        <f t="shared" si="6"/>
        <v>0</v>
      </c>
      <c r="I44" s="1"/>
      <c r="J44" s="1" t="s">
        <v>398</v>
      </c>
      <c r="K44" s="1"/>
      <c r="L44" s="1"/>
    </row>
    <row r="45" ht="15" customHeight="1">
      <c r="A45" s="1"/>
      <c r="B45" s="1"/>
      <c r="C45" s="1"/>
      <c r="D45" s="1"/>
      <c r="E45" s="1"/>
      <c r="F45" s="1"/>
      <c r="G45" s="1"/>
      <c r="H45" s="45"/>
      <c r="I45" s="1"/>
      <c r="J45" s="1"/>
      <c r="K45" s="1"/>
      <c r="L45" s="1"/>
    </row>
    <row r="46" ht="15" customHeight="1">
      <c r="A46" s="1"/>
      <c r="B46" s="4" t="s">
        <v>399</v>
      </c>
      <c r="C46" s="34"/>
      <c r="D46" s="34"/>
      <c r="E46" s="34"/>
      <c r="F46" s="34"/>
      <c r="G46" s="34"/>
      <c r="H46" s="32"/>
      <c r="I46" s="1"/>
      <c r="J46" s="1"/>
      <c r="K46" s="1"/>
      <c r="L46" s="1"/>
    </row>
    <row r="47" ht="15" customHeight="1">
      <c r="A47" s="1"/>
      <c r="B47" s="17" t="s">
        <v>400</v>
      </c>
      <c r="C47" s="33">
        <v>533</v>
      </c>
      <c r="D47" s="33">
        <v>534</v>
      </c>
      <c r="E47" s="23">
        <f t="shared" si="0"/>
        <v>534</v>
      </c>
      <c r="F47" s="33">
        <v>758</v>
      </c>
      <c r="G47" s="33">
        <v>763</v>
      </c>
      <c r="H47" s="48">
        <f t="shared" si="0"/>
        <v>763</v>
      </c>
      <c r="I47" s="1"/>
      <c r="J47" s="1" t="s">
        <v>401</v>
      </c>
      <c r="K47" s="1"/>
      <c r="L47" s="1"/>
    </row>
    <row r="48" ht="15" customHeight="1">
      <c r="A48" s="1"/>
      <c r="B48" s="4" t="s">
        <v>402</v>
      </c>
      <c r="C48" s="46">
        <f t="shared" si="7" ref="C48:H48">C31+C47</f>
        <v>15695</v>
      </c>
      <c r="D48" s="46">
        <f t="shared" si="7"/>
        <v>15696</v>
      </c>
      <c r="E48" s="46">
        <f t="shared" si="7"/>
        <v>15696</v>
      </c>
      <c r="F48" s="46">
        <f t="shared" si="7"/>
        <v>15169</v>
      </c>
      <c r="G48" s="46">
        <f t="shared" si="7"/>
        <v>15191</v>
      </c>
      <c r="H48" s="47">
        <f t="shared" si="7"/>
        <v>15191</v>
      </c>
      <c r="I48" s="1"/>
      <c r="J48" s="1"/>
      <c r="K48" s="1"/>
      <c r="L48" s="1"/>
    </row>
    <row r="49" ht="15" customHeight="1">
      <c r="A49" s="1"/>
      <c r="B49" s="4" t="s">
        <v>403</v>
      </c>
      <c r="C49" s="46">
        <f t="shared" si="8" ref="C49:H49">C48-C10</f>
        <v>13738</v>
      </c>
      <c r="D49" s="46">
        <f t="shared" si="8"/>
        <v>11293</v>
      </c>
      <c r="E49" s="46">
        <f t="shared" si="8"/>
        <v>11293</v>
      </c>
      <c r="F49" s="46">
        <f t="shared" si="8"/>
        <v>13079</v>
      </c>
      <c r="G49" s="46">
        <f t="shared" si="8"/>
        <v>12884</v>
      </c>
      <c r="H49" s="47">
        <f t="shared" si="8"/>
        <v>12053.675</v>
      </c>
      <c r="I49" s="1"/>
      <c r="J49" s="1"/>
      <c r="K49" s="1"/>
      <c r="L49" s="1"/>
    </row>
    <row r="50" ht="15" customHeight="1">
      <c r="A50" s="1"/>
      <c r="B50" s="17" t="s">
        <v>404</v>
      </c>
      <c r="C50" s="23">
        <f t="shared" si="9" ref="C50:H50">C11+C12+C13-C26-C28</f>
        <v>4269</v>
      </c>
      <c r="D50" s="23">
        <f t="shared" si="9"/>
        <v>1902</v>
      </c>
      <c r="E50" s="23">
        <f t="shared" si="9"/>
        <v>1902</v>
      </c>
      <c r="F50" s="23">
        <f t="shared" si="9"/>
        <v>4434</v>
      </c>
      <c r="G50" s="23">
        <f t="shared" si="9"/>
        <v>4961</v>
      </c>
      <c r="H50" s="48">
        <f t="shared" si="9"/>
        <v>4600.51698921075</v>
      </c>
      <c r="I50" s="1"/>
      <c r="J50" s="1"/>
      <c r="K50" s="1"/>
      <c r="L50" s="1"/>
    </row>
    <row r="51" ht="15" customHeight="1">
      <c r="A51" s="1"/>
      <c r="B51" s="1"/>
      <c r="C51" s="1"/>
      <c r="D51" s="1"/>
      <c r="E51" s="1"/>
      <c r="F51" s="1"/>
      <c r="G51" s="1"/>
      <c r="H51" s="45"/>
      <c r="I51" s="1"/>
      <c r="J51" s="1"/>
      <c r="K51" s="1"/>
      <c r="L5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EAC36DB-84A9-C8DD-88C8-14C9F690E95D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65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405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406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7" t="s">
        <v>407</v>
      </c>
      <c r="C10" s="22">
        <f>Inputs!D208-Inputs!C208</f>
        <v>1100</v>
      </c>
      <c r="D10" s="22">
        <f>Inputs!E208-Inputs!D208</f>
        <v>1427</v>
      </c>
      <c r="E10" s="22">
        <f>Inputs!E208</f>
        <v>4182</v>
      </c>
      <c r="F10" s="22">
        <f>Inputs!F208</f>
        <v>875</v>
      </c>
      <c r="G10" s="22">
        <f>Inputs!G208-Inputs!F208</f>
        <v>1094</v>
      </c>
      <c r="H10" s="21">
        <f>'Income Statement'!H133</f>
        <v>1028.07198921075</v>
      </c>
      <c r="I10" s="1"/>
      <c r="J10" s="1" t="s">
        <v>408</v>
      </c>
      <c r="K10" s="1"/>
      <c r="L10" s="1"/>
    </row>
    <row r="11" ht="15" customHeight="1">
      <c r="A11" s="1"/>
      <c r="B11" s="56" t="s">
        <v>277</v>
      </c>
      <c r="C11" s="23"/>
      <c r="D11" s="22">
        <f>D10-Inputs!E111</f>
        <v>163</v>
      </c>
      <c r="E11" s="22">
        <f>E10-Inputs!F111</f>
        <v>8</v>
      </c>
      <c r="F11" s="22">
        <f>F10-Inputs!G111</f>
        <v>394</v>
      </c>
      <c r="G11" s="22">
        <f>G10-Inputs!H111</f>
        <v>-80</v>
      </c>
      <c r="H11" s="48">
        <f t="shared" si="1" ref="H11:H135">H10-C10</f>
        <v>-71.92801078925004</v>
      </c>
      <c r="I11" s="1"/>
      <c r="J11" s="1"/>
      <c r="K11" s="1"/>
      <c r="L11" s="1"/>
    </row>
    <row r="12" ht="15" customHeight="1">
      <c r="A12" s="1"/>
      <c r="B12" s="56" t="s">
        <v>144</v>
      </c>
      <c r="C12" s="22">
        <f>C10-Inputs!H111</f>
        <v>-74</v>
      </c>
      <c r="D12" s="23">
        <f t="shared" si="0" ref="D12:H136">D10-C10</f>
        <v>327</v>
      </c>
      <c r="E12" s="23"/>
      <c r="F12" s="23">
        <f t="shared" si="2" ref="F12:F136">F10-D10</f>
        <v>-552</v>
      </c>
      <c r="G12" s="23">
        <f t="shared" si="0"/>
        <v>219</v>
      </c>
      <c r="H12" s="48">
        <f t="shared" si="0"/>
        <v>-65.92801078925004</v>
      </c>
      <c r="I12" s="1"/>
      <c r="J12" s="1"/>
      <c r="K12" s="1"/>
      <c r="L12" s="1"/>
    </row>
    <row r="13" ht="15" customHeight="1">
      <c r="A13" s="1"/>
      <c r="B13" s="17" t="s">
        <v>227</v>
      </c>
      <c r="C13" s="22">
        <f>Inputs!D209-Inputs!C209</f>
        <v>379</v>
      </c>
      <c r="D13" s="22">
        <f>Inputs!E209-Inputs!D209</f>
        <v>406</v>
      </c>
      <c r="E13" s="22">
        <f>Inputs!E209</f>
        <v>1472</v>
      </c>
      <c r="F13" s="22">
        <f>Inputs!F209</f>
        <v>372</v>
      </c>
      <c r="G13" s="22">
        <f>Inputs!G209-Inputs!F209</f>
        <v>367</v>
      </c>
      <c r="H13" s="69">
        <v>375</v>
      </c>
      <c r="I13" s="1"/>
      <c r="J13" s="1" t="s">
        <v>409</v>
      </c>
      <c r="K13" s="1"/>
      <c r="L13" s="1"/>
    </row>
    <row r="14" ht="15" customHeight="1">
      <c r="A14" s="1"/>
      <c r="B14" s="56" t="s">
        <v>277</v>
      </c>
      <c r="C14" s="23"/>
      <c r="D14" s="22">
        <f>D13-Inputs!E112</f>
        <v>-8</v>
      </c>
      <c r="E14" s="22">
        <f>E13-Inputs!F112</f>
        <v>102</v>
      </c>
      <c r="F14" s="22">
        <f>F13-Inputs!G112</f>
        <v>35</v>
      </c>
      <c r="G14" s="22">
        <f>G13-Inputs!H112</f>
        <v>17</v>
      </c>
      <c r="H14" s="48">
        <f t="shared" si="1"/>
        <v>-4</v>
      </c>
      <c r="I14" s="1"/>
      <c r="J14" s="1"/>
      <c r="K14" s="1"/>
      <c r="L14" s="1"/>
    </row>
    <row r="15" ht="15" customHeight="1">
      <c r="A15" s="1"/>
      <c r="B15" s="56" t="s">
        <v>144</v>
      </c>
      <c r="C15" s="22">
        <f>C13-Inputs!H112</f>
        <v>29</v>
      </c>
      <c r="D15" s="23">
        <f t="shared" si="0"/>
        <v>27</v>
      </c>
      <c r="E15" s="23"/>
      <c r="F15" s="23">
        <f t="shared" si="2"/>
        <v>-34</v>
      </c>
      <c r="G15" s="23">
        <f t="shared" si="0"/>
        <v>-5</v>
      </c>
      <c r="H15" s="48">
        <f t="shared" si="0"/>
        <v>8</v>
      </c>
      <c r="I15" s="1"/>
      <c r="J15" s="1"/>
      <c r="K15" s="1"/>
      <c r="L15" s="1"/>
    </row>
    <row r="16" ht="15" customHeight="1">
      <c r="A16" s="1"/>
      <c r="B16" s="17" t="s">
        <v>410</v>
      </c>
      <c r="C16" s="22">
        <f>Inputs!D210-Inputs!C210</f>
        <v>25</v>
      </c>
      <c r="D16" s="22">
        <f>Inputs!E210-Inputs!D210</f>
        <v>54</v>
      </c>
      <c r="E16" s="22">
        <f>Inputs!E210</f>
        <v>119</v>
      </c>
      <c r="F16" s="22">
        <f>Inputs!F210</f>
        <v>20</v>
      </c>
      <c r="G16" s="22">
        <f>Inputs!G210-Inputs!F210</f>
        <v>29</v>
      </c>
      <c r="H16" s="69">
        <v>25</v>
      </c>
      <c r="I16" s="1"/>
      <c r="J16" s="1" t="s">
        <v>411</v>
      </c>
      <c r="K16" s="1"/>
      <c r="L16" s="1"/>
    </row>
    <row r="17" ht="15" customHeight="1">
      <c r="A17" s="1"/>
      <c r="B17" s="56" t="s">
        <v>277</v>
      </c>
      <c r="C17" s="23"/>
      <c r="D17" s="22">
        <f>D16-Inputs!E113</f>
        <v>25</v>
      </c>
      <c r="E17" s="22">
        <f>E16-Inputs!F113</f>
        <v>18</v>
      </c>
      <c r="F17" s="22">
        <f>F16-Inputs!G113</f>
        <v>0</v>
      </c>
      <c r="G17" s="22">
        <f>G16-Inputs!H113</f>
        <v>9</v>
      </c>
      <c r="H17" s="48">
        <f t="shared" si="1"/>
        <v>0</v>
      </c>
      <c r="I17" s="1"/>
      <c r="J17" s="1"/>
      <c r="K17" s="1"/>
      <c r="L17" s="1"/>
    </row>
    <row r="18" ht="15" customHeight="1">
      <c r="A18" s="1"/>
      <c r="B18" s="56" t="s">
        <v>144</v>
      </c>
      <c r="C18" s="22">
        <f>C16-Inputs!H113</f>
        <v>5</v>
      </c>
      <c r="D18" s="23">
        <f t="shared" si="0"/>
        <v>29</v>
      </c>
      <c r="E18" s="23"/>
      <c r="F18" s="23">
        <f t="shared" si="2"/>
        <v>-34</v>
      </c>
      <c r="G18" s="23">
        <f t="shared" si="0"/>
        <v>9</v>
      </c>
      <c r="H18" s="48">
        <f t="shared" si="0"/>
        <v>-4</v>
      </c>
      <c r="I18" s="1"/>
      <c r="J18" s="1"/>
      <c r="K18" s="1"/>
      <c r="L18" s="1"/>
    </row>
    <row r="19" ht="15" customHeight="1">
      <c r="A19" s="1"/>
      <c r="B19" s="17" t="s">
        <v>412</v>
      </c>
      <c r="C19" s="22">
        <f>Inputs!D211-Inputs!C211</f>
        <v>458</v>
      </c>
      <c r="D19" s="22">
        <f>Inputs!E211-Inputs!D211</f>
        <v>204</v>
      </c>
      <c r="E19" s="22">
        <f>Inputs!E211</f>
        <v>548</v>
      </c>
      <c r="F19" s="22">
        <f>Inputs!F211</f>
        <v>308</v>
      </c>
      <c r="G19" s="22">
        <f>Inputs!G211-Inputs!F211</f>
        <v>145</v>
      </c>
      <c r="H19" s="69">
        <v>0</v>
      </c>
      <c r="I19" s="1"/>
      <c r="J19" s="1" t="s">
        <v>413</v>
      </c>
      <c r="K19" s="1"/>
      <c r="L19" s="1"/>
    </row>
    <row r="20" ht="15" customHeight="1">
      <c r="A20" s="1"/>
      <c r="B20" s="56" t="s">
        <v>277</v>
      </c>
      <c r="C20" s="23"/>
      <c r="D20" s="22">
        <f>D19-Inputs!E114</f>
        <v>399</v>
      </c>
      <c r="E20" s="22">
        <f>E19-Inputs!F114</f>
        <v>1130</v>
      </c>
      <c r="F20" s="22">
        <f>F19-Inputs!G114</f>
        <v>342</v>
      </c>
      <c r="G20" s="22">
        <f>G19-Inputs!H114</f>
        <v>225</v>
      </c>
      <c r="H20" s="48">
        <f t="shared" si="1"/>
        <v>-458</v>
      </c>
      <c r="I20" s="1"/>
      <c r="J20" s="1"/>
      <c r="K20" s="1"/>
      <c r="L20" s="1"/>
    </row>
    <row r="21" ht="15" customHeight="1">
      <c r="A21" s="1"/>
      <c r="B21" s="56" t="s">
        <v>144</v>
      </c>
      <c r="C21" s="22">
        <f>C19-Inputs!H114</f>
        <v>538</v>
      </c>
      <c r="D21" s="23">
        <f t="shared" si="0"/>
        <v>-254</v>
      </c>
      <c r="E21" s="23"/>
      <c r="F21" s="23">
        <f t="shared" si="2"/>
        <v>104</v>
      </c>
      <c r="G21" s="23">
        <f t="shared" si="0"/>
        <v>-163</v>
      </c>
      <c r="H21" s="48">
        <f t="shared" si="0"/>
        <v>-145</v>
      </c>
      <c r="I21" s="1"/>
      <c r="J21" s="1"/>
      <c r="K21" s="1"/>
      <c r="L21" s="1"/>
    </row>
    <row r="22" ht="15" customHeight="1">
      <c r="A22" s="1"/>
      <c r="B22" s="17" t="s">
        <v>414</v>
      </c>
      <c r="C22" s="22">
        <f>Inputs!D212-Inputs!C212</f>
        <v>0</v>
      </c>
      <c r="D22" s="22">
        <f>Inputs!E212-Inputs!D212</f>
        <v>0</v>
      </c>
      <c r="E22" s="22">
        <f>Inputs!E212</f>
        <v>477</v>
      </c>
      <c r="F22" s="22">
        <f>Inputs!F212</f>
        <v>0</v>
      </c>
      <c r="G22" s="22">
        <f>Inputs!G212-Inputs!F212</f>
        <v>0</v>
      </c>
      <c r="H22" s="69">
        <v>0</v>
      </c>
      <c r="I22" s="1"/>
      <c r="J22" s="1"/>
      <c r="K22" s="1"/>
      <c r="L22" s="1"/>
    </row>
    <row r="23" ht="15" customHeight="1">
      <c r="A23" s="1"/>
      <c r="B23" s="56" t="s">
        <v>277</v>
      </c>
      <c r="C23" s="23"/>
      <c r="D23" s="22">
        <f>D22-Inputs!E115</f>
        <v>0</v>
      </c>
      <c r="E23" s="22">
        <f>E22-Inputs!F115</f>
        <v>477</v>
      </c>
      <c r="F23" s="22">
        <f>F22-Inputs!G115</f>
        <v>-477</v>
      </c>
      <c r="G23" s="22">
        <f>G22-Inputs!H115</f>
        <v>0</v>
      </c>
      <c r="H23" s="48">
        <f t="shared" si="1"/>
        <v>0</v>
      </c>
      <c r="I23" s="1"/>
      <c r="J23" s="1"/>
      <c r="K23" s="1"/>
      <c r="L23" s="1"/>
    </row>
    <row r="24" ht="15" customHeight="1">
      <c r="A24" s="1"/>
      <c r="B24" s="56" t="s">
        <v>144</v>
      </c>
      <c r="C24" s="22">
        <f>C22-Inputs!H115</f>
        <v>0</v>
      </c>
      <c r="D24" s="23">
        <f t="shared" si="0"/>
        <v>0</v>
      </c>
      <c r="E24" s="23"/>
      <c r="F24" s="23">
        <f t="shared" si="2"/>
        <v>0</v>
      </c>
      <c r="G24" s="23">
        <f t="shared" si="0"/>
        <v>0</v>
      </c>
      <c r="H24" s="48">
        <f t="shared" si="0"/>
        <v>0</v>
      </c>
      <c r="I24" s="1"/>
      <c r="J24" s="1"/>
      <c r="K24" s="1"/>
      <c r="L24" s="1"/>
    </row>
    <row r="25" ht="15" customHeight="1">
      <c r="A25" s="1"/>
      <c r="B25" s="17" t="s">
        <v>275</v>
      </c>
      <c r="C25" s="22">
        <f>Inputs!D213-Inputs!C213</f>
        <v>0</v>
      </c>
      <c r="D25" s="22">
        <f>Inputs!E213-Inputs!D213</f>
        <v>0</v>
      </c>
      <c r="E25" s="22">
        <f>Inputs!E213</f>
        <v>-231</v>
      </c>
      <c r="F25" s="22">
        <f>Inputs!F213</f>
        <v>0</v>
      </c>
      <c r="G25" s="22">
        <f>Inputs!G213-Inputs!F213</f>
        <v>0</v>
      </c>
      <c r="H25" s="21">
        <f>-'Income Statement'!H53</f>
        <v>0</v>
      </c>
      <c r="I25" s="1"/>
      <c r="J25" s="1"/>
      <c r="K25" s="1"/>
      <c r="L25" s="1"/>
    </row>
    <row r="26" ht="15" customHeight="1">
      <c r="A26" s="1"/>
      <c r="B26" s="56" t="s">
        <v>277</v>
      </c>
      <c r="C26" s="23"/>
      <c r="D26" s="22">
        <f>D25-Inputs!E116</f>
        <v>0</v>
      </c>
      <c r="E26" s="22">
        <f>E25-Inputs!F116</f>
        <v>-231</v>
      </c>
      <c r="F26" s="22">
        <f>F25-Inputs!G116</f>
        <v>0</v>
      </c>
      <c r="G26" s="22">
        <f>G25-Inputs!H116</f>
        <v>231</v>
      </c>
      <c r="H26" s="48">
        <f t="shared" si="1"/>
        <v>0</v>
      </c>
      <c r="I26" s="1"/>
      <c r="J26" s="1"/>
      <c r="K26" s="1"/>
      <c r="L26" s="1"/>
    </row>
    <row r="27" ht="15" customHeight="1">
      <c r="A27" s="1"/>
      <c r="B27" s="56" t="s">
        <v>144</v>
      </c>
      <c r="C27" s="22">
        <f>C25-Inputs!H116</f>
        <v>231</v>
      </c>
      <c r="D27" s="23">
        <f t="shared" si="0"/>
        <v>0</v>
      </c>
      <c r="E27" s="23"/>
      <c r="F27" s="23">
        <f t="shared" si="2"/>
        <v>0</v>
      </c>
      <c r="G27" s="23">
        <f t="shared" si="0"/>
        <v>0</v>
      </c>
      <c r="H27" s="48">
        <f t="shared" si="0"/>
        <v>0</v>
      </c>
      <c r="I27" s="1"/>
      <c r="J27" s="1"/>
      <c r="K27" s="1"/>
      <c r="L27" s="1"/>
    </row>
    <row r="28" ht="15" customHeight="1">
      <c r="A28" s="1"/>
      <c r="B28" s="17" t="s">
        <v>309</v>
      </c>
      <c r="C28" s="22">
        <f>Inputs!D214-Inputs!C214</f>
        <v>0</v>
      </c>
      <c r="D28" s="22">
        <f>Inputs!E214-Inputs!D214</f>
        <v>-527</v>
      </c>
      <c r="E28" s="22">
        <f>Inputs!E214</f>
        <v>-527</v>
      </c>
      <c r="F28" s="22">
        <f>Inputs!F214</f>
        <v>0</v>
      </c>
      <c r="G28" s="22">
        <f>Inputs!G214-Inputs!F214</f>
        <v>0</v>
      </c>
      <c r="H28" s="21">
        <f>-'Income Statement'!H118</f>
        <v>0</v>
      </c>
      <c r="I28" s="1"/>
      <c r="J28" s="1"/>
      <c r="K28" s="1"/>
      <c r="L28" s="1"/>
    </row>
    <row r="29" ht="15" customHeight="1">
      <c r="A29" s="1"/>
      <c r="B29" s="56" t="s">
        <v>277</v>
      </c>
      <c r="C29" s="23"/>
      <c r="D29" s="22">
        <f>D28-Inputs!E117</f>
        <v>-84</v>
      </c>
      <c r="E29" s="22">
        <f>E28-Inputs!F117</f>
        <v>-84</v>
      </c>
      <c r="F29" s="22">
        <f>F28-Inputs!G117</f>
        <v>0</v>
      </c>
      <c r="G29" s="22">
        <f>G28-Inputs!H117</f>
        <v>0</v>
      </c>
      <c r="H29" s="48">
        <f t="shared" si="1"/>
        <v>0</v>
      </c>
      <c r="I29" s="1"/>
      <c r="J29" s="1"/>
      <c r="K29" s="1"/>
      <c r="L29" s="1"/>
    </row>
    <row r="30" ht="15" customHeight="1">
      <c r="A30" s="1"/>
      <c r="B30" s="56" t="s">
        <v>144</v>
      </c>
      <c r="C30" s="22">
        <f>C28-Inputs!H117</f>
        <v>0</v>
      </c>
      <c r="D30" s="23">
        <f t="shared" si="0"/>
        <v>-527</v>
      </c>
      <c r="E30" s="23"/>
      <c r="F30" s="23">
        <f t="shared" si="2"/>
        <v>527</v>
      </c>
      <c r="G30" s="23">
        <f t="shared" si="0"/>
        <v>0</v>
      </c>
      <c r="H30" s="48">
        <f t="shared" si="0"/>
        <v>0</v>
      </c>
      <c r="I30" s="1"/>
      <c r="J30" s="1"/>
      <c r="K30" s="1"/>
      <c r="L30" s="1"/>
    </row>
    <row r="31" ht="15" customHeight="1">
      <c r="A31" s="1"/>
      <c r="B31" s="17" t="s">
        <v>415</v>
      </c>
      <c r="C31" s="22">
        <f>Inputs!D215-Inputs!C215</f>
        <v>-87</v>
      </c>
      <c r="D31" s="22">
        <f>Inputs!E215-Inputs!D215</f>
        <v>-90</v>
      </c>
      <c r="E31" s="22">
        <f>Inputs!E215</f>
        <v>-346</v>
      </c>
      <c r="F31" s="22">
        <f>Inputs!F215</f>
        <v>-120</v>
      </c>
      <c r="G31" s="22">
        <f>Inputs!G215-Inputs!F215</f>
        <v>-120</v>
      </c>
      <c r="H31" s="48">
        <f t="shared" si="3" ref="H31:H34">AVERAGE(F31,G31)</f>
        <v>-120</v>
      </c>
      <c r="I31" s="1"/>
      <c r="J31" s="1"/>
      <c r="K31" s="1"/>
      <c r="L31" s="1"/>
    </row>
    <row r="32" ht="15" customHeight="1">
      <c r="A32" s="1"/>
      <c r="B32" s="56" t="s">
        <v>277</v>
      </c>
      <c r="C32" s="23"/>
      <c r="D32" s="22">
        <f>D31-Inputs!E118</f>
        <v>9</v>
      </c>
      <c r="E32" s="22">
        <f>E31-Inputs!F118</f>
        <v>92</v>
      </c>
      <c r="F32" s="22">
        <f>F31-Inputs!G118</f>
        <v>-39</v>
      </c>
      <c r="G32" s="22">
        <f>G31-Inputs!H118</f>
        <v>-32</v>
      </c>
      <c r="H32" s="48">
        <f t="shared" si="1"/>
        <v>-33</v>
      </c>
      <c r="I32" s="1"/>
      <c r="J32" s="1"/>
      <c r="K32" s="1"/>
      <c r="L32" s="1"/>
    </row>
    <row r="33" ht="15" customHeight="1">
      <c r="A33" s="1"/>
      <c r="B33" s="56" t="s">
        <v>144</v>
      </c>
      <c r="C33" s="22">
        <f>C31-Inputs!H118</f>
        <v>1</v>
      </c>
      <c r="D33" s="23">
        <f t="shared" si="0"/>
        <v>-3</v>
      </c>
      <c r="E33" s="23"/>
      <c r="F33" s="23">
        <f t="shared" si="2"/>
        <v>-30</v>
      </c>
      <c r="G33" s="23">
        <f t="shared" si="0"/>
        <v>0</v>
      </c>
      <c r="H33" s="48">
        <f t="shared" si="0"/>
        <v>0</v>
      </c>
      <c r="I33" s="1"/>
      <c r="J33" s="1"/>
      <c r="K33" s="1"/>
      <c r="L33" s="1"/>
    </row>
    <row r="34" ht="15" customHeight="1">
      <c r="A34" s="1"/>
      <c r="B34" s="17" t="s">
        <v>416</v>
      </c>
      <c r="C34" s="22">
        <f>Inputs!D216-Inputs!C216</f>
        <v>-32</v>
      </c>
      <c r="D34" s="22">
        <f>Inputs!E216-Inputs!D216</f>
        <v>-36</v>
      </c>
      <c r="E34" s="22">
        <f>Inputs!E216</f>
        <v>-130</v>
      </c>
      <c r="F34" s="22">
        <f>Inputs!F216</f>
        <v>-33</v>
      </c>
      <c r="G34" s="22">
        <f>Inputs!G216-Inputs!F216</f>
        <v>-30</v>
      </c>
      <c r="H34" s="48">
        <f t="shared" si="3"/>
        <v>-31.5</v>
      </c>
      <c r="I34" s="1"/>
      <c r="J34" s="1"/>
      <c r="K34" s="1"/>
      <c r="L34" s="1"/>
    </row>
    <row r="35" ht="15" customHeight="1">
      <c r="A35" s="1"/>
      <c r="B35" s="56" t="s">
        <v>277</v>
      </c>
      <c r="C35" s="23"/>
      <c r="D35" s="22">
        <f>D34-Inputs!E119</f>
        <v>0</v>
      </c>
      <c r="E35" s="22">
        <f>E34-Inputs!F119</f>
        <v>-1</v>
      </c>
      <c r="F35" s="22">
        <f>F34-Inputs!G119</f>
        <v>-5</v>
      </c>
      <c r="G35" s="22">
        <f>G34-Inputs!H119</f>
        <v>4</v>
      </c>
      <c r="H35" s="48">
        <f t="shared" si="1"/>
        <v>0.5</v>
      </c>
      <c r="I35" s="1"/>
      <c r="J35" s="1"/>
      <c r="K35" s="1"/>
      <c r="L35" s="1"/>
    </row>
    <row r="36" ht="15" customHeight="1">
      <c r="A36" s="1"/>
      <c r="B36" s="56" t="s">
        <v>144</v>
      </c>
      <c r="C36" s="22">
        <f>C34-Inputs!H119</f>
        <v>2</v>
      </c>
      <c r="D36" s="23">
        <f t="shared" si="0"/>
        <v>-4</v>
      </c>
      <c r="E36" s="23"/>
      <c r="F36" s="23">
        <f t="shared" si="2"/>
        <v>3</v>
      </c>
      <c r="G36" s="23">
        <f t="shared" si="0"/>
        <v>3</v>
      </c>
      <c r="H36" s="48">
        <f t="shared" si="0"/>
        <v>-1.5</v>
      </c>
      <c r="I36" s="1"/>
      <c r="J36" s="1"/>
      <c r="K36" s="1"/>
      <c r="L36" s="1"/>
    </row>
    <row r="37" ht="15" customHeight="1">
      <c r="A37" s="1"/>
      <c r="B37" s="17" t="s">
        <v>363</v>
      </c>
      <c r="C37" s="22">
        <f>Inputs!D217-Inputs!C217</f>
        <v>213</v>
      </c>
      <c r="D37" s="22">
        <f>Inputs!E217-Inputs!D217</f>
        <v>608</v>
      </c>
      <c r="E37" s="22">
        <f>Inputs!E217</f>
        <v>-108</v>
      </c>
      <c r="F37" s="22">
        <f>Inputs!F217</f>
        <v>-431</v>
      </c>
      <c r="G37" s="22">
        <f>Inputs!G217-Inputs!F217</f>
        <v>-505</v>
      </c>
      <c r="H37" s="48"/>
      <c r="I37" s="1"/>
      <c r="J37" s="1"/>
      <c r="K37" s="1"/>
      <c r="L37" s="1"/>
    </row>
    <row r="38" ht="15" customHeight="1">
      <c r="A38" s="1"/>
      <c r="B38" s="56" t="s">
        <v>277</v>
      </c>
      <c r="C38" s="23"/>
      <c r="D38" s="22">
        <f>D37-Inputs!E120</f>
        <v>271</v>
      </c>
      <c r="E38" s="22">
        <f>E37-Inputs!F120</f>
        <v>-290</v>
      </c>
      <c r="F38" s="22">
        <f>F37-Inputs!G120</f>
        <v>111</v>
      </c>
      <c r="G38" s="22">
        <f>G37-Inputs!H120</f>
        <v>-118</v>
      </c>
      <c r="H38" s="48"/>
      <c r="I38" s="1"/>
      <c r="J38" s="1"/>
      <c r="K38" s="1"/>
      <c r="L38" s="1"/>
    </row>
    <row r="39" ht="15" customHeight="1">
      <c r="A39" s="1"/>
      <c r="B39" s="56" t="s">
        <v>144</v>
      </c>
      <c r="C39" s="22">
        <f>C37-Inputs!H120</f>
        <v>600</v>
      </c>
      <c r="D39" s="23">
        <f t="shared" si="0"/>
        <v>395</v>
      </c>
      <c r="E39" s="23"/>
      <c r="F39" s="23">
        <f t="shared" si="2"/>
        <v>-1039</v>
      </c>
      <c r="G39" s="23">
        <f t="shared" si="0"/>
        <v>-74</v>
      </c>
      <c r="H39" s="48"/>
      <c r="I39" s="1"/>
      <c r="J39" s="1"/>
      <c r="K39" s="1"/>
      <c r="L39" s="1"/>
    </row>
    <row r="40" ht="15" customHeight="1">
      <c r="A40" s="1"/>
      <c r="B40" s="17" t="s">
        <v>364</v>
      </c>
      <c r="C40" s="22">
        <f>Inputs!D218-Inputs!C218</f>
        <v>103</v>
      </c>
      <c r="D40" s="22">
        <f>Inputs!E218-Inputs!D218</f>
        <v>486</v>
      </c>
      <c r="E40" s="22">
        <f>Inputs!E218</f>
        <v>-754</v>
      </c>
      <c r="F40" s="22">
        <f>Inputs!F218</f>
        <v>-551</v>
      </c>
      <c r="G40" s="22">
        <f>Inputs!G218-Inputs!F218</f>
        <v>-309</v>
      </c>
      <c r="H40" s="48"/>
      <c r="I40" s="1"/>
      <c r="J40" s="1"/>
      <c r="K40" s="1"/>
      <c r="L40" s="1"/>
    </row>
    <row r="41" ht="15" customHeight="1">
      <c r="A41" s="1"/>
      <c r="B41" s="56" t="s">
        <v>277</v>
      </c>
      <c r="C41" s="23"/>
      <c r="D41" s="22">
        <f>D40-Inputs!E121</f>
        <v>-124</v>
      </c>
      <c r="E41" s="22">
        <f>E40-Inputs!F121</f>
        <v>-539</v>
      </c>
      <c r="F41" s="22">
        <f>F40-Inputs!G121</f>
        <v>518</v>
      </c>
      <c r="G41" s="22">
        <f>G40-Inputs!H121</f>
        <v>-35</v>
      </c>
      <c r="H41" s="48"/>
      <c r="I41" s="1"/>
      <c r="J41" s="1"/>
      <c r="K41" s="1"/>
      <c r="L41" s="1"/>
    </row>
    <row r="42" ht="15" customHeight="1">
      <c r="A42" s="1"/>
      <c r="B42" s="56" t="s">
        <v>144</v>
      </c>
      <c r="C42" s="22">
        <f>C40-Inputs!H121</f>
        <v>377</v>
      </c>
      <c r="D42" s="23">
        <f t="shared" si="0"/>
        <v>383</v>
      </c>
      <c r="E42" s="23"/>
      <c r="F42" s="23">
        <f t="shared" si="2"/>
        <v>-1037</v>
      </c>
      <c r="G42" s="23">
        <f t="shared" si="0"/>
        <v>242</v>
      </c>
      <c r="H42" s="48"/>
      <c r="I42" s="1"/>
      <c r="J42" s="1"/>
      <c r="K42" s="1"/>
      <c r="L42" s="1"/>
    </row>
    <row r="43" ht="15" customHeight="1">
      <c r="A43" s="1"/>
      <c r="B43" s="17" t="s">
        <v>365</v>
      </c>
      <c r="C43" s="22">
        <f>Inputs!D219-Inputs!C219</f>
        <v>-77</v>
      </c>
      <c r="D43" s="22">
        <f>Inputs!E219-Inputs!D219</f>
        <v>276</v>
      </c>
      <c r="E43" s="22">
        <f>Inputs!E219</f>
        <v>97</v>
      </c>
      <c r="F43" s="22">
        <f>Inputs!F219</f>
        <v>-144</v>
      </c>
      <c r="G43" s="22">
        <f>Inputs!G219-Inputs!F219</f>
        <v>26</v>
      </c>
      <c r="H43" s="48"/>
      <c r="I43" s="1"/>
      <c r="J43" s="1"/>
      <c r="K43" s="1"/>
      <c r="L43" s="1"/>
    </row>
    <row r="44" ht="15" customHeight="1">
      <c r="A44" s="1"/>
      <c r="B44" s="56" t="s">
        <v>277</v>
      </c>
      <c r="C44" s="23"/>
      <c r="D44" s="22">
        <f>D43-Inputs!E122</f>
        <v>92</v>
      </c>
      <c r="E44" s="22">
        <f>E43-Inputs!F122</f>
        <v>455</v>
      </c>
      <c r="F44" s="22">
        <f>F43-Inputs!G122</f>
        <v>-19</v>
      </c>
      <c r="G44" s="22">
        <f>G43-Inputs!H122</f>
        <v>3</v>
      </c>
      <c r="H44" s="48"/>
      <c r="I44" s="1"/>
      <c r="J44" s="1"/>
      <c r="K44" s="1"/>
      <c r="L44" s="1"/>
    </row>
    <row r="45" ht="15" customHeight="1">
      <c r="A45" s="1"/>
      <c r="B45" s="56" t="s">
        <v>144</v>
      </c>
      <c r="C45" s="22">
        <f>C43-Inputs!H122</f>
        <v>-100</v>
      </c>
      <c r="D45" s="23">
        <f t="shared" si="0"/>
        <v>353</v>
      </c>
      <c r="E45" s="23"/>
      <c r="F45" s="23">
        <f t="shared" si="2"/>
        <v>-420</v>
      </c>
      <c r="G45" s="23">
        <f t="shared" si="0"/>
        <v>170</v>
      </c>
      <c r="H45" s="48"/>
      <c r="I45" s="1"/>
      <c r="J45" s="1"/>
      <c r="K45" s="1"/>
      <c r="L45" s="1"/>
    </row>
    <row r="46" ht="15" customHeight="1">
      <c r="A46" s="1"/>
      <c r="B46" s="17" t="s">
        <v>417</v>
      </c>
      <c r="C46" s="22">
        <f>Inputs!D220-Inputs!C220</f>
        <v>-50</v>
      </c>
      <c r="D46" s="22">
        <f>Inputs!E220-Inputs!D220</f>
        <v>37</v>
      </c>
      <c r="E46" s="22">
        <f>Inputs!E220</f>
        <v>8</v>
      </c>
      <c r="F46" s="22">
        <f>Inputs!F220</f>
        <v>-37</v>
      </c>
      <c r="G46" s="22">
        <f>Inputs!G220-Inputs!F220</f>
        <v>178</v>
      </c>
      <c r="H46" s="48"/>
      <c r="I46" s="1"/>
      <c r="J46" s="1"/>
      <c r="K46" s="1"/>
      <c r="L46" s="1"/>
    </row>
    <row r="47" ht="15" customHeight="1">
      <c r="A47" s="1"/>
      <c r="B47" s="56" t="s">
        <v>277</v>
      </c>
      <c r="C47" s="23"/>
      <c r="D47" s="22">
        <f>D46-Inputs!E123</f>
        <v>-13</v>
      </c>
      <c r="E47" s="22">
        <f>E46-Inputs!F123</f>
        <v>-27</v>
      </c>
      <c r="F47" s="22">
        <f>F46-Inputs!G123</f>
        <v>5</v>
      </c>
      <c r="G47" s="22">
        <f>G46-Inputs!H123</f>
        <v>115</v>
      </c>
      <c r="H47" s="48"/>
      <c r="I47" s="1"/>
      <c r="J47" s="1"/>
      <c r="K47" s="1"/>
      <c r="L47" s="1"/>
    </row>
    <row r="48" ht="15" customHeight="1">
      <c r="A48" s="1"/>
      <c r="B48" s="56" t="s">
        <v>144</v>
      </c>
      <c r="C48" s="22">
        <f>C46-Inputs!H123</f>
        <v>-113</v>
      </c>
      <c r="D48" s="23">
        <f t="shared" si="0"/>
        <v>87</v>
      </c>
      <c r="E48" s="23"/>
      <c r="F48" s="23">
        <f t="shared" si="2"/>
        <v>-74</v>
      </c>
      <c r="G48" s="23">
        <f t="shared" si="0"/>
        <v>215</v>
      </c>
      <c r="H48" s="48"/>
      <c r="I48" s="1"/>
      <c r="J48" s="1"/>
      <c r="K48" s="1"/>
      <c r="L48" s="1"/>
    </row>
    <row r="49" ht="15" customHeight="1">
      <c r="A49" s="1"/>
      <c r="B49" s="17" t="s">
        <v>418</v>
      </c>
      <c r="C49" s="22">
        <f>Inputs!D221-Inputs!C221</f>
        <v>-150</v>
      </c>
      <c r="D49" s="22">
        <f>Inputs!E221-Inputs!D221</f>
        <v>1095</v>
      </c>
      <c r="E49" s="22">
        <f>Inputs!E221</f>
        <v>453</v>
      </c>
      <c r="F49" s="22">
        <f>Inputs!F221</f>
        <v>-1750</v>
      </c>
      <c r="G49" s="22">
        <f>Inputs!G221-Inputs!F221</f>
        <v>306</v>
      </c>
      <c r="H49" s="48"/>
      <c r="I49" s="1"/>
      <c r="J49" s="1" t="s">
        <v>419</v>
      </c>
      <c r="K49" s="1"/>
      <c r="L49" s="1"/>
    </row>
    <row r="50" ht="15" customHeight="1">
      <c r="A50" s="1"/>
      <c r="B50" s="56" t="s">
        <v>277</v>
      </c>
      <c r="C50" s="23"/>
      <c r="D50" s="22">
        <f>D49-Inputs!E124</f>
        <v>693</v>
      </c>
      <c r="E50" s="22">
        <f>E49-Inputs!F124</f>
        <v>966</v>
      </c>
      <c r="F50" s="22">
        <f>F49-Inputs!G124</f>
        <v>-736</v>
      </c>
      <c r="G50" s="22">
        <f>G49-Inputs!H124</f>
        <v>-216</v>
      </c>
      <c r="H50" s="48"/>
      <c r="I50" s="1"/>
      <c r="J50" s="1"/>
      <c r="K50" s="1"/>
      <c r="L50" s="1"/>
    </row>
    <row r="51" ht="15" customHeight="1">
      <c r="A51" s="1"/>
      <c r="B51" s="56" t="s">
        <v>144</v>
      </c>
      <c r="C51" s="22">
        <f>C49-Inputs!H124</f>
        <v>-672</v>
      </c>
      <c r="D51" s="23">
        <f t="shared" si="0"/>
        <v>1245</v>
      </c>
      <c r="E51" s="23"/>
      <c r="F51" s="23">
        <f t="shared" si="2"/>
        <v>-2845</v>
      </c>
      <c r="G51" s="23">
        <f t="shared" si="0"/>
        <v>2056</v>
      </c>
      <c r="H51" s="48"/>
      <c r="I51" s="1"/>
      <c r="J51" s="1"/>
      <c r="K51" s="1"/>
      <c r="L51" s="1"/>
    </row>
    <row r="52" ht="15" customHeight="1">
      <c r="A52" s="1"/>
      <c r="B52" s="56" t="s">
        <v>420</v>
      </c>
      <c r="C52" s="23"/>
      <c r="D52" s="23"/>
      <c r="E52" s="22">
        <f>Inputs!E222</f>
        <v>646</v>
      </c>
      <c r="F52" s="22">
        <f>Inputs!F222</f>
        <v>-559</v>
      </c>
      <c r="G52" s="22">
        <f>Inputs!G222-Inputs!F222</f>
        <v>214</v>
      </c>
      <c r="H52" s="48"/>
      <c r="I52" s="1"/>
      <c r="J52" s="1"/>
      <c r="K52" s="1"/>
      <c r="L52" s="1"/>
    </row>
    <row r="53" ht="15" customHeight="1">
      <c r="A53" s="1"/>
      <c r="B53" s="72" t="s">
        <v>277</v>
      </c>
      <c r="C53" s="23"/>
      <c r="D53" s="23"/>
      <c r="E53" s="22">
        <f>E52-Inputs!F125</f>
        <v>161</v>
      </c>
      <c r="F53" s="22">
        <f>F52-Inputs!G125</f>
        <v>-466</v>
      </c>
      <c r="G53" s="22">
        <f>G52-Inputs!H125</f>
        <v>123</v>
      </c>
      <c r="H53" s="48"/>
      <c r="I53" s="1"/>
      <c r="J53" s="1"/>
      <c r="K53" s="1"/>
      <c r="L53" s="1"/>
    </row>
    <row r="54" ht="15" customHeight="1">
      <c r="A54" s="1"/>
      <c r="B54" s="72" t="s">
        <v>144</v>
      </c>
      <c r="C54" s="23"/>
      <c r="D54" s="23"/>
      <c r="E54" s="23"/>
      <c r="F54" s="23"/>
      <c r="G54" s="23">
        <f t="shared" si="0"/>
        <v>773</v>
      </c>
      <c r="H54" s="48"/>
      <c r="I54" s="1"/>
      <c r="J54" s="1"/>
      <c r="K54" s="1"/>
      <c r="L54" s="1"/>
    </row>
    <row r="55" ht="15" customHeight="1">
      <c r="A55" s="1"/>
      <c r="B55" s="56" t="s">
        <v>421</v>
      </c>
      <c r="C55" s="23"/>
      <c r="D55" s="23"/>
      <c r="E55" s="22">
        <f>Inputs!E223</f>
        <v>19</v>
      </c>
      <c r="F55" s="22">
        <f>Inputs!F223</f>
        <v>-389</v>
      </c>
      <c r="G55" s="22">
        <f>Inputs!G223-Inputs!F223</f>
        <v>126</v>
      </c>
      <c r="H55" s="48"/>
      <c r="I55" s="1"/>
      <c r="J55" s="1"/>
      <c r="K55" s="1"/>
      <c r="L55" s="1"/>
    </row>
    <row r="56" ht="15" customHeight="1">
      <c r="A56" s="1"/>
      <c r="B56" s="72" t="s">
        <v>277</v>
      </c>
      <c r="C56" s="23"/>
      <c r="D56" s="23"/>
      <c r="E56" s="22">
        <f>E55-Inputs!F126</f>
        <v>142</v>
      </c>
      <c r="F56" s="22">
        <f>F55-Inputs!G126</f>
        <v>-31</v>
      </c>
      <c r="G56" s="22">
        <f>G55-Inputs!H126</f>
        <v>-162</v>
      </c>
      <c r="H56" s="48"/>
      <c r="I56" s="1"/>
      <c r="J56" s="1"/>
      <c r="K56" s="1"/>
      <c r="L56" s="1"/>
    </row>
    <row r="57" ht="15" customHeight="1">
      <c r="A57" s="1"/>
      <c r="B57" s="72" t="s">
        <v>144</v>
      </c>
      <c r="C57" s="23"/>
      <c r="D57" s="23"/>
      <c r="E57" s="23"/>
      <c r="F57" s="23"/>
      <c r="G57" s="23">
        <f t="shared" si="0"/>
        <v>515</v>
      </c>
      <c r="H57" s="48"/>
      <c r="I57" s="1"/>
      <c r="J57" s="1"/>
      <c r="K57" s="1"/>
      <c r="L57" s="1"/>
    </row>
    <row r="58" ht="15" customHeight="1">
      <c r="A58" s="1"/>
      <c r="B58" s="56" t="s">
        <v>422</v>
      </c>
      <c r="C58" s="23"/>
      <c r="D58" s="23"/>
      <c r="E58" s="22">
        <f>Inputs!E224</f>
        <v>-212</v>
      </c>
      <c r="F58" s="22">
        <f>Inputs!F224</f>
        <v>-802</v>
      </c>
      <c r="G58" s="22">
        <f>Inputs!G224-Inputs!F224</f>
        <v>-34</v>
      </c>
      <c r="H58" s="48"/>
      <c r="I58" s="1"/>
      <c r="J58" s="1"/>
      <c r="K58" s="1"/>
      <c r="L58" s="1"/>
    </row>
    <row r="59" ht="15" customHeight="1">
      <c r="A59" s="1"/>
      <c r="B59" s="72" t="s">
        <v>277</v>
      </c>
      <c r="C59" s="23"/>
      <c r="D59" s="23"/>
      <c r="E59" s="22">
        <f>E58-Inputs!F127</f>
        <v>663</v>
      </c>
      <c r="F59" s="22">
        <f>F58-Inputs!G127</f>
        <v>-239</v>
      </c>
      <c r="G59" s="22">
        <f>G58-Inputs!H127</f>
        <v>-177</v>
      </c>
      <c r="H59" s="48"/>
      <c r="I59" s="1"/>
      <c r="J59" s="1"/>
      <c r="K59" s="1"/>
      <c r="L59" s="1"/>
    </row>
    <row r="60" ht="15" customHeight="1">
      <c r="A60" s="1"/>
      <c r="B60" s="72" t="s">
        <v>144</v>
      </c>
      <c r="C60" s="23"/>
      <c r="D60" s="23"/>
      <c r="E60" s="23"/>
      <c r="F60" s="23"/>
      <c r="G60" s="23">
        <f t="shared" si="0"/>
        <v>768</v>
      </c>
      <c r="H60" s="48"/>
      <c r="I60" s="1"/>
      <c r="J60" s="1"/>
      <c r="K60" s="1"/>
      <c r="L60" s="1"/>
    </row>
    <row r="61" ht="15" customHeight="1">
      <c r="A61" s="1"/>
      <c r="B61" s="17" t="s">
        <v>423</v>
      </c>
      <c r="C61" s="22">
        <f>Inputs!D225-Inputs!C225</f>
        <v>-276</v>
      </c>
      <c r="D61" s="22">
        <f>Inputs!E225-Inputs!D225</f>
        <v>-138</v>
      </c>
      <c r="E61" s="22">
        <f>Inputs!E225</f>
        <v>-559</v>
      </c>
      <c r="F61" s="22">
        <f>Inputs!F225</f>
        <v>-164</v>
      </c>
      <c r="G61" s="22">
        <f>Inputs!G225-Inputs!F225</f>
        <v>126</v>
      </c>
      <c r="H61" s="48"/>
      <c r="I61" s="1"/>
      <c r="J61" s="1"/>
      <c r="K61" s="1"/>
      <c r="L61" s="1"/>
    </row>
    <row r="62" ht="15" customHeight="1">
      <c r="A62" s="1"/>
      <c r="B62" s="56" t="s">
        <v>277</v>
      </c>
      <c r="C62" s="23"/>
      <c r="D62" s="22">
        <f>D61-Inputs!E128</f>
        <v>-175</v>
      </c>
      <c r="E62" s="22">
        <f>E61-Inputs!F128</f>
        <v>-1702</v>
      </c>
      <c r="F62" s="22">
        <f>F61-Inputs!G128</f>
        <v>-222</v>
      </c>
      <c r="G62" s="22">
        <f>G61-Inputs!H128</f>
        <v>329</v>
      </c>
      <c r="H62" s="48"/>
      <c r="I62" s="1"/>
      <c r="J62" s="1"/>
      <c r="K62" s="1"/>
      <c r="L62" s="1"/>
    </row>
    <row r="63" ht="15" customHeight="1">
      <c r="A63" s="1"/>
      <c r="B63" s="56" t="s">
        <v>144</v>
      </c>
      <c r="C63" s="22">
        <f>C61-Inputs!H128</f>
        <v>-73</v>
      </c>
      <c r="D63" s="23">
        <f t="shared" si="0"/>
        <v>138</v>
      </c>
      <c r="E63" s="23"/>
      <c r="F63" s="23">
        <f t="shared" si="2"/>
        <v>-26</v>
      </c>
      <c r="G63" s="23">
        <f t="shared" si="0"/>
        <v>290</v>
      </c>
      <c r="H63" s="48"/>
      <c r="I63" s="1"/>
      <c r="J63" s="1"/>
      <c r="K63" s="1"/>
      <c r="L63" s="1"/>
    </row>
    <row r="64" ht="15" customHeight="1">
      <c r="A64" s="1"/>
      <c r="B64" s="17" t="s">
        <v>424</v>
      </c>
      <c r="C64" s="22">
        <f>Inputs!D226-Inputs!C226</f>
        <v>-49</v>
      </c>
      <c r="D64" s="22">
        <f>Inputs!E226-Inputs!D226</f>
        <v>95</v>
      </c>
      <c r="E64" s="22">
        <f>Inputs!E226</f>
        <v>56</v>
      </c>
      <c r="F64" s="22">
        <f>Inputs!F226</f>
        <v>-1</v>
      </c>
      <c r="G64" s="22">
        <f>Inputs!G226-Inputs!F226</f>
        <v>-27</v>
      </c>
      <c r="H64" s="48"/>
      <c r="I64" s="1"/>
      <c r="J64" s="1"/>
      <c r="K64" s="1"/>
      <c r="L64" s="1"/>
    </row>
    <row r="65" ht="15" customHeight="1">
      <c r="A65" s="1"/>
      <c r="B65" s="56" t="s">
        <v>277</v>
      </c>
      <c r="C65" s="23"/>
      <c r="D65" s="22">
        <f>D64-Inputs!E129</f>
        <v>71</v>
      </c>
      <c r="E65" s="22">
        <f>E64-Inputs!F129</f>
        <v>-5</v>
      </c>
      <c r="F65" s="22">
        <f>F64-Inputs!G129</f>
        <v>2</v>
      </c>
      <c r="G65" s="22">
        <f>G64-Inputs!H129</f>
        <v>-40</v>
      </c>
      <c r="H65" s="48"/>
      <c r="I65" s="1"/>
      <c r="J65" s="1"/>
      <c r="K65" s="1"/>
      <c r="L65" s="1"/>
    </row>
    <row r="66" ht="15" customHeight="1">
      <c r="A66" s="1"/>
      <c r="B66" s="56" t="s">
        <v>144</v>
      </c>
      <c r="C66" s="22">
        <f>C64-Inputs!H129</f>
        <v>-62</v>
      </c>
      <c r="D66" s="23">
        <f t="shared" si="0"/>
        <v>144</v>
      </c>
      <c r="E66" s="23"/>
      <c r="F66" s="23">
        <f t="shared" si="2"/>
        <v>-96</v>
      </c>
      <c r="G66" s="23">
        <f t="shared" si="0"/>
        <v>-26</v>
      </c>
      <c r="H66" s="48"/>
      <c r="I66" s="1"/>
      <c r="J66" s="1"/>
      <c r="K66" s="1"/>
      <c r="L66" s="1"/>
    </row>
    <row r="67" ht="15" customHeight="1">
      <c r="A67" s="1"/>
      <c r="B67" s="28" t="s">
        <v>425</v>
      </c>
      <c r="C67" s="46">
        <f t="shared" si="4" ref="C67:G67">C37+C40+C43+C46+C49+C61+C64</f>
        <v>-286</v>
      </c>
      <c r="D67" s="46">
        <f t="shared" si="4"/>
        <v>2459</v>
      </c>
      <c r="E67" s="46">
        <f t="shared" si="4"/>
        <v>-807</v>
      </c>
      <c r="F67" s="46">
        <f t="shared" si="4"/>
        <v>-3078</v>
      </c>
      <c r="G67" s="46">
        <f t="shared" si="4"/>
        <v>-205</v>
      </c>
      <c r="H67" s="47">
        <f>H70-(H10+H13+H16+H19+H22+H25+H28+H31+H34)</f>
        <v>360.4830107892499</v>
      </c>
      <c r="I67" s="1"/>
      <c r="J67" s="1" t="s">
        <v>426</v>
      </c>
      <c r="K67" s="1"/>
      <c r="L67" s="1"/>
    </row>
    <row r="68" ht="15" customHeight="1">
      <c r="A68" s="1"/>
      <c r="B68" s="56" t="s">
        <v>277</v>
      </c>
      <c r="C68" s="23"/>
      <c r="D68" s="22">
        <f>D67-(Inputs!E120+Inputs!E121+Inputs!E122+Inputs!E123+Inputs!E124+Inputs!E128+Inputs!E129)</f>
        <v>815</v>
      </c>
      <c r="E68" s="22">
        <f>E67-(Inputs!F120+Inputs!F121+Inputs!F122+Inputs!F123+Inputs!F124+Inputs!F128+Inputs!F129)</f>
        <v>-1142</v>
      </c>
      <c r="F68" s="22">
        <f>F67-(Inputs!G120+Inputs!G121+Inputs!G122+Inputs!G123+Inputs!G124+Inputs!G128+Inputs!G129)</f>
        <v>-341</v>
      </c>
      <c r="G68" s="22">
        <f>G67-(Inputs!H120+Inputs!H121+Inputs!H122+Inputs!H123+Inputs!H124+Inputs!H128+Inputs!H129)</f>
        <v>38</v>
      </c>
      <c r="H68" s="48">
        <f t="shared" si="1"/>
        <v>646.4830107892499</v>
      </c>
      <c r="I68" s="1"/>
      <c r="J68" s="1"/>
      <c r="K68" s="1"/>
      <c r="L68" s="1"/>
    </row>
    <row r="69" ht="15" customHeight="1">
      <c r="A69" s="1"/>
      <c r="B69" s="56" t="s">
        <v>144</v>
      </c>
      <c r="C69" s="22">
        <f>C67-(Inputs!H120+Inputs!H121+Inputs!H122+Inputs!H123+Inputs!H124+Inputs!H128+Inputs!H129)</f>
        <v>-43</v>
      </c>
      <c r="D69" s="23">
        <f t="shared" si="0"/>
        <v>2745</v>
      </c>
      <c r="E69" s="23"/>
      <c r="F69" s="23">
        <f t="shared" si="2"/>
        <v>-5537</v>
      </c>
      <c r="G69" s="23">
        <f t="shared" si="0"/>
        <v>2873</v>
      </c>
      <c r="H69" s="48">
        <f t="shared" si="0"/>
        <v>565.4830107892499</v>
      </c>
      <c r="I69" s="1"/>
      <c r="J69" s="1"/>
      <c r="K69" s="1"/>
      <c r="L69" s="1"/>
    </row>
    <row r="70" ht="15" customHeight="1">
      <c r="A70" s="1"/>
      <c r="B70" s="4" t="s">
        <v>427</v>
      </c>
      <c r="C70" s="46">
        <f t="shared" si="5" ref="C70:G70">C10+C13+C16+C19+C22+C25+C28+C31+C34+C67</f>
        <v>1557</v>
      </c>
      <c r="D70" s="46">
        <f t="shared" si="5"/>
        <v>3897</v>
      </c>
      <c r="E70" s="46">
        <f t="shared" si="5"/>
        <v>4757</v>
      </c>
      <c r="F70" s="46">
        <f t="shared" si="5"/>
        <v>-1656</v>
      </c>
      <c r="G70" s="46">
        <f t="shared" si="5"/>
        <v>1280</v>
      </c>
      <c r="H70" s="47">
        <f>H129-H77</f>
        <v>1637.0549999999998</v>
      </c>
      <c r="I70" s="1"/>
      <c r="J70" s="1"/>
      <c r="K70" s="1"/>
      <c r="L70" s="1"/>
    </row>
    <row r="71" ht="15" customHeight="1">
      <c r="A71" s="1"/>
      <c r="B71" s="56" t="s">
        <v>277</v>
      </c>
      <c r="C71" s="22">
        <f>C70-Inputs!C130</f>
        <v>466</v>
      </c>
      <c r="D71" s="22">
        <f>D70-Inputs!E130</f>
        <v>1319</v>
      </c>
      <c r="E71" s="22">
        <f>E70-Inputs!F130</f>
        <v>369</v>
      </c>
      <c r="F71" s="22">
        <f>F70-Inputs!G130</f>
        <v>-91</v>
      </c>
      <c r="G71" s="22">
        <f>G70-Inputs!H130</f>
        <v>412</v>
      </c>
      <c r="H71" s="48">
        <f t="shared" si="1"/>
        <v>80.05499999999984</v>
      </c>
      <c r="I71" s="1"/>
      <c r="J71" s="1"/>
      <c r="K71" s="1"/>
      <c r="L71" s="1"/>
    </row>
    <row r="72" ht="15" customHeight="1">
      <c r="A72" s="1"/>
      <c r="B72" s="56" t="s">
        <v>144</v>
      </c>
      <c r="C72" s="22">
        <f>C70-Inputs!H130</f>
        <v>689</v>
      </c>
      <c r="D72" s="23">
        <f t="shared" si="0"/>
        <v>2340</v>
      </c>
      <c r="E72" s="23"/>
      <c r="F72" s="23">
        <f t="shared" si="2"/>
        <v>-5553</v>
      </c>
      <c r="G72" s="23">
        <f t="shared" si="0"/>
        <v>2936</v>
      </c>
      <c r="H72" s="48">
        <f t="shared" si="0"/>
        <v>357.05499999999984</v>
      </c>
      <c r="I72" s="1"/>
      <c r="J72" s="1"/>
      <c r="K72" s="1"/>
      <c r="L72" s="1"/>
    </row>
    <row r="73" ht="15" customHeight="1">
      <c r="A73" s="1"/>
      <c r="B73" s="56" t="s">
        <v>428</v>
      </c>
      <c r="C73" s="22">
        <f>Inputs!D227-Inputs!C227</f>
        <v>1557</v>
      </c>
      <c r="D73" s="22">
        <f>Inputs!E227-Inputs!D227</f>
        <v>3897</v>
      </c>
      <c r="E73" s="22">
        <f>Inputs!E227</f>
        <v>4757</v>
      </c>
      <c r="F73" s="22">
        <f>Inputs!F227</f>
        <v>-1656</v>
      </c>
      <c r="G73" s="22">
        <f>Inputs!G227-Inputs!F227</f>
        <v>1280</v>
      </c>
      <c r="H73" s="48"/>
      <c r="I73" s="1"/>
      <c r="J73" s="1"/>
      <c r="K73" s="1"/>
      <c r="L73" s="1"/>
    </row>
    <row r="74" ht="15" customHeight="1">
      <c r="A74" s="1"/>
      <c r="B74" s="56" t="s">
        <v>429</v>
      </c>
      <c r="C74" s="23">
        <f t="shared" si="6" ref="C74:G74">C70-C73</f>
        <v>0</v>
      </c>
      <c r="D74" s="23">
        <f t="shared" si="6"/>
        <v>0</v>
      </c>
      <c r="E74" s="23">
        <f t="shared" si="6"/>
        <v>0</v>
      </c>
      <c r="F74" s="23">
        <f t="shared" si="6"/>
        <v>0</v>
      </c>
      <c r="G74" s="23">
        <f t="shared" si="6"/>
        <v>0</v>
      </c>
      <c r="H74" s="48"/>
      <c r="I74" s="1"/>
      <c r="J74" s="1"/>
      <c r="K74" s="1"/>
      <c r="L74" s="1"/>
    </row>
    <row r="75" ht="15" customHeight="1">
      <c r="A75" s="1"/>
      <c r="B75" s="1"/>
      <c r="C75" s="1"/>
      <c r="D75" s="1"/>
      <c r="E75" s="1"/>
      <c r="F75" s="1"/>
      <c r="G75" s="1"/>
      <c r="H75" s="45"/>
      <c r="I75" s="1"/>
      <c r="J75" s="1"/>
      <c r="K75" s="1"/>
      <c r="L75" s="1"/>
    </row>
    <row r="76" ht="15" customHeight="1">
      <c r="A76" s="1"/>
      <c r="B76" s="4" t="s">
        <v>430</v>
      </c>
      <c r="C76" s="34"/>
      <c r="D76" s="34"/>
      <c r="E76" s="34"/>
      <c r="F76" s="34"/>
      <c r="G76" s="34"/>
      <c r="H76" s="32"/>
      <c r="I76" s="1"/>
      <c r="J76" s="1"/>
      <c r="K76" s="1"/>
      <c r="L76" s="1"/>
    </row>
    <row r="77" ht="15" customHeight="1">
      <c r="A77" s="1"/>
      <c r="B77" s="17" t="s">
        <v>229</v>
      </c>
      <c r="C77" s="22">
        <f>Inputs!D228-Inputs!C228</f>
        <v>-301</v>
      </c>
      <c r="D77" s="22">
        <f>Inputs!E228-Inputs!D228</f>
        <v>-662</v>
      </c>
      <c r="E77" s="22">
        <f>Inputs!E228</f>
        <v>-1450</v>
      </c>
      <c r="F77" s="22">
        <f>Inputs!F228</f>
        <v>-167</v>
      </c>
      <c r="G77" s="22">
        <f>Inputs!G228-Inputs!F228</f>
        <v>-302</v>
      </c>
      <c r="H77" s="21">
        <f>-(Guidance!G37+F77+G77)*H155</f>
        <v>-455.73</v>
      </c>
      <c r="I77" s="1"/>
      <c r="J77" s="1" t="s">
        <v>431</v>
      </c>
      <c r="K77" s="1"/>
      <c r="L77" s="1"/>
    </row>
    <row r="78" ht="15" customHeight="1">
      <c r="A78" s="1"/>
      <c r="B78" s="56" t="s">
        <v>277</v>
      </c>
      <c r="C78" s="22">
        <f>C77-Inputs!C131</f>
        <v>60</v>
      </c>
      <c r="D78" s="22">
        <f>D77-Inputs!E131</f>
        <v>154</v>
      </c>
      <c r="E78" s="22">
        <f>E77-Inputs!F131</f>
        <v>317</v>
      </c>
      <c r="F78" s="22">
        <f>F77-Inputs!G131</f>
        <v>89</v>
      </c>
      <c r="G78" s="22">
        <f>G77-Inputs!H131</f>
        <v>-71</v>
      </c>
      <c r="H78" s="48">
        <f t="shared" si="1"/>
        <v>-154.73000000000002</v>
      </c>
      <c r="I78" s="1"/>
      <c r="J78" s="1"/>
      <c r="K78" s="1"/>
      <c r="L78" s="1"/>
    </row>
    <row r="79" ht="15" customHeight="1">
      <c r="A79" s="1"/>
      <c r="B79" s="56" t="s">
        <v>144</v>
      </c>
      <c r="C79" s="22">
        <f>C77-Inputs!H131</f>
        <v>-70</v>
      </c>
      <c r="D79" s="23">
        <f t="shared" si="0"/>
        <v>-361</v>
      </c>
      <c r="E79" s="23"/>
      <c r="F79" s="23">
        <f t="shared" si="2"/>
        <v>495</v>
      </c>
      <c r="G79" s="23">
        <f t="shared" si="0"/>
        <v>-135</v>
      </c>
      <c r="H79" s="48">
        <f t="shared" si="0"/>
        <v>-153.73000000000002</v>
      </c>
      <c r="I79" s="1"/>
      <c r="J79" s="1"/>
      <c r="K79" s="1"/>
      <c r="L79" s="1"/>
    </row>
    <row r="80" ht="15" customHeight="1">
      <c r="A80" s="1"/>
      <c r="B80" s="17" t="s">
        <v>432</v>
      </c>
      <c r="C80" s="22">
        <f>Inputs!D229-Inputs!C229</f>
        <v>0</v>
      </c>
      <c r="D80" s="22">
        <f>Inputs!E229-Inputs!D229</f>
        <v>0</v>
      </c>
      <c r="E80" s="22">
        <f>Inputs!E229</f>
        <v>0</v>
      </c>
      <c r="F80" s="22">
        <f>Inputs!F229</f>
        <v>0</v>
      </c>
      <c r="G80" s="22">
        <f>Inputs!G229-Inputs!F229</f>
        <v>107</v>
      </c>
      <c r="H80" s="69">
        <v>0</v>
      </c>
      <c r="I80" s="1"/>
      <c r="J80" s="1"/>
      <c r="K80" s="1"/>
      <c r="L80" s="1"/>
    </row>
    <row r="81" ht="15" customHeight="1">
      <c r="A81" s="1"/>
      <c r="B81" s="56" t="s">
        <v>277</v>
      </c>
      <c r="C81" s="23"/>
      <c r="D81" s="22">
        <f>D80-Inputs!E132</f>
        <v>0</v>
      </c>
      <c r="E81" s="22">
        <f>E80-Inputs!F132</f>
        <v>0</v>
      </c>
      <c r="F81" s="22">
        <f>F80-Inputs!G132</f>
        <v>0</v>
      </c>
      <c r="G81" s="22">
        <f>G80-Inputs!H132</f>
        <v>107</v>
      </c>
      <c r="H81" s="48">
        <f t="shared" si="1"/>
        <v>0</v>
      </c>
      <c r="I81" s="1"/>
      <c r="J81" s="1"/>
      <c r="K81" s="1"/>
      <c r="L81" s="1"/>
    </row>
    <row r="82" ht="15" customHeight="1">
      <c r="A82" s="1"/>
      <c r="B82" s="56" t="s">
        <v>144</v>
      </c>
      <c r="C82" s="22">
        <f>C80-Inputs!H132</f>
        <v>0</v>
      </c>
      <c r="D82" s="23">
        <f t="shared" si="0"/>
        <v>0</v>
      </c>
      <c r="E82" s="23"/>
      <c r="F82" s="23">
        <f t="shared" si="2"/>
        <v>0</v>
      </c>
      <c r="G82" s="23">
        <f t="shared" si="0"/>
        <v>107</v>
      </c>
      <c r="H82" s="48">
        <f t="shared" si="0"/>
        <v>-107</v>
      </c>
      <c r="I82" s="1"/>
      <c r="J82" s="1"/>
      <c r="K82" s="1"/>
      <c r="L82" s="1"/>
    </row>
    <row r="83" ht="15" customHeight="1">
      <c r="A83" s="1"/>
      <c r="B83" s="17" t="s">
        <v>433</v>
      </c>
      <c r="C83" s="22">
        <f>Inputs!D230-Inputs!C230</f>
        <v>0</v>
      </c>
      <c r="D83" s="22">
        <f>Inputs!E230-Inputs!D230</f>
        <v>0</v>
      </c>
      <c r="E83" s="22">
        <f>Inputs!E230</f>
        <v>333</v>
      </c>
      <c r="F83" s="22">
        <f>Inputs!F230</f>
        <v>0</v>
      </c>
      <c r="G83" s="22">
        <f>Inputs!G230-Inputs!F230</f>
        <v>0</v>
      </c>
      <c r="H83" s="69">
        <v>0</v>
      </c>
      <c r="I83" s="1"/>
      <c r="J83" s="1"/>
      <c r="K83" s="1"/>
      <c r="L83" s="1"/>
    </row>
    <row r="84" ht="15" customHeight="1">
      <c r="A84" s="1"/>
      <c r="B84" s="56" t="s">
        <v>277</v>
      </c>
      <c r="C84" s="23"/>
      <c r="D84" s="22">
        <f>D83-Inputs!E133</f>
        <v>0</v>
      </c>
      <c r="E84" s="22">
        <f>E83-Inputs!F133</f>
        <v>333</v>
      </c>
      <c r="F84" s="22">
        <f>F83-Inputs!G133</f>
        <v>0</v>
      </c>
      <c r="G84" s="22">
        <f>G83-Inputs!H133</f>
        <v>-333</v>
      </c>
      <c r="H84" s="48">
        <f t="shared" si="1"/>
        <v>0</v>
      </c>
      <c r="I84" s="1"/>
      <c r="J84" s="1"/>
      <c r="K84" s="1"/>
      <c r="L84" s="1"/>
    </row>
    <row r="85" ht="15" customHeight="1">
      <c r="A85" s="1"/>
      <c r="B85" s="56" t="s">
        <v>144</v>
      </c>
      <c r="C85" s="22">
        <f>C83-Inputs!H133</f>
        <v>-333</v>
      </c>
      <c r="D85" s="23">
        <f t="shared" si="0"/>
        <v>0</v>
      </c>
      <c r="E85" s="23"/>
      <c r="F85" s="23">
        <f t="shared" si="2"/>
        <v>0</v>
      </c>
      <c r="G85" s="23">
        <f t="shared" si="0"/>
        <v>0</v>
      </c>
      <c r="H85" s="48">
        <f t="shared" si="0"/>
        <v>0</v>
      </c>
      <c r="I85" s="1"/>
      <c r="J85" s="1"/>
      <c r="K85" s="1"/>
      <c r="L85" s="1"/>
    </row>
    <row r="86" ht="15" customHeight="1">
      <c r="A86" s="1"/>
      <c r="B86" s="17" t="s">
        <v>434</v>
      </c>
      <c r="C86" s="22">
        <f>Inputs!D231-Inputs!C231</f>
        <v>1</v>
      </c>
      <c r="D86" s="22">
        <f>Inputs!E231-Inputs!D231</f>
        <v>-2</v>
      </c>
      <c r="E86" s="22">
        <f>Inputs!E231</f>
        <v>-38</v>
      </c>
      <c r="F86" s="22">
        <f>Inputs!F231</f>
        <v>-1</v>
      </c>
      <c r="G86" s="22">
        <f>Inputs!G231-Inputs!F231</f>
        <v>-1</v>
      </c>
      <c r="H86" s="69">
        <v>0</v>
      </c>
      <c r="I86" s="1"/>
      <c r="J86" s="1"/>
      <c r="K86" s="1"/>
      <c r="L86" s="1"/>
    </row>
    <row r="87" ht="15" customHeight="1">
      <c r="A87" s="1"/>
      <c r="B87" s="56" t="s">
        <v>277</v>
      </c>
      <c r="C87" s="23"/>
      <c r="D87" s="22">
        <f>D86-Inputs!E134</f>
        <v>-20</v>
      </c>
      <c r="E87" s="22">
        <f>E86-Inputs!F134</f>
        <v>-56</v>
      </c>
      <c r="F87" s="22">
        <f>F86-Inputs!G134</f>
        <v>-5</v>
      </c>
      <c r="G87" s="22">
        <f>G86-Inputs!H134</f>
        <v>40</v>
      </c>
      <c r="H87" s="48">
        <f t="shared" si="1"/>
        <v>-1</v>
      </c>
      <c r="I87" s="1"/>
      <c r="J87" s="1"/>
      <c r="K87" s="1"/>
      <c r="L87" s="1"/>
    </row>
    <row r="88" ht="15" customHeight="1">
      <c r="A88" s="1"/>
      <c r="B88" s="56" t="s">
        <v>144</v>
      </c>
      <c r="C88" s="22">
        <f>C86-Inputs!H134</f>
        <v>42</v>
      </c>
      <c r="D88" s="23">
        <f t="shared" si="0"/>
        <v>-3</v>
      </c>
      <c r="E88" s="23"/>
      <c r="F88" s="23">
        <f t="shared" si="2"/>
        <v>1</v>
      </c>
      <c r="G88" s="23">
        <f t="shared" si="0"/>
        <v>0</v>
      </c>
      <c r="H88" s="48">
        <f t="shared" si="0"/>
        <v>1</v>
      </c>
      <c r="I88" s="1"/>
      <c r="J88" s="1"/>
      <c r="K88" s="1"/>
      <c r="L88" s="1"/>
    </row>
    <row r="89" ht="15" customHeight="1">
      <c r="A89" s="1"/>
      <c r="B89" s="4" t="s">
        <v>435</v>
      </c>
      <c r="C89" s="46">
        <f t="shared" si="7" ref="C89:H89">C77+C80+C83+C86</f>
        <v>-300</v>
      </c>
      <c r="D89" s="46">
        <f t="shared" si="7"/>
        <v>-664</v>
      </c>
      <c r="E89" s="46">
        <f t="shared" si="7"/>
        <v>-1155</v>
      </c>
      <c r="F89" s="46">
        <f t="shared" si="7"/>
        <v>-168</v>
      </c>
      <c r="G89" s="46">
        <f t="shared" si="7"/>
        <v>-196</v>
      </c>
      <c r="H89" s="47">
        <f t="shared" si="7"/>
        <v>-455.73</v>
      </c>
      <c r="I89" s="1"/>
      <c r="J89" s="1"/>
      <c r="K89" s="1"/>
      <c r="L89" s="1"/>
    </row>
    <row r="90" ht="15" customHeight="1">
      <c r="A90" s="1"/>
      <c r="B90" s="56" t="s">
        <v>277</v>
      </c>
      <c r="C90" s="23"/>
      <c r="D90" s="22">
        <f>D89-(Inputs!E131+Inputs!E132+Inputs!E133+Inputs!E134)</f>
        <v>134</v>
      </c>
      <c r="E90" s="22">
        <f>E89-(Inputs!F131+Inputs!F132+Inputs!F133+Inputs!F134)</f>
        <v>594</v>
      </c>
      <c r="F90" s="22">
        <f>F89-(Inputs!G131+Inputs!G132+Inputs!G133+Inputs!G134)</f>
        <v>84</v>
      </c>
      <c r="G90" s="22">
        <f>G89-(Inputs!H131+Inputs!H132+Inputs!H133+Inputs!H134)</f>
        <v>-257</v>
      </c>
      <c r="H90" s="48">
        <f t="shared" si="1"/>
        <v>-155.73000000000002</v>
      </c>
      <c r="I90" s="1"/>
      <c r="J90" s="1"/>
      <c r="K90" s="1"/>
      <c r="L90" s="1"/>
    </row>
    <row r="91" ht="15" customHeight="1">
      <c r="A91" s="1"/>
      <c r="B91" s="56" t="s">
        <v>144</v>
      </c>
      <c r="C91" s="22">
        <f>C89-(Inputs!H131+Inputs!H132+Inputs!H133+Inputs!H134)</f>
        <v>-361</v>
      </c>
      <c r="D91" s="23">
        <f t="shared" si="0"/>
        <v>-364</v>
      </c>
      <c r="E91" s="23"/>
      <c r="F91" s="23">
        <f t="shared" si="2"/>
        <v>496</v>
      </c>
      <c r="G91" s="23">
        <f t="shared" si="0"/>
        <v>-28</v>
      </c>
      <c r="H91" s="48">
        <f t="shared" si="0"/>
        <v>-259.73</v>
      </c>
      <c r="I91" s="1"/>
      <c r="J91" s="1"/>
      <c r="K91" s="1"/>
      <c r="L91" s="1"/>
    </row>
    <row r="92" ht="15" customHeight="1">
      <c r="A92" s="1"/>
      <c r="B92" s="1"/>
      <c r="C92" s="1"/>
      <c r="D92" s="1"/>
      <c r="E92" s="1"/>
      <c r="F92" s="1"/>
      <c r="G92" s="1"/>
      <c r="H92" s="45"/>
      <c r="I92" s="1"/>
      <c r="J92" s="1"/>
      <c r="K92" s="1"/>
      <c r="L92" s="1"/>
    </row>
    <row r="93" ht="15" customHeight="1">
      <c r="A93" s="1"/>
      <c r="B93" s="4" t="s">
        <v>436</v>
      </c>
      <c r="C93" s="34"/>
      <c r="D93" s="34"/>
      <c r="E93" s="34"/>
      <c r="F93" s="34"/>
      <c r="G93" s="34"/>
      <c r="H93" s="32"/>
      <c r="I93" s="1"/>
      <c r="J93" s="1"/>
      <c r="K93" s="1"/>
      <c r="L93" s="1"/>
    </row>
    <row r="94" ht="15" customHeight="1">
      <c r="A94" s="1"/>
      <c r="B94" s="17" t="s">
        <v>437</v>
      </c>
      <c r="C94" s="22">
        <f>Inputs!D232-Inputs!C232</f>
        <v>0</v>
      </c>
      <c r="D94" s="22">
        <f>Inputs!E232-Inputs!D232</f>
        <v>0</v>
      </c>
      <c r="E94" s="22">
        <f>Inputs!E232</f>
        <v>998</v>
      </c>
      <c r="F94" s="22">
        <f>Inputs!F232</f>
        <v>0</v>
      </c>
      <c r="G94" s="22">
        <f>Inputs!G232-Inputs!F232</f>
        <v>0</v>
      </c>
      <c r="H94" s="69">
        <v>0</v>
      </c>
      <c r="I94" s="1"/>
      <c r="J94" s="1"/>
      <c r="K94" s="1"/>
      <c r="L94" s="1"/>
    </row>
    <row r="95" ht="15" customHeight="1">
      <c r="A95" s="1"/>
      <c r="B95" s="56" t="s">
        <v>277</v>
      </c>
      <c r="C95" s="23"/>
      <c r="D95" s="22">
        <f>D94-Inputs!E135</f>
        <v>0</v>
      </c>
      <c r="E95" s="22">
        <f>E94-Inputs!F135</f>
        <v>-1497</v>
      </c>
      <c r="F95" s="22">
        <f>F94-Inputs!G135</f>
        <v>0</v>
      </c>
      <c r="G95" s="22">
        <f>G94-Inputs!H135</f>
        <v>-998</v>
      </c>
      <c r="H95" s="48">
        <f t="shared" si="1"/>
        <v>0</v>
      </c>
      <c r="I95" s="1"/>
      <c r="J95" s="1"/>
      <c r="K95" s="1"/>
      <c r="L95" s="1"/>
    </row>
    <row r="96" ht="15" customHeight="1">
      <c r="A96" s="1"/>
      <c r="B96" s="56" t="s">
        <v>144</v>
      </c>
      <c r="C96" s="22">
        <f>C94-Inputs!H135</f>
        <v>-998</v>
      </c>
      <c r="D96" s="23">
        <f t="shared" si="0"/>
        <v>0</v>
      </c>
      <c r="E96" s="23"/>
      <c r="F96" s="23">
        <f t="shared" si="2"/>
        <v>0</v>
      </c>
      <c r="G96" s="23">
        <f t="shared" si="0"/>
        <v>0</v>
      </c>
      <c r="H96" s="48">
        <f t="shared" si="0"/>
        <v>0</v>
      </c>
      <c r="I96" s="1"/>
      <c r="J96" s="1"/>
      <c r="K96" s="1"/>
      <c r="L96" s="1"/>
    </row>
    <row r="97" ht="15" customHeight="1">
      <c r="A97" s="1"/>
      <c r="B97" s="17" t="s">
        <v>438</v>
      </c>
      <c r="C97" s="22">
        <f>Inputs!D233-Inputs!C233</f>
        <v>0</v>
      </c>
      <c r="D97" s="22">
        <f>Inputs!E233-Inputs!D233</f>
        <v>0</v>
      </c>
      <c r="E97" s="22">
        <f>Inputs!E233</f>
        <v>-1500</v>
      </c>
      <c r="F97" s="22">
        <f>Inputs!F233</f>
        <v>-527</v>
      </c>
      <c r="G97" s="22">
        <f>Inputs!G233-Inputs!F233</f>
        <v>0</v>
      </c>
      <c r="H97" s="69">
        <v>0</v>
      </c>
      <c r="I97" s="1"/>
      <c r="J97" s="1"/>
      <c r="K97" s="1"/>
      <c r="L97" s="1"/>
    </row>
    <row r="98" ht="15" customHeight="1">
      <c r="A98" s="1"/>
      <c r="B98" s="56" t="s">
        <v>277</v>
      </c>
      <c r="C98" s="23"/>
      <c r="D98" s="22">
        <f>D97-Inputs!E136</f>
        <v>0</v>
      </c>
      <c r="E98" s="22">
        <f>E97-Inputs!F136</f>
        <v>-1500</v>
      </c>
      <c r="F98" s="22">
        <f>F97-Inputs!G136</f>
        <v>973</v>
      </c>
      <c r="G98" s="22">
        <f>G97-Inputs!H136</f>
        <v>0</v>
      </c>
      <c r="H98" s="48">
        <f t="shared" si="1"/>
        <v>0</v>
      </c>
      <c r="I98" s="1"/>
      <c r="J98" s="1"/>
      <c r="K98" s="1"/>
      <c r="L98" s="1"/>
    </row>
    <row r="99" ht="15" customHeight="1">
      <c r="A99" s="1"/>
      <c r="B99" s="56" t="s">
        <v>144</v>
      </c>
      <c r="C99" s="22">
        <f>C97-Inputs!H136</f>
        <v>0</v>
      </c>
      <c r="D99" s="23">
        <f t="shared" si="0"/>
        <v>0</v>
      </c>
      <c r="E99" s="23"/>
      <c r="F99" s="23">
        <f t="shared" si="2"/>
        <v>-527</v>
      </c>
      <c r="G99" s="23">
        <f t="shared" si="0"/>
        <v>527</v>
      </c>
      <c r="H99" s="48">
        <f t="shared" si="0"/>
        <v>0</v>
      </c>
      <c r="I99" s="1"/>
      <c r="J99" s="1"/>
      <c r="K99" s="1"/>
      <c r="L99" s="1"/>
    </row>
    <row r="100" ht="15" customHeight="1">
      <c r="A100" s="1"/>
      <c r="B100" s="17" t="s">
        <v>439</v>
      </c>
      <c r="C100" s="22">
        <f>Inputs!D234-Inputs!C234</f>
        <v>-566</v>
      </c>
      <c r="D100" s="22">
        <f>Inputs!E234-Inputs!D234</f>
        <v>0</v>
      </c>
      <c r="E100" s="22">
        <f>Inputs!E234</f>
        <v>0</v>
      </c>
      <c r="F100" s="22">
        <f>Inputs!F234</f>
        <v>498</v>
      </c>
      <c r="G100" s="22">
        <f>Inputs!G234-Inputs!F234</f>
        <v>-498</v>
      </c>
      <c r="H100" s="69">
        <v>0</v>
      </c>
      <c r="I100" s="1"/>
      <c r="J100" s="1" t="s">
        <v>440</v>
      </c>
      <c r="K100" s="1"/>
      <c r="L100" s="1"/>
    </row>
    <row r="101" ht="15" customHeight="1">
      <c r="A101" s="1"/>
      <c r="B101" s="56" t="s">
        <v>277</v>
      </c>
      <c r="C101" s="23"/>
      <c r="D101" s="22">
        <f>D100-Inputs!E137</f>
        <v>0</v>
      </c>
      <c r="E101" s="22">
        <f>E100-Inputs!F137</f>
        <v>0</v>
      </c>
      <c r="F101" s="22">
        <f>F100-Inputs!G137</f>
        <v>-976</v>
      </c>
      <c r="G101" s="22">
        <f>G100-Inputs!H137</f>
        <v>410</v>
      </c>
      <c r="H101" s="48">
        <f t="shared" si="1"/>
        <v>566</v>
      </c>
      <c r="I101" s="1"/>
      <c r="J101" s="1"/>
      <c r="K101" s="1"/>
      <c r="L101" s="1"/>
    </row>
    <row r="102" ht="15" customHeight="1">
      <c r="A102" s="1"/>
      <c r="B102" s="56" t="s">
        <v>144</v>
      </c>
      <c r="C102" s="22">
        <f>C100-Inputs!H137</f>
        <v>342</v>
      </c>
      <c r="D102" s="23">
        <f t="shared" si="0"/>
        <v>566</v>
      </c>
      <c r="E102" s="23"/>
      <c r="F102" s="23">
        <f t="shared" si="2"/>
        <v>498</v>
      </c>
      <c r="G102" s="23">
        <f t="shared" si="0"/>
        <v>-996</v>
      </c>
      <c r="H102" s="48">
        <f t="shared" si="0"/>
        <v>498</v>
      </c>
      <c r="I102" s="1"/>
      <c r="J102" s="1"/>
      <c r="K102" s="1"/>
      <c r="L102" s="1"/>
    </row>
    <row r="103" ht="15" customHeight="1">
      <c r="A103" s="1"/>
      <c r="B103" s="17" t="s">
        <v>441</v>
      </c>
      <c r="C103" s="22">
        <f>Inputs!D235-Inputs!C235</f>
        <v>-277</v>
      </c>
      <c r="D103" s="22">
        <f>Inputs!E235-Inputs!D235</f>
        <v>-456</v>
      </c>
      <c r="E103" s="22">
        <f>Inputs!E235</f>
        <v>-1624</v>
      </c>
      <c r="F103" s="22">
        <f>Inputs!F235</f>
        <v>-68</v>
      </c>
      <c r="G103" s="22">
        <f>Inputs!G235-Inputs!F235</f>
        <v>0</v>
      </c>
      <c r="H103" s="69">
        <v>0</v>
      </c>
      <c r="I103" s="1"/>
      <c r="J103" s="1" t="s">
        <v>442</v>
      </c>
      <c r="K103" s="1"/>
      <c r="L103" s="1"/>
    </row>
    <row r="104" ht="15" customHeight="1">
      <c r="A104" s="1"/>
      <c r="B104" s="56" t="s">
        <v>277</v>
      </c>
      <c r="C104" s="23"/>
      <c r="D104" s="22">
        <f>D103-Inputs!E89</f>
        <v>-15</v>
      </c>
      <c r="E104" s="22">
        <f>E103-Inputs!F89</f>
        <v>890</v>
      </c>
      <c r="F104" s="22">
        <f>F103-Inputs!G89</f>
        <v>412</v>
      </c>
      <c r="G104" s="22">
        <f>G103-Inputs!H89</f>
        <v>411</v>
      </c>
      <c r="H104" s="48">
        <f t="shared" si="1"/>
        <v>277</v>
      </c>
      <c r="I104" s="1"/>
      <c r="J104" s="1"/>
      <c r="K104" s="1"/>
      <c r="L104" s="1"/>
    </row>
    <row r="105" ht="15" customHeight="1">
      <c r="A105" s="1"/>
      <c r="B105" s="56" t="s">
        <v>144</v>
      </c>
      <c r="C105" s="22">
        <f>C103-Inputs!H89</f>
        <v>134</v>
      </c>
      <c r="D105" s="23">
        <f t="shared" si="0"/>
        <v>-179</v>
      </c>
      <c r="E105" s="23"/>
      <c r="F105" s="23">
        <f t="shared" si="2"/>
        <v>388</v>
      </c>
      <c r="G105" s="23">
        <f t="shared" si="0"/>
        <v>68</v>
      </c>
      <c r="H105" s="48">
        <f t="shared" si="0"/>
        <v>0</v>
      </c>
      <c r="I105" s="1"/>
      <c r="J105" s="1"/>
      <c r="K105" s="1"/>
      <c r="L105" s="1"/>
    </row>
    <row r="106" ht="15" customHeight="1">
      <c r="A106" s="1"/>
      <c r="B106" s="17" t="s">
        <v>443</v>
      </c>
      <c r="C106" s="22">
        <f>Inputs!D236-Inputs!C236</f>
        <v>-330</v>
      </c>
      <c r="D106" s="22">
        <f>Inputs!E236-Inputs!D236</f>
        <v>-329</v>
      </c>
      <c r="E106" s="22">
        <f>Inputs!E236</f>
        <v>-1293</v>
      </c>
      <c r="F106" s="22">
        <f>Inputs!F236</f>
        <v>-333</v>
      </c>
      <c r="G106" s="22">
        <f>Inputs!G236-Inputs!F236</f>
        <v>-351</v>
      </c>
      <c r="H106" s="48">
        <f>G106</f>
        <v>-351</v>
      </c>
      <c r="I106" s="1"/>
      <c r="J106" s="1" t="s">
        <v>444</v>
      </c>
      <c r="K106" s="1"/>
      <c r="L106" s="1"/>
    </row>
    <row r="107" ht="15" customHeight="1">
      <c r="A107" s="1"/>
      <c r="B107" s="56" t="s">
        <v>277</v>
      </c>
      <c r="C107" s="23"/>
      <c r="D107" s="22">
        <f>D106-Inputs!E90</f>
        <v>-30</v>
      </c>
      <c r="E107" s="22">
        <f>E106-Inputs!F90</f>
        <v>-107</v>
      </c>
      <c r="F107" s="22">
        <f>F106-Inputs!G90</f>
        <v>-31</v>
      </c>
      <c r="G107" s="22">
        <f>G106-Inputs!H90</f>
        <v>-19</v>
      </c>
      <c r="H107" s="48">
        <f t="shared" si="1"/>
        <v>-21</v>
      </c>
      <c r="I107" s="1"/>
      <c r="J107" s="1"/>
      <c r="K107" s="1"/>
      <c r="L107" s="1"/>
    </row>
    <row r="108" ht="15" customHeight="1">
      <c r="A108" s="1"/>
      <c r="B108" s="56" t="s">
        <v>144</v>
      </c>
      <c r="C108" s="22">
        <f>C106-Inputs!H90</f>
        <v>2</v>
      </c>
      <c r="D108" s="23">
        <f t="shared" si="0"/>
        <v>1</v>
      </c>
      <c r="E108" s="23"/>
      <c r="F108" s="23">
        <f t="shared" si="2"/>
        <v>-4</v>
      </c>
      <c r="G108" s="23">
        <f t="shared" si="0"/>
        <v>-18</v>
      </c>
      <c r="H108" s="48">
        <f t="shared" si="0"/>
        <v>0</v>
      </c>
      <c r="I108" s="1"/>
      <c r="J108" s="1"/>
      <c r="K108" s="1"/>
      <c r="L108" s="1"/>
    </row>
    <row r="109" ht="15" customHeight="1">
      <c r="A109" s="1"/>
      <c r="B109" s="17" t="s">
        <v>445</v>
      </c>
      <c r="C109" s="22">
        <f>Inputs!D237-Inputs!C237</f>
        <v>0</v>
      </c>
      <c r="D109" s="22">
        <f>Inputs!E237-Inputs!D237</f>
        <v>-1</v>
      </c>
      <c r="E109" s="22">
        <f>Inputs!E237</f>
        <v>-39</v>
      </c>
      <c r="F109" s="22">
        <f>Inputs!F237</f>
        <v>-57</v>
      </c>
      <c r="G109" s="22">
        <f>Inputs!G237-Inputs!F237</f>
        <v>-1</v>
      </c>
      <c r="H109" s="69">
        <v>0</v>
      </c>
      <c r="I109" s="1"/>
      <c r="J109" s="1"/>
      <c r="K109" s="1"/>
      <c r="L109" s="1"/>
    </row>
    <row r="110" ht="15" customHeight="1">
      <c r="A110" s="1"/>
      <c r="B110" s="56" t="s">
        <v>277</v>
      </c>
      <c r="C110" s="23"/>
      <c r="D110" s="22">
        <f>D109-Inputs!E138</f>
        <v>0</v>
      </c>
      <c r="E110" s="22">
        <f>E109-Inputs!F138</f>
        <v>19</v>
      </c>
      <c r="F110" s="22">
        <f>F109-Inputs!G138</f>
        <v>-19</v>
      </c>
      <c r="G110" s="22">
        <f>G109-Inputs!H138</f>
        <v>-1</v>
      </c>
      <c r="H110" s="48">
        <f t="shared" si="1"/>
        <v>0</v>
      </c>
      <c r="I110" s="1"/>
      <c r="J110" s="1"/>
      <c r="K110" s="1"/>
      <c r="L110" s="1"/>
    </row>
    <row r="111" ht="15" customHeight="1">
      <c r="A111" s="1"/>
      <c r="B111" s="56" t="s">
        <v>144</v>
      </c>
      <c r="C111" s="22">
        <f>C109-Inputs!H138</f>
        <v>0</v>
      </c>
      <c r="D111" s="23">
        <f t="shared" si="0"/>
        <v>-1</v>
      </c>
      <c r="E111" s="23"/>
      <c r="F111" s="23">
        <f t="shared" si="2"/>
        <v>-56</v>
      </c>
      <c r="G111" s="23">
        <f t="shared" si="0"/>
        <v>56</v>
      </c>
      <c r="H111" s="48">
        <f t="shared" si="0"/>
        <v>1</v>
      </c>
      <c r="I111" s="1"/>
      <c r="J111" s="1"/>
      <c r="K111" s="1"/>
      <c r="L111" s="1"/>
    </row>
    <row r="112" ht="15" customHeight="1">
      <c r="A112" s="1"/>
      <c r="B112" s="17" t="s">
        <v>446</v>
      </c>
      <c r="C112" s="22">
        <f>Inputs!D238-Inputs!C238</f>
        <v>-26</v>
      </c>
      <c r="D112" s="22">
        <f>Inputs!E238-Inputs!D238</f>
        <v>-1</v>
      </c>
      <c r="E112" s="22">
        <f>Inputs!E238</f>
        <v>-94</v>
      </c>
      <c r="F112" s="22">
        <f>Inputs!F238</f>
        <v>-2</v>
      </c>
      <c r="G112" s="22">
        <f>Inputs!G238-Inputs!F238</f>
        <v>-17</v>
      </c>
      <c r="H112" s="69">
        <v>0</v>
      </c>
      <c r="I112" s="1"/>
      <c r="J112" s="1"/>
      <c r="K112" s="1"/>
      <c r="L112" s="1"/>
    </row>
    <row r="113" ht="15" customHeight="1">
      <c r="A113" s="1"/>
      <c r="B113" s="56" t="s">
        <v>277</v>
      </c>
      <c r="C113" s="23"/>
      <c r="D113" s="22">
        <f>D112-Inputs!E139</f>
        <v>11</v>
      </c>
      <c r="E113" s="22">
        <f>E112-Inputs!F139</f>
        <v>38</v>
      </c>
      <c r="F113" s="22">
        <f>F112-Inputs!G139</f>
        <v>3</v>
      </c>
      <c r="G113" s="22">
        <f>G112-Inputs!H139</f>
        <v>45</v>
      </c>
      <c r="H113" s="48">
        <f t="shared" si="1"/>
        <v>26</v>
      </c>
      <c r="I113" s="1"/>
      <c r="J113" s="1"/>
      <c r="K113" s="1"/>
      <c r="L113" s="1"/>
    </row>
    <row r="114" ht="15" customHeight="1">
      <c r="A114" s="1"/>
      <c r="B114" s="56" t="s">
        <v>144</v>
      </c>
      <c r="C114" s="22">
        <f>C112-Inputs!H139</f>
        <v>36</v>
      </c>
      <c r="D114" s="23">
        <f t="shared" si="0"/>
        <v>25</v>
      </c>
      <c r="E114" s="23"/>
      <c r="F114" s="23">
        <f t="shared" si="2"/>
        <v>-1</v>
      </c>
      <c r="G114" s="23">
        <f t="shared" si="0"/>
        <v>-15</v>
      </c>
      <c r="H114" s="48">
        <f t="shared" si="0"/>
        <v>17</v>
      </c>
      <c r="I114" s="1"/>
      <c r="J114" s="1"/>
      <c r="K114" s="1"/>
      <c r="L114" s="1"/>
    </row>
    <row r="115" ht="15" customHeight="1">
      <c r="A115" s="1"/>
      <c r="B115" s="4" t="s">
        <v>447</v>
      </c>
      <c r="C115" s="46">
        <f t="shared" si="8" ref="C115:H115">C94+C97+C100+C103+C106+C109+C112</f>
        <v>-1199</v>
      </c>
      <c r="D115" s="46">
        <f t="shared" si="8"/>
        <v>-787</v>
      </c>
      <c r="E115" s="46">
        <f t="shared" si="8"/>
        <v>-3552</v>
      </c>
      <c r="F115" s="46">
        <f t="shared" si="8"/>
        <v>-489</v>
      </c>
      <c r="G115" s="46">
        <f t="shared" si="8"/>
        <v>-867</v>
      </c>
      <c r="H115" s="47">
        <f t="shared" si="8"/>
        <v>-351</v>
      </c>
      <c r="I115" s="1"/>
      <c r="J115" s="1"/>
      <c r="K115" s="1"/>
      <c r="L115" s="1"/>
    </row>
    <row r="116" ht="15" customHeight="1">
      <c r="A116" s="1"/>
      <c r="B116" s="56" t="s">
        <v>277</v>
      </c>
      <c r="C116" s="23"/>
      <c r="D116" s="22">
        <f>D115-(Inputs!E135+Inputs!E136+Inputs!E137+Inputs!E89+Inputs!E90+Inputs!E138+Inputs!E139)</f>
        <v>-34</v>
      </c>
      <c r="E116" s="22">
        <f>E115-(Inputs!F135+Inputs!F136+Inputs!F137+Inputs!F89+Inputs!F90+Inputs!F138+Inputs!F139)</f>
        <v>-2157</v>
      </c>
      <c r="F116" s="22">
        <f>F115-(Inputs!G135+Inputs!G136+Inputs!G137+Inputs!G89+Inputs!G90+Inputs!G138+Inputs!G139)</f>
        <v>362</v>
      </c>
      <c r="G116" s="22">
        <f>G115-(Inputs!H135+Inputs!H136+Inputs!H137+Inputs!H89+Inputs!H90+Inputs!H138+Inputs!H139)</f>
        <v>-152</v>
      </c>
      <c r="H116" s="48">
        <f t="shared" si="1"/>
        <v>848</v>
      </c>
      <c r="I116" s="1"/>
      <c r="J116" s="1"/>
      <c r="K116" s="1"/>
      <c r="L116" s="1"/>
    </row>
    <row r="117" ht="15" customHeight="1">
      <c r="A117" s="1"/>
      <c r="B117" s="56" t="s">
        <v>144</v>
      </c>
      <c r="C117" s="22">
        <f>C115-(Inputs!H135+Inputs!H136+Inputs!H137+Inputs!H89+Inputs!H90+Inputs!H138+Inputs!H139)</f>
        <v>-484</v>
      </c>
      <c r="D117" s="23">
        <f t="shared" si="0"/>
        <v>412</v>
      </c>
      <c r="E117" s="23"/>
      <c r="F117" s="23">
        <f t="shared" si="2"/>
        <v>298</v>
      </c>
      <c r="G117" s="23">
        <f t="shared" si="0"/>
        <v>-378</v>
      </c>
      <c r="H117" s="48">
        <f t="shared" si="0"/>
        <v>516</v>
      </c>
      <c r="I117" s="1"/>
      <c r="J117" s="1"/>
      <c r="K117" s="1"/>
      <c r="L117" s="1"/>
    </row>
    <row r="118" ht="15" customHeight="1">
      <c r="A118" s="1"/>
      <c r="B118" s="1"/>
      <c r="C118" s="1"/>
      <c r="D118" s="1"/>
      <c r="E118" s="1"/>
      <c r="F118" s="1"/>
      <c r="G118" s="1"/>
      <c r="H118" s="45"/>
      <c r="I118" s="1"/>
      <c r="J118" s="1"/>
      <c r="K118" s="1"/>
      <c r="L118" s="1"/>
    </row>
    <row r="119" ht="15" customHeight="1">
      <c r="A119" s="1"/>
      <c r="B119" s="4" t="s">
        <v>448</v>
      </c>
      <c r="C119" s="46">
        <f t="shared" si="9" ref="C119:H119">C70+C89+C115</f>
        <v>58</v>
      </c>
      <c r="D119" s="46">
        <f t="shared" si="9"/>
        <v>2446</v>
      </c>
      <c r="E119" s="46">
        <f t="shared" si="9"/>
        <v>50</v>
      </c>
      <c r="F119" s="46">
        <f t="shared" si="9"/>
        <v>-2313</v>
      </c>
      <c r="G119" s="46">
        <f t="shared" si="9"/>
        <v>217</v>
      </c>
      <c r="H119" s="47">
        <f t="shared" si="9"/>
        <v>830.3249999999998</v>
      </c>
      <c r="I119" s="1"/>
      <c r="J119" s="1"/>
      <c r="K119" s="1"/>
      <c r="L119" s="1"/>
    </row>
    <row r="120" ht="15" customHeight="1">
      <c r="A120" s="1"/>
      <c r="B120" s="56" t="s">
        <v>277</v>
      </c>
      <c r="C120" s="23"/>
      <c r="D120" s="22">
        <f>D119-(Inputs!E130+(Inputs!E131+Inputs!E132+Inputs!E133+Inputs!E134)+(Inputs!E135+Inputs!E136+Inputs!E137+Inputs!E89+Inputs!E90+Inputs!E138+Inputs!E139))</f>
        <v>1419</v>
      </c>
      <c r="E120" s="22">
        <f>E119-(Inputs!F130+(Inputs!F131+Inputs!F132+Inputs!F133+Inputs!F134)+(Inputs!F135+Inputs!F136+Inputs!F137+Inputs!F89+Inputs!F90+Inputs!F138+Inputs!F139))</f>
        <v>-1194</v>
      </c>
      <c r="F120" s="22">
        <f>F119-(Inputs!G130+(Inputs!G131+Inputs!G132+Inputs!G133+Inputs!G134)+(Inputs!G135+Inputs!G136+Inputs!G137+Inputs!G89+Inputs!G90+Inputs!G138+Inputs!G139))</f>
        <v>355</v>
      </c>
      <c r="G120" s="22">
        <f>G119-(Inputs!H130+(Inputs!H131+Inputs!H132+Inputs!H133+Inputs!H134)+(Inputs!H135+Inputs!H136+Inputs!H137+Inputs!H89+Inputs!H90+Inputs!H138+Inputs!H139))</f>
        <v>3</v>
      </c>
      <c r="H120" s="48">
        <f t="shared" si="1"/>
        <v>772.3249999999998</v>
      </c>
      <c r="I120" s="1"/>
      <c r="J120" s="1"/>
      <c r="K120" s="1"/>
      <c r="L120" s="1"/>
    </row>
    <row r="121" ht="15" customHeight="1">
      <c r="A121" s="1"/>
      <c r="B121" s="56" t="s">
        <v>144</v>
      </c>
      <c r="C121" s="22">
        <f>C119-(Inputs!H130+(Inputs!H131+Inputs!H132+Inputs!H133+Inputs!H134)+(Inputs!H135+Inputs!H136+Inputs!H137+Inputs!H89+Inputs!H90+Inputs!H138+Inputs!H139))</f>
        <v>-156</v>
      </c>
      <c r="D121" s="23">
        <f t="shared" si="0"/>
        <v>2388</v>
      </c>
      <c r="E121" s="23"/>
      <c r="F121" s="23">
        <f t="shared" si="2"/>
        <v>-4759</v>
      </c>
      <c r="G121" s="23">
        <f t="shared" si="0"/>
        <v>2530</v>
      </c>
      <c r="H121" s="48">
        <f t="shared" si="0"/>
        <v>613.3249999999998</v>
      </c>
      <c r="I121" s="1"/>
      <c r="J121" s="1"/>
      <c r="K121" s="1"/>
      <c r="L121" s="1"/>
    </row>
    <row r="122" ht="15" customHeight="1">
      <c r="A122" s="1"/>
      <c r="B122" s="17" t="s">
        <v>449</v>
      </c>
      <c r="C122" s="22">
        <f>Inputs!C239</f>
        <v>1899</v>
      </c>
      <c r="D122" s="23">
        <f t="shared" si="10" ref="D122:H122">C123</f>
        <v>1957</v>
      </c>
      <c r="E122" s="22">
        <f>Inputs!E240</f>
        <v>4353</v>
      </c>
      <c r="F122" s="23">
        <f>D123</f>
        <v>4403</v>
      </c>
      <c r="G122" s="23">
        <f t="shared" si="10"/>
        <v>2090</v>
      </c>
      <c r="H122" s="48">
        <f t="shared" si="10"/>
        <v>2307</v>
      </c>
      <c r="I122" s="1"/>
      <c r="J122" s="1"/>
      <c r="K122" s="1"/>
      <c r="L122" s="1"/>
    </row>
    <row r="123" ht="15" customHeight="1">
      <c r="A123" s="1"/>
      <c r="B123" s="4" t="s">
        <v>450</v>
      </c>
      <c r="C123" s="46">
        <f t="shared" si="11" ref="C123:H123">C122+C119</f>
        <v>1957</v>
      </c>
      <c r="D123" s="46">
        <f t="shared" si="11"/>
        <v>4403</v>
      </c>
      <c r="E123" s="46">
        <f t="shared" si="11"/>
        <v>4403</v>
      </c>
      <c r="F123" s="46">
        <f t="shared" si="11"/>
        <v>2090</v>
      </c>
      <c r="G123" s="46">
        <f t="shared" si="11"/>
        <v>2307</v>
      </c>
      <c r="H123" s="47">
        <f t="shared" si="11"/>
        <v>3137.325</v>
      </c>
      <c r="I123" s="1"/>
      <c r="J123" s="1"/>
      <c r="K123" s="1"/>
      <c r="L123" s="1"/>
    </row>
    <row r="124" ht="15" customHeight="1">
      <c r="A124" s="1"/>
      <c r="B124" s="17" t="s">
        <v>451</v>
      </c>
      <c r="C124" s="22">
        <f>'Balance Sheet'!C10</f>
        <v>1957</v>
      </c>
      <c r="D124" s="22">
        <f>'Balance Sheet'!D10</f>
        <v>4403</v>
      </c>
      <c r="E124" s="22">
        <f>'Balance Sheet'!E10</f>
        <v>4403</v>
      </c>
      <c r="F124" s="22">
        <f>'Balance Sheet'!F10</f>
        <v>2090</v>
      </c>
      <c r="G124" s="22">
        <f>'Balance Sheet'!G10</f>
        <v>2307</v>
      </c>
      <c r="H124" s="21">
        <f>'Balance Sheet'!H10</f>
        <v>3137.325</v>
      </c>
      <c r="I124" s="1"/>
      <c r="J124" s="1"/>
      <c r="K124" s="1"/>
      <c r="L124" s="1"/>
    </row>
    <row r="125" ht="15" customHeight="1">
      <c r="A125" s="1"/>
      <c r="B125" s="4" t="s">
        <v>452</v>
      </c>
      <c r="C125" s="44">
        <f t="shared" si="12" ref="C125:H125">C123-C124</f>
        <v>0</v>
      </c>
      <c r="D125" s="44">
        <f t="shared" si="12"/>
        <v>0</v>
      </c>
      <c r="E125" s="44">
        <f t="shared" si="12"/>
        <v>0</v>
      </c>
      <c r="F125" s="44">
        <f t="shared" si="12"/>
        <v>0</v>
      </c>
      <c r="G125" s="44">
        <f t="shared" si="12"/>
        <v>0</v>
      </c>
      <c r="H125" s="68">
        <f t="shared" si="12"/>
        <v>0</v>
      </c>
      <c r="I125" s="1"/>
      <c r="J125" s="1" t="s">
        <v>453</v>
      </c>
      <c r="K125" s="1"/>
      <c r="L125" s="1"/>
    </row>
    <row r="126" ht="15" customHeight="1">
      <c r="A126" s="1"/>
      <c r="B126" s="17" t="s">
        <v>454</v>
      </c>
      <c r="C126" s="22">
        <f>C119-(C124-Inputs!C239)</f>
        <v>0</v>
      </c>
      <c r="D126" s="23">
        <f t="shared" si="13" ref="D126:H126">D119-(D124-C124)</f>
        <v>0</v>
      </c>
      <c r="E126" s="22">
        <f>E119-(E124-Inputs!E240)</f>
        <v>0</v>
      </c>
      <c r="F126" s="23">
        <f>F119-(F124-D124)</f>
        <v>0</v>
      </c>
      <c r="G126" s="23">
        <f t="shared" si="13"/>
        <v>0</v>
      </c>
      <c r="H126" s="48">
        <f t="shared" si="13"/>
        <v>0</v>
      </c>
      <c r="I126" s="1"/>
      <c r="J126" s="1" t="s">
        <v>455</v>
      </c>
      <c r="K126" s="1"/>
      <c r="L126" s="1"/>
    </row>
    <row r="127" ht="15" customHeight="1">
      <c r="A127" s="1"/>
      <c r="B127" s="1"/>
      <c r="C127" s="1"/>
      <c r="D127" s="1"/>
      <c r="E127" s="1"/>
      <c r="F127" s="1"/>
      <c r="G127" s="1"/>
      <c r="H127" s="45"/>
      <c r="I127" s="1"/>
      <c r="J127" s="1"/>
      <c r="K127" s="1"/>
      <c r="L127" s="1"/>
    </row>
    <row r="128" ht="15" customHeight="1">
      <c r="A128" s="1"/>
      <c r="B128" s="4" t="s">
        <v>456</v>
      </c>
      <c r="C128" s="34"/>
      <c r="D128" s="34"/>
      <c r="E128" s="34"/>
      <c r="F128" s="34"/>
      <c r="G128" s="34"/>
      <c r="H128" s="32"/>
      <c r="I128" s="1"/>
      <c r="J128" s="1"/>
      <c r="K128" s="1"/>
      <c r="L128" s="1"/>
    </row>
    <row r="129" ht="15" customHeight="1">
      <c r="A129" s="1"/>
      <c r="B129" s="4" t="s">
        <v>457</v>
      </c>
      <c r="C129" s="46">
        <f t="shared" si="14" ref="C129:G129">C70+C77</f>
        <v>1256</v>
      </c>
      <c r="D129" s="46">
        <f t="shared" si="14"/>
        <v>3235</v>
      </c>
      <c r="E129" s="46">
        <f t="shared" si="14"/>
        <v>3307</v>
      </c>
      <c r="F129" s="46">
        <f t="shared" si="14"/>
        <v>-1823</v>
      </c>
      <c r="G129" s="46">
        <f t="shared" si="14"/>
        <v>978</v>
      </c>
      <c r="H129" s="47">
        <f>H134-H132-H133</f>
        <v>1181.3249999999998</v>
      </c>
      <c r="I129" s="1"/>
      <c r="J129" s="1"/>
      <c r="K129" s="1"/>
      <c r="L129" s="1"/>
    </row>
    <row r="130" ht="15" customHeight="1">
      <c r="A130" s="1"/>
      <c r="B130" s="56" t="s">
        <v>277</v>
      </c>
      <c r="C130" s="22">
        <f>C129-(Inputs!C130+Inputs!C131)</f>
        <v>526</v>
      </c>
      <c r="D130" s="22">
        <f>D129-(Inputs!E130+Inputs!E131)</f>
        <v>1473</v>
      </c>
      <c r="E130" s="22">
        <f>E129-(Inputs!F130+Inputs!F131)</f>
        <v>686</v>
      </c>
      <c r="F130" s="22">
        <f>F129-(Inputs!G130+Inputs!G131)</f>
        <v>-2</v>
      </c>
      <c r="G130" s="22">
        <f>G129-(Inputs!H130+Inputs!H131)</f>
        <v>341</v>
      </c>
      <c r="H130" s="48">
        <f t="shared" si="1"/>
        <v>-74.67500000000018</v>
      </c>
      <c r="I130" s="1"/>
      <c r="J130" s="1"/>
      <c r="K130" s="1"/>
      <c r="L130" s="1"/>
    </row>
    <row r="131" ht="15" customHeight="1">
      <c r="A131" s="1"/>
      <c r="B131" s="56" t="s">
        <v>144</v>
      </c>
      <c r="C131" s="22">
        <f>C129-(Inputs!H130+Inputs!H131)</f>
        <v>619</v>
      </c>
      <c r="D131" s="23">
        <f t="shared" si="0"/>
        <v>1979</v>
      </c>
      <c r="E131" s="23"/>
      <c r="F131" s="23">
        <f t="shared" si="2"/>
        <v>-5058</v>
      </c>
      <c r="G131" s="23">
        <f t="shared" si="0"/>
        <v>2801</v>
      </c>
      <c r="H131" s="48">
        <f t="shared" si="0"/>
        <v>203.32499999999982</v>
      </c>
      <c r="I131" s="1"/>
      <c r="J131" s="1"/>
      <c r="K131" s="1"/>
      <c r="L131" s="1"/>
    </row>
    <row r="132" ht="15" customHeight="1">
      <c r="A132" s="1"/>
      <c r="B132" s="17" t="s">
        <v>458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69">
        <v>0</v>
      </c>
      <c r="I132" s="1"/>
      <c r="J132" s="1" t="s">
        <v>459</v>
      </c>
      <c r="K132" s="1"/>
      <c r="L132" s="1"/>
    </row>
    <row r="133" ht="15" customHeight="1">
      <c r="A133" s="1"/>
      <c r="B133" s="17" t="s">
        <v>460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69">
        <v>0</v>
      </c>
      <c r="I133" s="1"/>
      <c r="J133" s="1"/>
      <c r="K133" s="1"/>
      <c r="L133" s="1"/>
    </row>
    <row r="134" ht="15" customHeight="1">
      <c r="A134" s="1"/>
      <c r="B134" s="4" t="s">
        <v>461</v>
      </c>
      <c r="C134" s="46">
        <f t="shared" si="15" ref="C134:G134">C129+C132+C133</f>
        <v>1256</v>
      </c>
      <c r="D134" s="46">
        <f t="shared" si="15"/>
        <v>3235</v>
      </c>
      <c r="E134" s="46">
        <f t="shared" si="15"/>
        <v>3307</v>
      </c>
      <c r="F134" s="46">
        <f t="shared" si="15"/>
        <v>-1823</v>
      </c>
      <c r="G134" s="46">
        <f t="shared" si="15"/>
        <v>978</v>
      </c>
      <c r="H134" s="59">
        <f>(Guidance!G36-F134-G134)*H154</f>
        <v>1181.3249999999998</v>
      </c>
      <c r="I134" s="1"/>
      <c r="J134" s="1"/>
      <c r="K134" s="1"/>
      <c r="L134" s="1"/>
    </row>
    <row r="135" ht="15" customHeight="1">
      <c r="A135" s="1"/>
      <c r="B135" s="56" t="s">
        <v>277</v>
      </c>
      <c r="C135" s="22">
        <f>C134-((Inputs!C130+Inputs!C131)+Inputs!C140+Inputs!C141)</f>
        <v>526</v>
      </c>
      <c r="D135" s="22">
        <f>D134-((Inputs!E130+Inputs!E131)+Inputs!E140+Inputs!E141)</f>
        <v>1473</v>
      </c>
      <c r="E135" s="22">
        <f>E134-((Inputs!F130+Inputs!F131)+Inputs!F140+Inputs!F141)</f>
        <v>686</v>
      </c>
      <c r="F135" s="22">
        <f>F134-((Inputs!G130+Inputs!G131)+Inputs!G140+Inputs!G141)</f>
        <v>-2</v>
      </c>
      <c r="G135" s="22">
        <f>G134-((Inputs!H130+Inputs!H131)+Inputs!H140+Inputs!H141)</f>
        <v>341</v>
      </c>
      <c r="H135" s="48">
        <f t="shared" si="1"/>
        <v>-74.67500000000018</v>
      </c>
      <c r="I135" s="1"/>
      <c r="J135" s="1"/>
      <c r="K135" s="1"/>
      <c r="L135" s="1"/>
    </row>
    <row r="136" ht="15" customHeight="1">
      <c r="A136" s="1"/>
      <c r="B136" s="56" t="s">
        <v>144</v>
      </c>
      <c r="C136" s="22">
        <f>C134-((Inputs!H130+Inputs!H131)+Inputs!H140+Inputs!H141)</f>
        <v>619</v>
      </c>
      <c r="D136" s="23">
        <f t="shared" si="0"/>
        <v>1979</v>
      </c>
      <c r="E136" s="23"/>
      <c r="F136" s="23">
        <f t="shared" si="2"/>
        <v>-5058</v>
      </c>
      <c r="G136" s="23">
        <f t="shared" si="0"/>
        <v>2801</v>
      </c>
      <c r="H136" s="48">
        <f t="shared" si="0"/>
        <v>203.32499999999982</v>
      </c>
      <c r="I136" s="1"/>
      <c r="J136" s="1"/>
      <c r="K136" s="1"/>
      <c r="L136" s="1"/>
    </row>
    <row r="137" ht="15" customHeight="1">
      <c r="A137" s="1"/>
      <c r="B137" s="35" t="s">
        <v>462</v>
      </c>
      <c r="C137" s="42">
        <f>C134/'Income Statement'!C22</f>
        <v>0.12050273433752279</v>
      </c>
      <c r="D137" s="42">
        <f>D134/'Income Statement'!D22</f>
        <v>0.27621243169398907</v>
      </c>
      <c r="E137" s="42">
        <f>E134/'Income Statement'!E22</f>
        <v>0.07882442675311055</v>
      </c>
      <c r="F137" s="42">
        <f>F134/'Income Statement'!F22</f>
        <v>-0.18449549640724622</v>
      </c>
      <c r="G137" s="42">
        <f>G134/'Income Statement'!G22</f>
        <v>0.08992276572269217</v>
      </c>
      <c r="H137" s="55">
        <f>H134/'Income Statement'!H22</f>
        <v>0.106069052924215</v>
      </c>
      <c r="I137" s="1"/>
      <c r="J137" s="1"/>
      <c r="K137" s="1"/>
      <c r="L137" s="1"/>
    </row>
    <row r="138" ht="15" customHeight="1">
      <c r="A138" s="1"/>
      <c r="B138" s="50" t="s">
        <v>114</v>
      </c>
      <c r="C138" s="52">
        <f>(C137-(((Inputs!C130+Inputs!C131)+Inputs!C140+Inputs!C141)/(((Inputs!C13)+(Inputs!C32)+(Inputs!C51)+(Inputs!C70)+(-(Inputs!C15+Inputs!C34+Inputs!C53+Inputs!C72))))))*10000</f>
        <v>474.7352265284892</v>
      </c>
      <c r="D138" s="52">
        <f>(D137-(((Inputs!E130+Inputs!E131)+Inputs!E140+Inputs!E141)/(((Inputs!E13)+(Inputs!E32)+(Inputs!E51)+(Inputs!E70)+(-(Inputs!E15+Inputs!E34+Inputs!E53+Inputs!E72))))))*10000</f>
        <v>1113.23792352795</v>
      </c>
      <c r="E138" s="52">
        <f>(E137-(((Inputs!F130+Inputs!F131)+Inputs!F140+Inputs!F141)/(((Inputs!F13)+(Inputs!F32)+(Inputs!F51)+(Inputs!F70)+(-(Inputs!F15+Inputs!F34+Inputs!F53+Inputs!F72))))))*10000</f>
        <v>149.4900940609717</v>
      </c>
      <c r="F138" s="52">
        <f>(F137-(((Inputs!G130+Inputs!G131)+Inputs!G140+Inputs!G141)/(((Inputs!G13)+(Inputs!G32)+(Inputs!G51)+(Inputs!G70)+(-(Inputs!G15+Inputs!G34+Inputs!G53+Inputs!G72))))))*10000</f>
        <v>78.36569498964164</v>
      </c>
      <c r="G138" s="52">
        <f>(G137-(((Inputs!H130+Inputs!H131)+Inputs!H140+Inputs!H141)/(((Inputs!H13)+(Inputs!H32)+(Inputs!H51)+(Inputs!H70)+(-(Inputs!H15+Inputs!H34+Inputs!H53+Inputs!H72))))))*10000</f>
        <v>283.8281789156474</v>
      </c>
      <c r="H138" s="53">
        <f t="shared" si="17" ref="H138:H144">(H137-C137)*10000</f>
        <v>-144.33681413307795</v>
      </c>
      <c r="I138" s="1"/>
      <c r="J138" s="1"/>
      <c r="K138" s="1"/>
      <c r="L138" s="1"/>
    </row>
    <row r="139" ht="15" customHeight="1">
      <c r="A139" s="1"/>
      <c r="B139" s="50" t="s">
        <v>115</v>
      </c>
      <c r="C139" s="52">
        <f>(C137-(((Inputs!H130+Inputs!H131)+Inputs!H140+Inputs!H141)/(((Inputs!H13)+(Inputs!H32)+(Inputs!H51)+(Inputs!H70)+(-(Inputs!H15+Inputs!H34+Inputs!H53+Inputs!H72))))))*10000</f>
        <v>589.6278650639535</v>
      </c>
      <c r="D139" s="54">
        <f t="shared" si="16" ref="D139:H145">(D137-C137)*10000</f>
        <v>1557.096973564663</v>
      </c>
      <c r="E139" s="54"/>
      <c r="F139" s="54">
        <f t="shared" si="18" ref="F139:F145">(F137-D137)*10000</f>
        <v>-4607.079281012353</v>
      </c>
      <c r="G139" s="54">
        <f t="shared" si="16"/>
        <v>2744.1826212993838</v>
      </c>
      <c r="H139" s="53">
        <f t="shared" si="16"/>
        <v>161.4628720152282</v>
      </c>
      <c r="I139" s="1"/>
      <c r="J139" s="1"/>
      <c r="K139" s="1"/>
      <c r="L139" s="1"/>
    </row>
    <row r="140" ht="15" customHeight="1">
      <c r="A140" s="1"/>
      <c r="B140" s="35" t="s">
        <v>463</v>
      </c>
      <c r="C140" s="42">
        <f>-C77/'Income Statement'!C22</f>
        <v>0.02887844190732035</v>
      </c>
      <c r="D140" s="42">
        <f>-D77/'Income Statement'!D22</f>
        <v>0.05652322404371585</v>
      </c>
      <c r="E140" s="42">
        <f>-E77/'Income Statement'!E22</f>
        <v>0.03456166277351385</v>
      </c>
      <c r="F140" s="42">
        <f>-F77/'Income Statement'!F22</f>
        <v>0.016901123368080154</v>
      </c>
      <c r="G140" s="42">
        <f>-G77/'Income Statement'!G22</f>
        <v>0.02776756160353071</v>
      </c>
      <c r="H140" s="55">
        <f>-H77/'Income Statement'!H22</f>
        <v>0.04091917930218399</v>
      </c>
      <c r="I140" s="1"/>
      <c r="J140" s="1"/>
      <c r="K140" s="1"/>
      <c r="L140" s="1"/>
    </row>
    <row r="141" ht="15" customHeight="1">
      <c r="A141" s="1"/>
      <c r="B141" s="50" t="s">
        <v>114</v>
      </c>
      <c r="C141" s="52">
        <f>(C140-(-Inputs!C131/(((Inputs!C13)+(Inputs!C32)+(Inputs!C51)+(Inputs!C70)+(-(Inputs!C15+Inputs!C34+Inputs!C53+Inputs!C72))))))*10000</f>
        <v>-72.36003870990979</v>
      </c>
      <c r="D141" s="52">
        <f>(D140-(-Inputs!E131/(((Inputs!E13)+(Inputs!E32)+(Inputs!E51)+(Inputs!E70)+(-(Inputs!E15+Inputs!E34+Inputs!E53+Inputs!E72))))))*10000</f>
        <v>-198.38370566053948</v>
      </c>
      <c r="E141" s="52">
        <f>(E140-(-Inputs!F131/(((Inputs!F13)+(Inputs!F32)+(Inputs!F51)+(Inputs!F70)+(-(Inputs!F15+Inputs!F34+Inputs!F53+Inputs!F72))))))*10000</f>
        <v>-85.01237818692421</v>
      </c>
      <c r="F141" s="52">
        <f>(F140-(-Inputs!G131/(((Inputs!G13)+(Inputs!G32)+(Inputs!G51)+(Inputs!G70)+(-(Inputs!G15+Inputs!G34+Inputs!G53+Inputs!G72))))))*10000</f>
        <v>-101.37321921315706</v>
      </c>
      <c r="G141" s="52">
        <f>(G140-(-Inputs!H131/(((Inputs!H13)+(Inputs!H32)+(Inputs!H51)+(Inputs!H70)+(-(Inputs!H15+Inputs!H34+Inputs!H53+Inputs!H72))))))*10000</f>
        <v>54.50877225209774</v>
      </c>
      <c r="H141" s="53">
        <f t="shared" si="17"/>
        <v>120.40737394863645</v>
      </c>
      <c r="I141" s="1"/>
      <c r="J141" s="1"/>
      <c r="K141" s="1"/>
      <c r="L141" s="1"/>
    </row>
    <row r="142" ht="15" customHeight="1">
      <c r="A142" s="1"/>
      <c r="B142" s="50" t="s">
        <v>115</v>
      </c>
      <c r="C142" s="52">
        <f>(C140-(-Inputs!H131/(((Inputs!H13)+(Inputs!H32)+(Inputs!H51)+(Inputs!H70)+(-(Inputs!H15+Inputs!H34+Inputs!H53+Inputs!H72))))))*10000</f>
        <v>65.61757528999412</v>
      </c>
      <c r="D142" s="54">
        <f t="shared" si="16"/>
        <v>276.447821363955</v>
      </c>
      <c r="E142" s="54"/>
      <c r="F142" s="54">
        <f t="shared" si="18"/>
        <v>-396.2210067563569</v>
      </c>
      <c r="G142" s="54">
        <f t="shared" si="16"/>
        <v>108.66438235450558</v>
      </c>
      <c r="H142" s="53">
        <f t="shared" si="16"/>
        <v>131.51617698653283</v>
      </c>
      <c r="I142" s="1"/>
      <c r="J142" s="1"/>
      <c r="K142" s="1"/>
      <c r="L142" s="1"/>
    </row>
    <row r="143" ht="15" customHeight="1">
      <c r="A143" s="1"/>
      <c r="B143" s="35" t="s">
        <v>464</v>
      </c>
      <c r="C143" s="24">
        <f t="shared" si="19" ref="C143:H143">C134/C10</f>
        <v>1.1418181818181818</v>
      </c>
      <c r="D143" s="24">
        <f t="shared" si="19"/>
        <v>2.2669936930623686</v>
      </c>
      <c r="E143" s="24">
        <f t="shared" si="19"/>
        <v>0.7907699665231946</v>
      </c>
      <c r="F143" s="24">
        <f t="shared" si="19"/>
        <v>-2.0834285714285716</v>
      </c>
      <c r="G143" s="24">
        <f t="shared" si="19"/>
        <v>0.8939670932358318</v>
      </c>
      <c r="H143" s="49">
        <f t="shared" si="19"/>
        <v>1.1490683652483344</v>
      </c>
      <c r="I143" s="1"/>
      <c r="J143" s="1"/>
      <c r="K143" s="1"/>
      <c r="L143" s="1"/>
    </row>
    <row r="144" ht="15" customHeight="1">
      <c r="A144" s="1"/>
      <c r="B144" s="50" t="s">
        <v>114</v>
      </c>
      <c r="C144" s="54"/>
      <c r="D144" s="52">
        <f>(D143-(((Inputs!E130+Inputs!E131)+Inputs!E140+Inputs!E141)/Inputs!E111))*10000</f>
        <v>8730.063512902167</v>
      </c>
      <c r="E144" s="52">
        <f>(E143-(((Inputs!F130+Inputs!F131)+Inputs!F140+Inputs!F141)/Inputs!F111))*10000</f>
        <v>1628.3513183225073</v>
      </c>
      <c r="F144" s="52">
        <f>(F143-(((Inputs!G130+Inputs!G131)+Inputs!G140+Inputs!G141)/Inputs!G111))*10000</f>
        <v>17024.342144342143</v>
      </c>
      <c r="G144" s="52">
        <f>(G143-(((Inputs!H130+Inputs!H131)+Inputs!H140+Inputs!H141)/Inputs!H111))*10000</f>
        <v>3513.7765541641097</v>
      </c>
      <c r="H144" s="53">
        <f t="shared" si="17"/>
        <v>72.50183430152602</v>
      </c>
      <c r="I144" s="1"/>
      <c r="J144" s="1"/>
      <c r="K144" s="1"/>
      <c r="L144" s="1"/>
    </row>
    <row r="145" ht="15" customHeight="1">
      <c r="A145" s="1"/>
      <c r="B145" s="50" t="s">
        <v>115</v>
      </c>
      <c r="C145" s="52">
        <f>(C143-(((Inputs!H130+Inputs!H131)+Inputs!H140+Inputs!H141)/Inputs!H111))*10000</f>
        <v>5992.28743998761</v>
      </c>
      <c r="D145" s="54">
        <f t="shared" si="16"/>
        <v>11251.755112441868</v>
      </c>
      <c r="E145" s="54"/>
      <c r="F145" s="54">
        <f t="shared" si="18"/>
        <v>-43504.2226449094</v>
      </c>
      <c r="G145" s="54">
        <f t="shared" si="16"/>
        <v>29773.956646644034</v>
      </c>
      <c r="H145" s="53">
        <f t="shared" si="16"/>
        <v>2551.0127201250266</v>
      </c>
      <c r="I145" s="1"/>
      <c r="J145" s="1"/>
      <c r="K145" s="1"/>
      <c r="L145" s="1"/>
    </row>
    <row r="146" ht="15" customHeight="1">
      <c r="A146" s="1"/>
      <c r="B146" s="1"/>
      <c r="C146" s="1"/>
      <c r="D146" s="1"/>
      <c r="E146" s="1"/>
      <c r="F146" s="1"/>
      <c r="G146" s="1"/>
      <c r="H146" s="45"/>
      <c r="I146" s="1"/>
      <c r="J146" s="1"/>
      <c r="K146" s="1"/>
      <c r="L146" s="1"/>
    </row>
    <row r="147" ht="15" customHeight="1">
      <c r="A147" s="1"/>
      <c r="B147" s="4" t="s">
        <v>465</v>
      </c>
      <c r="C147" s="34"/>
      <c r="D147" s="34"/>
      <c r="E147" s="34"/>
      <c r="F147" s="34"/>
      <c r="G147" s="34"/>
      <c r="H147" s="32"/>
      <c r="I147" s="1"/>
      <c r="J147" s="1"/>
      <c r="K147" s="1"/>
      <c r="L147" s="1"/>
    </row>
    <row r="148" ht="15" customHeight="1">
      <c r="A148" s="1"/>
      <c r="B148" s="17" t="s">
        <v>466</v>
      </c>
      <c r="C148" s="33">
        <v>71</v>
      </c>
      <c r="D148" s="22">
        <f>E148-Inputs!D206</f>
        <v>74</v>
      </c>
      <c r="E148" s="33">
        <v>268</v>
      </c>
      <c r="F148" s="33">
        <v>72</v>
      </c>
      <c r="G148" s="33">
        <v>68</v>
      </c>
      <c r="H148" s="48"/>
      <c r="I148" s="1"/>
      <c r="J148" s="1" t="s">
        <v>467</v>
      </c>
      <c r="K148" s="1"/>
      <c r="L148" s="1"/>
    </row>
    <row r="149" ht="15" customHeight="1">
      <c r="A149" s="1"/>
      <c r="B149" s="17" t="s">
        <v>468</v>
      </c>
      <c r="C149" s="33">
        <v>42</v>
      </c>
      <c r="D149" s="22">
        <f>E149-Inputs!D207</f>
        <v>57</v>
      </c>
      <c r="E149" s="33">
        <v>148</v>
      </c>
      <c r="F149" s="33">
        <v>29</v>
      </c>
      <c r="G149" s="33">
        <v>113</v>
      </c>
      <c r="H149" s="48"/>
      <c r="I149" s="1"/>
      <c r="J149" s="1"/>
      <c r="K149" s="1"/>
      <c r="L149" s="1"/>
    </row>
    <row r="150" ht="15" customHeight="1">
      <c r="A150" s="1"/>
      <c r="B150" s="17" t="s">
        <v>469</v>
      </c>
      <c r="C150" s="22">
        <f>'Segment - Aeronautics Systems'!C186+'Segment - Defense Systems'!C186+'Segment - Mission Systems'!C186+'Segment - Space Systems'!C186+C148-C13</f>
        <v>0</v>
      </c>
      <c r="D150" s="22">
        <f>'Segment - Aeronautics Systems'!D186+'Segment - Defense Systems'!D186+'Segment - Mission Systems'!D186+'Segment - Space Systems'!D186+D148-D13</f>
        <v>0</v>
      </c>
      <c r="E150" s="22">
        <f>'Segment - Aeronautics Systems'!E186+'Segment - Defense Systems'!E186+'Segment - Mission Systems'!E186+'Segment - Space Systems'!E186+E148-E13</f>
        <v>0</v>
      </c>
      <c r="F150" s="22">
        <f>'Segment - Aeronautics Systems'!F186+'Segment - Defense Systems'!F186+'Segment - Mission Systems'!F186+'Segment - Space Systems'!F186+F148-F13</f>
        <v>0</v>
      </c>
      <c r="G150" s="22">
        <f>'Segment - Aeronautics Systems'!G186+'Segment - Defense Systems'!G186+'Segment - Mission Systems'!G186+'Segment - Space Systems'!G186+G148-G13</f>
        <v>0</v>
      </c>
      <c r="H150" s="48"/>
      <c r="I150" s="1"/>
      <c r="J150" s="1"/>
      <c r="K150" s="1"/>
      <c r="L150" s="1"/>
    </row>
    <row r="151" ht="15" customHeight="1">
      <c r="A151" s="1"/>
      <c r="B151" s="17" t="s">
        <v>470</v>
      </c>
      <c r="C151" s="22">
        <f>'Segment - Aeronautics Systems'!C189+'Segment - Defense Systems'!C189+'Segment - Mission Systems'!C189+'Segment - Space Systems'!C189+C149+C77</f>
        <v>0</v>
      </c>
      <c r="D151" s="22">
        <f>'Segment - Aeronautics Systems'!D189+'Segment - Defense Systems'!D189+'Segment - Mission Systems'!D189+'Segment - Space Systems'!D189+D149+D77</f>
        <v>0</v>
      </c>
      <c r="E151" s="22">
        <f>'Segment - Aeronautics Systems'!E189+'Segment - Defense Systems'!E189+'Segment - Mission Systems'!E189+'Segment - Space Systems'!E189+E149+E77</f>
        <v>0</v>
      </c>
      <c r="F151" s="22">
        <f>'Segment - Aeronautics Systems'!F189+'Segment - Defense Systems'!F189+'Segment - Mission Systems'!F189+'Segment - Space Systems'!F189+F149+F77</f>
        <v>0</v>
      </c>
      <c r="G151" s="22">
        <f>'Segment - Aeronautics Systems'!G189+'Segment - Defense Systems'!G189+'Segment - Mission Systems'!G189+'Segment - Space Systems'!G189+G149+G77</f>
        <v>0</v>
      </c>
      <c r="H151" s="48"/>
      <c r="I151" s="1"/>
      <c r="J151" s="1"/>
      <c r="K151" s="1"/>
      <c r="L151" s="1"/>
    </row>
    <row r="152" ht="15" customHeight="1">
      <c r="A152" s="1"/>
      <c r="B152" s="1"/>
      <c r="C152" s="1"/>
      <c r="D152" s="1"/>
      <c r="E152" s="1"/>
      <c r="F152" s="1"/>
      <c r="G152" s="1"/>
      <c r="H152" s="45"/>
      <c r="I152" s="1"/>
      <c r="J152" s="1"/>
      <c r="K152" s="1"/>
      <c r="L152" s="1"/>
    </row>
    <row r="153" ht="15" customHeight="1">
      <c r="A153" s="1"/>
      <c r="B153" s="4" t="s">
        <v>471</v>
      </c>
      <c r="C153" s="34"/>
      <c r="D153" s="34"/>
      <c r="E153" s="34"/>
      <c r="F153" s="34"/>
      <c r="G153" s="34"/>
      <c r="H153" s="32"/>
      <c r="I153" s="1"/>
      <c r="J153" s="1"/>
      <c r="K153" s="1"/>
      <c r="L153" s="1"/>
    </row>
    <row r="154" ht="15" customHeight="1">
      <c r="A154" s="1"/>
      <c r="B154" s="35" t="s">
        <v>472</v>
      </c>
      <c r="C154" s="24"/>
      <c r="D154" s="24"/>
      <c r="E154" s="24"/>
      <c r="F154" s="24"/>
      <c r="G154" s="24"/>
      <c r="H154" s="57">
        <v>0.285</v>
      </c>
      <c r="I154" s="1"/>
      <c r="J154" s="1" t="s">
        <v>473</v>
      </c>
      <c r="K154" s="1"/>
      <c r="L154" s="1"/>
    </row>
    <row r="155" ht="15" customHeight="1">
      <c r="A155" s="1"/>
      <c r="B155" s="35" t="s">
        <v>474</v>
      </c>
      <c r="C155" s="24"/>
      <c r="D155" s="24"/>
      <c r="E155" s="24"/>
      <c r="F155" s="24"/>
      <c r="G155" s="24"/>
      <c r="H155" s="57">
        <v>0.33</v>
      </c>
      <c r="I155" s="1"/>
      <c r="J155" s="1" t="s">
        <v>475</v>
      </c>
      <c r="K155" s="1"/>
      <c r="L155" s="1"/>
    </row>
    <row r="156" ht="15" customHeight="1">
      <c r="A156" s="1"/>
      <c r="B156" s="1"/>
      <c r="C156" s="1"/>
      <c r="D156" s="1"/>
      <c r="E156" s="1"/>
      <c r="F156" s="1"/>
      <c r="G156" s="1"/>
      <c r="H156" s="45"/>
      <c r="I156" s="1"/>
      <c r="J156" s="1"/>
      <c r="K156" s="1"/>
      <c r="L156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53EA828-9228-053C-CD58-A1F12872AC37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60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476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477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7" t="s">
        <v>204</v>
      </c>
      <c r="C10" s="22">
        <f>'Segment - Aeronautics Systems'!C126+'Segment - Defense Systems'!C126+'Segment - Mission Systems'!C126+'Segment - Space Systems'!C126</f>
        <v>8820</v>
      </c>
      <c r="D10" s="22">
        <f>'Segment - Aeronautics Systems'!D126+'Segment - Defense Systems'!D126+'Segment - Mission Systems'!D126+'Segment - Space Systems'!D126</f>
        <v>10012</v>
      </c>
      <c r="E10" s="22">
        <f>'Segment - Aeronautics Systems'!E126+'Segment - Defense Systems'!E126+'Segment - Mission Systems'!E126+'Segment - Space Systems'!E126</f>
        <v>35964</v>
      </c>
      <c r="F10" s="22">
        <f>'Segment - Aeronautics Systems'!F126+'Segment - Defense Systems'!F126+'Segment - Mission Systems'!F126+'Segment - Space Systems'!F126</f>
        <v>8600</v>
      </c>
      <c r="G10" s="22">
        <f>'Segment - Aeronautics Systems'!G126+'Segment - Defense Systems'!G126+'Segment - Mission Systems'!G126+'Segment - Space Systems'!G126</f>
        <v>9333</v>
      </c>
      <c r="H10" s="21">
        <f>'Segment - Aeronautics Systems'!H126+'Segment - Defense Systems'!H126+'Segment - Mission Systems'!H126+'Segment - Space Systems'!H126</f>
        <v>9632.953988735953</v>
      </c>
      <c r="I10" s="1"/>
      <c r="J10" s="1" t="s">
        <v>478</v>
      </c>
      <c r="K10" s="1"/>
      <c r="L10" s="1"/>
    </row>
    <row r="11" ht="15" customHeight="1">
      <c r="A11" s="1"/>
      <c r="B11" s="50" t="s">
        <v>111</v>
      </c>
      <c r="C11" s="42">
        <f>C10/(Inputs!C22+Inputs!C41+Inputs!C60+Inputs!C79)-1</f>
        <v>0.004784688995215225</v>
      </c>
      <c r="D11" s="42">
        <f>D10/(Inputs!E22+Inputs!E41+Inputs!E60+Inputs!E79)-1</f>
        <v>0.08226137714841641</v>
      </c>
      <c r="E11" s="42">
        <f>E10/(Inputs!F22+Inputs!F41+Inputs!F60+Inputs!F79)-1</f>
        <v>-0.001914911331279634</v>
      </c>
      <c r="F11" s="42">
        <f>F10/(Inputs!G22+Inputs!G41+Inputs!G60+Inputs!G79)-1</f>
        <v>0.05108775360547546</v>
      </c>
      <c r="G11" s="42">
        <f>G10/(Inputs!H22+Inputs!H41+Inputs!H60+Inputs!H79)-1</f>
        <v>0.042793296089385535</v>
      </c>
      <c r="H11" s="49">
        <f t="shared" si="1" ref="H11:H51">H10/C10-1</f>
        <v>0.09217165405169547</v>
      </c>
      <c r="I11" s="1"/>
      <c r="J11" s="1"/>
      <c r="K11" s="1"/>
      <c r="L11" s="1"/>
    </row>
    <row r="12" ht="15" customHeight="1">
      <c r="A12" s="1"/>
      <c r="B12" s="50" t="s">
        <v>112</v>
      </c>
      <c r="C12" s="42">
        <f>C10/(Inputs!H22+Inputs!H41+Inputs!H60+Inputs!H79)-1</f>
        <v>-0.01452513966480451</v>
      </c>
      <c r="D12" s="24">
        <f t="shared" si="0" ref="D12:H52">D10/C10-1</f>
        <v>0.13514739229024952</v>
      </c>
      <c r="E12" s="24"/>
      <c r="F12" s="24">
        <f t="shared" si="2" ref="F12:F52">F10/D10-1</f>
        <v>-0.14103076308429885</v>
      </c>
      <c r="G12" s="24">
        <f t="shared" si="0"/>
        <v>0.08523255813953479</v>
      </c>
      <c r="H12" s="49">
        <f t="shared" si="0"/>
        <v>0.03213907518868031</v>
      </c>
      <c r="I12" s="1"/>
      <c r="J12" s="1"/>
      <c r="K12" s="1"/>
      <c r="L12" s="1"/>
    </row>
    <row r="13" ht="15" customHeight="1">
      <c r="A13" s="1"/>
      <c r="B13" s="50" t="s">
        <v>119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49">
        <f t="shared" si="3" ref="H13:H53">H11</f>
        <v>0.09217165405169547</v>
      </c>
      <c r="I13" s="1"/>
      <c r="J13" s="1" t="s">
        <v>255</v>
      </c>
      <c r="K13" s="1"/>
      <c r="L13" s="1"/>
    </row>
    <row r="14" ht="15" customHeight="1">
      <c r="A14" s="1"/>
      <c r="B14" s="50" t="s">
        <v>117</v>
      </c>
      <c r="C14" s="24" t="s">
        <v>38</v>
      </c>
      <c r="D14" s="24" t="s">
        <v>38</v>
      </c>
      <c r="E14" s="24" t="s">
        <v>38</v>
      </c>
      <c r="F14" s="24" t="s">
        <v>38</v>
      </c>
      <c r="G14" s="24" t="s">
        <v>38</v>
      </c>
      <c r="H14" s="57">
        <v>0</v>
      </c>
      <c r="I14" s="1"/>
      <c r="J14" s="1"/>
      <c r="K14" s="1"/>
      <c r="L14" s="1"/>
    </row>
    <row r="15" ht="15" customHeight="1">
      <c r="A15" s="1"/>
      <c r="B15" s="56" t="s">
        <v>118</v>
      </c>
      <c r="C15" s="34" t="s">
        <v>38</v>
      </c>
      <c r="D15" s="34" t="s">
        <v>38</v>
      </c>
      <c r="E15" s="34" t="s">
        <v>38</v>
      </c>
      <c r="F15" s="34" t="s">
        <v>38</v>
      </c>
      <c r="G15" s="34" t="s">
        <v>38</v>
      </c>
      <c r="H15" s="32" t="s">
        <v>38</v>
      </c>
      <c r="I15" s="1"/>
      <c r="J15" s="1"/>
      <c r="K15" s="1"/>
      <c r="L15" s="1"/>
    </row>
    <row r="16" ht="15" customHeight="1">
      <c r="A16" s="1"/>
      <c r="B16" s="17" t="s">
        <v>207</v>
      </c>
      <c r="C16" s="22">
        <f>'Segment - Aeronautics Systems'!C132+'Segment - Defense Systems'!C132+'Segment - Mission Systems'!C132+'Segment - Space Systems'!C132</f>
        <v>504</v>
      </c>
      <c r="D16" s="22">
        <f>'Segment - Aeronautics Systems'!D132+'Segment - Defense Systems'!D132+'Segment - Mission Systems'!D132+'Segment - Space Systems'!D132</f>
        <v>546</v>
      </c>
      <c r="E16" s="22">
        <f>'Segment - Aeronautics Systems'!E132+'Segment - Defense Systems'!E132+'Segment - Mission Systems'!E132+'Segment - Space Systems'!E132</f>
        <v>1919</v>
      </c>
      <c r="F16" s="22">
        <f>'Segment - Aeronautics Systems'!F132+'Segment - Defense Systems'!F132+'Segment - Mission Systems'!F132+'Segment - Space Systems'!F132</f>
        <v>442</v>
      </c>
      <c r="G16" s="22">
        <f>'Segment - Aeronautics Systems'!G132+'Segment - Defense Systems'!G132+'Segment - Mission Systems'!G132+'Segment - Space Systems'!G132</f>
        <v>536</v>
      </c>
      <c r="H16" s="21">
        <f>'Segment - Aeronautics Systems'!H132+'Segment - Defense Systems'!H132+'Segment - Mission Systems'!H132+'Segment - Space Systems'!H132</f>
        <v>519.4749334087682</v>
      </c>
      <c r="I16" s="1"/>
      <c r="J16" s="1" t="s">
        <v>478</v>
      </c>
      <c r="K16" s="1"/>
      <c r="L16" s="1"/>
    </row>
    <row r="17" ht="15" customHeight="1">
      <c r="A17" s="1"/>
      <c r="B17" s="50" t="s">
        <v>111</v>
      </c>
      <c r="C17" s="42">
        <f>C16/(Inputs!C23+Inputs!C42+Inputs!C61+Inputs!C80)-1</f>
        <v>0.33333333333333326</v>
      </c>
      <c r="D17" s="42">
        <f>D16/(Inputs!E23+Inputs!E42+Inputs!E61+Inputs!E80)-1</f>
        <v>0.24657534246575352</v>
      </c>
      <c r="E17" s="42">
        <f>E16/(Inputs!F23+Inputs!F42+Inputs!F61+Inputs!F80)-1</f>
        <v>0.2364690721649485</v>
      </c>
      <c r="F17" s="42">
        <f>F16/(Inputs!G23+Inputs!G42+Inputs!G61+Inputs!G80)-1</f>
        <v>0.05995203836930463</v>
      </c>
      <c r="G17" s="42">
        <f>G16/(Inputs!H23+Inputs!H42+Inputs!H61+Inputs!H80)-1</f>
        <v>0.18584070796460184</v>
      </c>
      <c r="H17" s="49">
        <f t="shared" si="1"/>
        <v>0.03070423295390512</v>
      </c>
      <c r="I17" s="1"/>
      <c r="J17" s="1"/>
      <c r="K17" s="1"/>
      <c r="L17" s="1"/>
    </row>
    <row r="18" ht="15" customHeight="1">
      <c r="A18" s="1"/>
      <c r="B18" s="50" t="s">
        <v>112</v>
      </c>
      <c r="C18" s="42">
        <f>C16/(Inputs!H23+Inputs!H42+Inputs!H61+Inputs!H80)-1</f>
        <v>0.11504424778761058</v>
      </c>
      <c r="D18" s="24">
        <f t="shared" si="0"/>
        <v>0.08333333333333326</v>
      </c>
      <c r="E18" s="24"/>
      <c r="F18" s="24">
        <f t="shared" si="2"/>
        <v>-0.19047619047619047</v>
      </c>
      <c r="G18" s="24">
        <f t="shared" si="0"/>
        <v>0.21266968325791846</v>
      </c>
      <c r="H18" s="49">
        <f t="shared" si="0"/>
        <v>-0.03083034811796992</v>
      </c>
      <c r="I18" s="1"/>
      <c r="J18" s="1"/>
      <c r="K18" s="1"/>
      <c r="L18" s="1"/>
    </row>
    <row r="19" ht="15" customHeight="1">
      <c r="A19" s="1"/>
      <c r="B19" s="50" t="s">
        <v>119</v>
      </c>
      <c r="C19" s="24" t="s">
        <v>38</v>
      </c>
      <c r="D19" s="24" t="s">
        <v>38</v>
      </c>
      <c r="E19" s="24" t="s">
        <v>38</v>
      </c>
      <c r="F19" s="24" t="s">
        <v>38</v>
      </c>
      <c r="G19" s="24" t="s">
        <v>38</v>
      </c>
      <c r="H19" s="49">
        <f t="shared" si="3"/>
        <v>0.03070423295390512</v>
      </c>
      <c r="I19" s="1"/>
      <c r="J19" s="1" t="s">
        <v>258</v>
      </c>
      <c r="K19" s="1"/>
      <c r="L19" s="1"/>
    </row>
    <row r="20" ht="15" customHeight="1">
      <c r="A20" s="1"/>
      <c r="B20" s="50" t="s">
        <v>117</v>
      </c>
      <c r="C20" s="24" t="s">
        <v>38</v>
      </c>
      <c r="D20" s="24" t="s">
        <v>38</v>
      </c>
      <c r="E20" s="24" t="s">
        <v>38</v>
      </c>
      <c r="F20" s="24" t="s">
        <v>38</v>
      </c>
      <c r="G20" s="24" t="s">
        <v>38</v>
      </c>
      <c r="H20" s="57">
        <v>0</v>
      </c>
      <c r="I20" s="1"/>
      <c r="J20" s="1"/>
      <c r="K20" s="1"/>
      <c r="L20" s="1"/>
    </row>
    <row r="21" ht="15" customHeight="1">
      <c r="A21" s="1"/>
      <c r="B21" s="56" t="s">
        <v>118</v>
      </c>
      <c r="C21" s="34" t="s">
        <v>38</v>
      </c>
      <c r="D21" s="34" t="s">
        <v>38</v>
      </c>
      <c r="E21" s="34" t="s">
        <v>38</v>
      </c>
      <c r="F21" s="34" t="s">
        <v>38</v>
      </c>
      <c r="G21" s="34" t="s">
        <v>38</v>
      </c>
      <c r="H21" s="32" t="s">
        <v>38</v>
      </c>
      <c r="I21" s="1"/>
      <c r="J21" s="1"/>
      <c r="K21" s="1"/>
      <c r="L21" s="1"/>
    </row>
    <row r="22" ht="15" customHeight="1">
      <c r="A22" s="1"/>
      <c r="B22" s="17" t="s">
        <v>209</v>
      </c>
      <c r="C22" s="22">
        <f>'Segment - Aeronautics Systems'!C138+'Segment - Defense Systems'!C138+'Segment - Mission Systems'!C138+'Segment - Space Systems'!C138</f>
        <v>918</v>
      </c>
      <c r="D22" s="22">
        <f>'Segment - Aeronautics Systems'!D138+'Segment - Defense Systems'!D138+'Segment - Mission Systems'!D138+'Segment - Space Systems'!D138</f>
        <v>912</v>
      </c>
      <c r="E22" s="22">
        <f>'Segment - Aeronautics Systems'!E138+'Segment - Defense Systems'!E138+'Segment - Mission Systems'!E138+'Segment - Space Systems'!E138</f>
        <v>3286</v>
      </c>
      <c r="F22" s="22">
        <f>'Segment - Aeronautics Systems'!F138+'Segment - Defense Systems'!F138+'Segment - Mission Systems'!F138+'Segment - Space Systems'!F138</f>
        <v>686</v>
      </c>
      <c r="G22" s="22">
        <f>'Segment - Aeronautics Systems'!G138+'Segment - Defense Systems'!G138+'Segment - Mission Systems'!G138+'Segment - Space Systems'!G138</f>
        <v>828</v>
      </c>
      <c r="H22" s="21">
        <f>'Segment - Aeronautics Systems'!H138+'Segment - Defense Systems'!H138+'Segment - Mission Systems'!H138+'Segment - Space Systems'!H138</f>
        <v>805.6654914708246</v>
      </c>
      <c r="I22" s="1"/>
      <c r="J22" s="1" t="s">
        <v>478</v>
      </c>
      <c r="K22" s="1"/>
      <c r="L22" s="1"/>
    </row>
    <row r="23" ht="15" customHeight="1">
      <c r="A23" s="1"/>
      <c r="B23" s="50" t="s">
        <v>111</v>
      </c>
      <c r="C23" s="42">
        <f>C22/(Inputs!C24+Inputs!C43+Inputs!C62+Inputs!C81)-1</f>
        <v>0.3401459854014599</v>
      </c>
      <c r="D23" s="42">
        <f>D22/(Inputs!E24+Inputs!E43+Inputs!E62+Inputs!E81)-1</f>
        <v>0.12731767614338696</v>
      </c>
      <c r="E23" s="42">
        <f>E22/(Inputs!F24+Inputs!F43+Inputs!F62+Inputs!F81)-1</f>
        <v>0.15826577370461758</v>
      </c>
      <c r="F23" s="42">
        <f>F22/(Inputs!G24+Inputs!G43+Inputs!G62+Inputs!G81)-1</f>
        <v>-0.025568181818181768</v>
      </c>
      <c r="G23" s="42">
        <f>G22/(Inputs!H24+Inputs!H43+Inputs!H62+Inputs!H81)-1</f>
        <v>0.10106382978723394</v>
      </c>
      <c r="H23" s="49">
        <f t="shared" si="1"/>
        <v>-0.12236874567448308</v>
      </c>
      <c r="I23" s="1"/>
      <c r="J23" s="1"/>
      <c r="K23" s="1"/>
      <c r="L23" s="1"/>
    </row>
    <row r="24" ht="15" customHeight="1">
      <c r="A24" s="1"/>
      <c r="B24" s="50" t="s">
        <v>112</v>
      </c>
      <c r="C24" s="42">
        <f>C22/(Inputs!H24+Inputs!H43+Inputs!H62+Inputs!H81)-1</f>
        <v>0.2207446808510638</v>
      </c>
      <c r="D24" s="24">
        <f t="shared" si="0"/>
        <v>-0.006535947712418277</v>
      </c>
      <c r="E24" s="24"/>
      <c r="F24" s="24">
        <f t="shared" si="2"/>
        <v>-0.2478070175438597</v>
      </c>
      <c r="G24" s="24">
        <f t="shared" si="0"/>
        <v>0.20699708454810506</v>
      </c>
      <c r="H24" s="49">
        <f t="shared" si="0"/>
        <v>-0.026974044117361595</v>
      </c>
      <c r="I24" s="1"/>
      <c r="J24" s="1"/>
      <c r="K24" s="1"/>
      <c r="L24" s="1"/>
    </row>
    <row r="25" ht="15" customHeight="1">
      <c r="A25" s="1"/>
      <c r="B25" s="50" t="s">
        <v>119</v>
      </c>
      <c r="C25" s="24" t="s">
        <v>38</v>
      </c>
      <c r="D25" s="24" t="s">
        <v>38</v>
      </c>
      <c r="E25" s="24" t="s">
        <v>38</v>
      </c>
      <c r="F25" s="24" t="s">
        <v>38</v>
      </c>
      <c r="G25" s="24" t="s">
        <v>38</v>
      </c>
      <c r="H25" s="49">
        <f t="shared" si="3"/>
        <v>-0.12236874567448308</v>
      </c>
      <c r="I25" s="1"/>
      <c r="J25" s="1" t="s">
        <v>479</v>
      </c>
      <c r="K25" s="1"/>
      <c r="L25" s="1"/>
    </row>
    <row r="26" ht="15" customHeight="1">
      <c r="A26" s="1"/>
      <c r="B26" s="50" t="s">
        <v>117</v>
      </c>
      <c r="C26" s="24" t="s">
        <v>38</v>
      </c>
      <c r="D26" s="24" t="s">
        <v>38</v>
      </c>
      <c r="E26" s="24" t="s">
        <v>38</v>
      </c>
      <c r="F26" s="24" t="s">
        <v>38</v>
      </c>
      <c r="G26" s="24" t="s">
        <v>38</v>
      </c>
      <c r="H26" s="57">
        <v>0</v>
      </c>
      <c r="I26" s="1"/>
      <c r="J26" s="1"/>
      <c r="K26" s="1"/>
      <c r="L26" s="1"/>
    </row>
    <row r="27" ht="15" customHeight="1">
      <c r="A27" s="1"/>
      <c r="B27" s="56" t="s">
        <v>118</v>
      </c>
      <c r="C27" s="34" t="s">
        <v>38</v>
      </c>
      <c r="D27" s="34" t="s">
        <v>38</v>
      </c>
      <c r="E27" s="34" t="s">
        <v>38</v>
      </c>
      <c r="F27" s="34" t="s">
        <v>38</v>
      </c>
      <c r="G27" s="34" t="s">
        <v>38</v>
      </c>
      <c r="H27" s="32" t="s">
        <v>38</v>
      </c>
      <c r="I27" s="1"/>
      <c r="J27" s="1"/>
      <c r="K27" s="1"/>
      <c r="L27" s="1"/>
    </row>
    <row r="28" ht="15" customHeight="1">
      <c r="A28" s="1"/>
      <c r="B28" s="17" t="s">
        <v>211</v>
      </c>
      <c r="C28" s="22">
        <f>'Segment - Aeronautics Systems'!C144+'Segment - Defense Systems'!C144+'Segment - Mission Systems'!C144+'Segment - Space Systems'!C144</f>
        <v>181</v>
      </c>
      <c r="D28" s="22">
        <f>'Segment - Aeronautics Systems'!D144+'Segment - Defense Systems'!D144+'Segment - Mission Systems'!D144+'Segment - Space Systems'!D144</f>
        <v>242</v>
      </c>
      <c r="E28" s="22">
        <f>'Segment - Aeronautics Systems'!E144+'Segment - Defense Systems'!E144+'Segment - Mission Systems'!E144+'Segment - Space Systems'!E144</f>
        <v>785</v>
      </c>
      <c r="F28" s="22">
        <f>'Segment - Aeronautics Systems'!F144+'Segment - Defense Systems'!F144+'Segment - Mission Systems'!F144+'Segment - Space Systems'!F144</f>
        <v>153</v>
      </c>
      <c r="G28" s="22">
        <f>'Segment - Aeronautics Systems'!G144+'Segment - Defense Systems'!G144+'Segment - Mission Systems'!G144+'Segment - Space Systems'!G144</f>
        <v>179</v>
      </c>
      <c r="H28" s="21">
        <f>'Segment - Aeronautics Systems'!H144+'Segment - Defense Systems'!H144+'Segment - Mission Systems'!H144+'Segment - Space Systems'!H144</f>
        <v>179.22573238445358</v>
      </c>
      <c r="I28" s="1"/>
      <c r="J28" s="1" t="s">
        <v>478</v>
      </c>
      <c r="K28" s="1"/>
      <c r="L28" s="1"/>
    </row>
    <row r="29" ht="15" customHeight="1">
      <c r="A29" s="1"/>
      <c r="B29" s="50" t="s">
        <v>111</v>
      </c>
      <c r="C29" s="42">
        <f>C28/(Inputs!C25+Inputs!C44+Inputs!C63+Inputs!C82)-1</f>
        <v>0.16774193548387095</v>
      </c>
      <c r="D29" s="42">
        <f>D28/(Inputs!E25+Inputs!E44+Inputs!E63+Inputs!E82)-1</f>
        <v>0.2872340425531914</v>
      </c>
      <c r="E29" s="42">
        <f>E28/(Inputs!F25+Inputs!F44+Inputs!F63+Inputs!F82)-1</f>
        <v>0.28477905073649756</v>
      </c>
      <c r="F29" s="42">
        <f>F28/(Inputs!G25+Inputs!G44+Inputs!G63+Inputs!G82)-1</f>
        <v>-0.07272727272727275</v>
      </c>
      <c r="G29" s="42">
        <f>G28/(Inputs!H25+Inputs!H44+Inputs!H63+Inputs!H82)-1</f>
        <v>-0.09137055837563457</v>
      </c>
      <c r="H29" s="49">
        <f t="shared" si="1"/>
        <v>-0.00980258351130614</v>
      </c>
      <c r="I29" s="1"/>
      <c r="J29" s="1"/>
      <c r="K29" s="1"/>
      <c r="L29" s="1"/>
    </row>
    <row r="30" ht="15" customHeight="1">
      <c r="A30" s="1"/>
      <c r="B30" s="50" t="s">
        <v>112</v>
      </c>
      <c r="C30" s="42">
        <f>C28/(Inputs!H25+Inputs!H44+Inputs!H63+Inputs!H82)-1</f>
        <v>-0.08121827411167515</v>
      </c>
      <c r="D30" s="24">
        <f t="shared" si="0"/>
        <v>0.3370165745856353</v>
      </c>
      <c r="E30" s="24"/>
      <c r="F30" s="24">
        <f t="shared" si="2"/>
        <v>-0.3677685950413223</v>
      </c>
      <c r="G30" s="24">
        <f t="shared" si="0"/>
        <v>0.16993464052287588</v>
      </c>
      <c r="H30" s="49">
        <f t="shared" si="0"/>
        <v>0.0012610747734835837</v>
      </c>
      <c r="I30" s="1"/>
      <c r="J30" s="1"/>
      <c r="K30" s="1"/>
      <c r="L30" s="1"/>
    </row>
    <row r="31" ht="15" customHeight="1">
      <c r="A31" s="1"/>
      <c r="B31" s="50" t="s">
        <v>119</v>
      </c>
      <c r="C31" s="24" t="s">
        <v>38</v>
      </c>
      <c r="D31" s="24" t="s">
        <v>38</v>
      </c>
      <c r="E31" s="24" t="s">
        <v>38</v>
      </c>
      <c r="F31" s="24" t="s">
        <v>38</v>
      </c>
      <c r="G31" s="24" t="s">
        <v>38</v>
      </c>
      <c r="H31" s="49">
        <f t="shared" si="3"/>
        <v>-0.00980258351130614</v>
      </c>
      <c r="I31" s="1"/>
      <c r="J31" s="1" t="s">
        <v>480</v>
      </c>
      <c r="K31" s="1"/>
      <c r="L31" s="1"/>
    </row>
    <row r="32" ht="15" customHeight="1">
      <c r="A32" s="1"/>
      <c r="B32" s="50" t="s">
        <v>117</v>
      </c>
      <c r="C32" s="24" t="s">
        <v>38</v>
      </c>
      <c r="D32" s="24" t="s">
        <v>38</v>
      </c>
      <c r="E32" s="24" t="s">
        <v>38</v>
      </c>
      <c r="F32" s="24" t="s">
        <v>38</v>
      </c>
      <c r="G32" s="24" t="s">
        <v>38</v>
      </c>
      <c r="H32" s="57">
        <v>0</v>
      </c>
      <c r="I32" s="1"/>
      <c r="J32" s="1"/>
      <c r="K32" s="1"/>
      <c r="L32" s="1"/>
    </row>
    <row r="33" ht="15" customHeight="1">
      <c r="A33" s="1"/>
      <c r="B33" s="56" t="s">
        <v>118</v>
      </c>
      <c r="C33" s="34" t="s">
        <v>38</v>
      </c>
      <c r="D33" s="34" t="s">
        <v>38</v>
      </c>
      <c r="E33" s="34" t="s">
        <v>38</v>
      </c>
      <c r="F33" s="34" t="s">
        <v>38</v>
      </c>
      <c r="G33" s="34" t="s">
        <v>38</v>
      </c>
      <c r="H33" s="32" t="s">
        <v>38</v>
      </c>
      <c r="I33" s="1"/>
      <c r="J33" s="1"/>
      <c r="K33" s="1"/>
      <c r="L33" s="1"/>
    </row>
    <row r="34" ht="15" customHeight="1">
      <c r="A34" s="1"/>
      <c r="B34" s="4" t="s">
        <v>481</v>
      </c>
      <c r="C34" s="46">
        <f t="shared" si="4" ref="C34:H34">C10+C16+C22+C28</f>
        <v>10423</v>
      </c>
      <c r="D34" s="46">
        <f t="shared" si="4"/>
        <v>11712</v>
      </c>
      <c r="E34" s="46">
        <f t="shared" si="4"/>
        <v>41954</v>
      </c>
      <c r="F34" s="46">
        <f t="shared" si="4"/>
        <v>9881</v>
      </c>
      <c r="G34" s="46">
        <f t="shared" si="4"/>
        <v>10876</v>
      </c>
      <c r="H34" s="47">
        <f t="shared" si="4"/>
        <v>11137.320146</v>
      </c>
      <c r="I34" s="1"/>
      <c r="J34" s="1"/>
      <c r="K34" s="1"/>
      <c r="L34" s="1"/>
    </row>
    <row r="35" ht="15" customHeight="1">
      <c r="A35" s="1"/>
      <c r="B35" s="17" t="s">
        <v>482</v>
      </c>
      <c r="C35" s="22">
        <f>C34-'Revenue summary'!C15</f>
        <v>0</v>
      </c>
      <c r="D35" s="22">
        <f>D34-'Revenue summary'!D15</f>
        <v>0</v>
      </c>
      <c r="E35" s="22">
        <f>E34-'Revenue summary'!E15</f>
        <v>0</v>
      </c>
      <c r="F35" s="22">
        <f>F34-'Revenue summary'!F15</f>
        <v>0</v>
      </c>
      <c r="G35" s="22">
        <f>G34-'Revenue summary'!G15</f>
        <v>0</v>
      </c>
      <c r="H35" s="21">
        <f>H34-'Revenue summary'!H15</f>
        <v>0</v>
      </c>
      <c r="I35" s="1"/>
      <c r="J35" s="1"/>
      <c r="K35" s="1"/>
      <c r="L35" s="1"/>
    </row>
    <row r="36" ht="15" customHeight="1">
      <c r="A36" s="1"/>
      <c r="B36" s="1"/>
      <c r="C36" s="1"/>
      <c r="D36" s="1"/>
      <c r="E36" s="1"/>
      <c r="F36" s="1"/>
      <c r="G36" s="1"/>
      <c r="H36" s="45"/>
      <c r="I36" s="1"/>
      <c r="J36" s="1"/>
      <c r="K36" s="1"/>
      <c r="L36" s="1"/>
    </row>
    <row r="37" ht="15" customHeight="1">
      <c r="A37" s="1"/>
      <c r="B37" s="4" t="s">
        <v>483</v>
      </c>
      <c r="C37" s="34"/>
      <c r="D37" s="34"/>
      <c r="E37" s="34"/>
      <c r="F37" s="34"/>
      <c r="G37" s="34"/>
      <c r="H37" s="32"/>
      <c r="I37" s="1"/>
      <c r="J37" s="1"/>
      <c r="K37" s="1"/>
      <c r="L37" s="1"/>
    </row>
    <row r="38" ht="15" customHeight="1">
      <c r="A38" s="1"/>
      <c r="B38" s="35" t="s">
        <v>484</v>
      </c>
      <c r="C38" s="24">
        <f t="shared" si="5" ref="C38:H38">C10/C34</f>
        <v>0.8462055070517126</v>
      </c>
      <c r="D38" s="24">
        <f t="shared" si="5"/>
        <v>0.8548497267759563</v>
      </c>
      <c r="E38" s="24">
        <f t="shared" si="5"/>
        <v>0.8572245793011394</v>
      </c>
      <c r="F38" s="24">
        <f t="shared" si="5"/>
        <v>0.8703572512903552</v>
      </c>
      <c r="G38" s="24">
        <f t="shared" si="5"/>
        <v>0.8581279882309673</v>
      </c>
      <c r="H38" s="49">
        <f t="shared" si="5"/>
        <v>0.8649256609720118</v>
      </c>
      <c r="I38" s="1"/>
      <c r="J38" s="1"/>
      <c r="K38" s="1"/>
      <c r="L38" s="1"/>
    </row>
    <row r="39" ht="15" customHeight="1">
      <c r="A39" s="1"/>
      <c r="B39" s="50" t="s">
        <v>114</v>
      </c>
      <c r="C39" s="52">
        <f>(C38-((Inputs!C22+Inputs!C41+Inputs!C60+Inputs!C79)/((Inputs!C22+Inputs!C41+Inputs!C60+Inputs!C79)+(Inputs!C23+Inputs!C42+Inputs!C61+Inputs!C80)+(Inputs!C24+Inputs!C43+Inputs!C62+Inputs!C81)+(Inputs!C25+Inputs!C44+Inputs!C63+Inputs!C82))))*10000</f>
        <v>-319.45753452489066</v>
      </c>
      <c r="D39" s="52">
        <f>(D38-((Inputs!E22+Inputs!E41+Inputs!E60+Inputs!E79)/((Inputs!E22+Inputs!E41+Inputs!E60+Inputs!E79)+(Inputs!E23+Inputs!E42+Inputs!E61+Inputs!E80)+(Inputs!E24+Inputs!E43+Inputs!E62+Inputs!E81)+(Inputs!E25+Inputs!E44+Inputs!E63+Inputs!E82))))*10000</f>
        <v>-108.62419958088232</v>
      </c>
      <c r="E39" s="52">
        <f>(E38-((Inputs!F22+Inputs!F41+Inputs!F60+Inputs!F79)/((Inputs!F22+Inputs!F41+Inputs!F60+Inputs!F79)+(Inputs!F23+Inputs!F42+Inputs!F61+Inputs!F80)+(Inputs!F24+Inputs!F43+Inputs!F62+Inputs!F81)+(Inputs!F25+Inputs!F44+Inputs!F63+Inputs!F82))))*10000</f>
        <v>-209.22278106313198</v>
      </c>
      <c r="F39" s="52">
        <f>(F38-((Inputs!G22+Inputs!G41+Inputs!G60+Inputs!G79)/((Inputs!G22+Inputs!G41+Inputs!G60+Inputs!G79)+(Inputs!G23+Inputs!G42+Inputs!G61+Inputs!G80)+(Inputs!G24+Inputs!G43+Inputs!G62+Inputs!G81)+(Inputs!G25+Inputs!G44+Inputs!G63+Inputs!G82))))*10000</f>
        <v>61.83191298804736</v>
      </c>
      <c r="G39" s="52">
        <f>(G38-((Inputs!H22+Inputs!H41+Inputs!H60+Inputs!H79)/((Inputs!H22+Inputs!H41+Inputs!H60+Inputs!H79)+(Inputs!H23+Inputs!H42+Inputs!H61+Inputs!H80)+(Inputs!H24+Inputs!H43+Inputs!H62+Inputs!H81)+(Inputs!H25+Inputs!H44+Inputs!H63+Inputs!H82))))*10000</f>
        <v>-65.22770149865464</v>
      </c>
      <c r="H39" s="53">
        <f t="shared" si="8" ref="H39:H48">(H38-C38)*10000</f>
        <v>187.20153920299242</v>
      </c>
      <c r="I39" s="1"/>
      <c r="J39" s="1"/>
      <c r="K39" s="1"/>
      <c r="L39" s="1"/>
    </row>
    <row r="40" ht="15" customHeight="1">
      <c r="A40" s="1"/>
      <c r="B40" s="50" t="s">
        <v>115</v>
      </c>
      <c r="C40" s="52">
        <f>(C38-((Inputs!H22+Inputs!H41+Inputs!H60+Inputs!H79)/((Inputs!H22+Inputs!H41+Inputs!H60+Inputs!H79)+(Inputs!H23+Inputs!H42+Inputs!H61+Inputs!H80)+(Inputs!H24+Inputs!H43+Inputs!H62+Inputs!H81)+(Inputs!H25+Inputs!H44+Inputs!H63+Inputs!H82))))*10000</f>
        <v>-184.45251329120117</v>
      </c>
      <c r="D40" s="54">
        <f t="shared" si="6" ref="D40:H49">(D38-C38)*10000</f>
        <v>86.44219724243673</v>
      </c>
      <c r="E40" s="54"/>
      <c r="F40" s="54">
        <f t="shared" si="9" ref="F40:F49">(F38-D38)*10000</f>
        <v>155.07524514398963</v>
      </c>
      <c r="G40" s="54">
        <f t="shared" si="6"/>
        <v>-122.29263059387985</v>
      </c>
      <c r="H40" s="53">
        <f t="shared" si="6"/>
        <v>67.97672741044592</v>
      </c>
      <c r="I40" s="1"/>
      <c r="J40" s="1"/>
      <c r="K40" s="1"/>
      <c r="L40" s="1"/>
    </row>
    <row r="41" ht="15" customHeight="1">
      <c r="A41" s="1"/>
      <c r="B41" s="35" t="s">
        <v>485</v>
      </c>
      <c r="C41" s="24">
        <f t="shared" si="7" ref="C41:H41">C16/C34</f>
        <v>0.048354600402955</v>
      </c>
      <c r="D41" s="24">
        <f t="shared" si="7"/>
        <v>0.0466188524590164</v>
      </c>
      <c r="E41" s="24">
        <f t="shared" si="7"/>
        <v>0.04574057300853315</v>
      </c>
      <c r="F41" s="24">
        <f t="shared" si="7"/>
        <v>0.044732314543062444</v>
      </c>
      <c r="G41" s="24">
        <f t="shared" si="7"/>
        <v>0.04928282456785583</v>
      </c>
      <c r="H41" s="49">
        <f t="shared" si="7"/>
        <v>0.046642722539976464</v>
      </c>
      <c r="I41" s="1"/>
      <c r="J41" s="1"/>
      <c r="K41" s="1"/>
      <c r="L41" s="1"/>
    </row>
    <row r="42" ht="15" customHeight="1">
      <c r="A42" s="1"/>
      <c r="B42" s="50" t="s">
        <v>114</v>
      </c>
      <c r="C42" s="52">
        <f>(C41-((Inputs!C23+Inputs!C42+Inputs!C61+Inputs!C80)/((Inputs!C22+Inputs!C41+Inputs!C60+Inputs!C79)+(Inputs!C23+Inputs!C42+Inputs!C61+Inputs!C80)+(Inputs!C24+Inputs!C43+Inputs!C62+Inputs!C81)+(Inputs!C25+Inputs!C44+Inputs!C63+Inputs!C82))))*10000</f>
        <v>105.39474352534835</v>
      </c>
      <c r="D42" s="52">
        <f>(D41-((Inputs!E23+Inputs!E42+Inputs!E61+Inputs!E80)/((Inputs!E22+Inputs!E41+Inputs!E60+Inputs!E79)+(Inputs!E23+Inputs!E42+Inputs!E61+Inputs!E80)+(Inputs!E24+Inputs!E43+Inputs!E62+Inputs!E81)+(Inputs!E25+Inputs!E44+Inputs!E63+Inputs!E82))))*10000</f>
        <v>56.30643587595845</v>
      </c>
      <c r="E42" s="52">
        <f>(E41-((Inputs!F23+Inputs!F42+Inputs!F61+Inputs!F80)/((Inputs!F22+Inputs!F41+Inputs!F60+Inputs!F79)+(Inputs!F23+Inputs!F42+Inputs!F61+Inputs!F80)+(Inputs!F24+Inputs!F43+Inputs!F62+Inputs!F81)+(Inputs!F25+Inputs!F44+Inputs!F63+Inputs!F82))))*10000</f>
        <v>79.17357547806418</v>
      </c>
      <c r="F42" s="52">
        <f>(F41-((Inputs!G23+Inputs!G42+Inputs!G61+Inputs!G80)/((Inputs!G22+Inputs!G41+Inputs!G60+Inputs!G79)+(Inputs!G23+Inputs!G42+Inputs!G61+Inputs!G80)+(Inputs!G24+Inputs!G43+Inputs!G62+Inputs!G81)+(Inputs!G25+Inputs!G44+Inputs!G63+Inputs!G82))))*10000</f>
        <v>6.8922202088247255</v>
      </c>
      <c r="G42" s="52">
        <f>(G41-((Inputs!H23+Inputs!H42+Inputs!H61+Inputs!H80)/((Inputs!H22+Inputs!H41+Inputs!H60+Inputs!H79)+(Inputs!H23+Inputs!H42+Inputs!H61+Inputs!H80)+(Inputs!H24+Inputs!H43+Inputs!H62+Inputs!H81)+(Inputs!H25+Inputs!H44+Inputs!H63+Inputs!H82))))*10000</f>
        <v>56.155460440417066</v>
      </c>
      <c r="H42" s="53">
        <f t="shared" si="8"/>
        <v>-17.118778629785364</v>
      </c>
      <c r="I42" s="1"/>
      <c r="J42" s="1"/>
      <c r="K42" s="1"/>
      <c r="L42" s="1"/>
    </row>
    <row r="43" ht="15" customHeight="1">
      <c r="A43" s="1"/>
      <c r="B43" s="50" t="s">
        <v>115</v>
      </c>
      <c r="C43" s="52">
        <f>(C41-((Inputs!H23+Inputs!H42+Inputs!H61+Inputs!H80)/((Inputs!H22+Inputs!H41+Inputs!H60+Inputs!H79)+(Inputs!H23+Inputs!H42+Inputs!H61+Inputs!H80)+(Inputs!H24+Inputs!H43+Inputs!H62+Inputs!H81)+(Inputs!H25+Inputs!H44+Inputs!H63+Inputs!H82))))*10000</f>
        <v>46.873218791408796</v>
      </c>
      <c r="D43" s="54">
        <f t="shared" si="6"/>
        <v>-17.357479439386037</v>
      </c>
      <c r="E43" s="54"/>
      <c r="F43" s="54">
        <f t="shared" si="9"/>
        <v>-18.865379159539522</v>
      </c>
      <c r="G43" s="54">
        <f t="shared" si="6"/>
        <v>45.50510024793383</v>
      </c>
      <c r="H43" s="53">
        <f t="shared" si="6"/>
        <v>-26.401020278793638</v>
      </c>
      <c r="I43" s="1"/>
      <c r="J43" s="1"/>
      <c r="K43" s="1"/>
      <c r="L43" s="1"/>
    </row>
    <row r="44" ht="15" customHeight="1">
      <c r="A44" s="1"/>
      <c r="B44" s="35" t="s">
        <v>486</v>
      </c>
      <c r="C44" s="24">
        <f t="shared" si="10" ref="C44:H44">C22/C34</f>
        <v>0.08807445073395376</v>
      </c>
      <c r="D44" s="24">
        <f t="shared" si="10"/>
        <v>0.0778688524590164</v>
      </c>
      <c r="E44" s="24">
        <f t="shared" si="10"/>
        <v>0.07832387853363207</v>
      </c>
      <c r="F44" s="24">
        <f t="shared" si="10"/>
        <v>0.06942617144013764</v>
      </c>
      <c r="G44" s="24">
        <f t="shared" si="10"/>
        <v>0.07613093048915043</v>
      </c>
      <c r="H44" s="49">
        <f t="shared" si="10"/>
        <v>0.07233925943667711</v>
      </c>
      <c r="I44" s="1"/>
      <c r="J44" s="1"/>
      <c r="K44" s="1"/>
      <c r="L44" s="1"/>
    </row>
    <row r="45" ht="15" customHeight="1">
      <c r="A45" s="1"/>
      <c r="B45" s="50" t="s">
        <v>114</v>
      </c>
      <c r="C45" s="52">
        <f>(C44-((Inputs!C24+Inputs!C43+Inputs!C62+Inputs!C81)/((Inputs!C22+Inputs!C41+Inputs!C60+Inputs!C79)+(Inputs!C23+Inputs!C42+Inputs!C61+Inputs!C80)+(Inputs!C24+Inputs!C43+Inputs!C62+Inputs!C81)+(Inputs!C25+Inputs!C44+Inputs!C63+Inputs!C82))))*10000</f>
        <v>195.47039769568008</v>
      </c>
      <c r="D45" s="52">
        <f>(D44-((Inputs!E24+Inputs!E43+Inputs!E62+Inputs!E81)/((Inputs!E22+Inputs!E41+Inputs!E60+Inputs!E79)+(Inputs!E23+Inputs!E42+Inputs!E61+Inputs!E80)+(Inputs!E24+Inputs!E43+Inputs!E62+Inputs!E81)+(Inputs!E25+Inputs!E44+Inputs!E63+Inputs!E82))))*10000</f>
        <v>21.62320548104918</v>
      </c>
      <c r="E45" s="52">
        <f>(E44-((Inputs!F24+Inputs!F43+Inputs!F62+Inputs!F81)/((Inputs!F22+Inputs!F41+Inputs!F60+Inputs!F79)+(Inputs!F23+Inputs!F42+Inputs!F61+Inputs!F80)+(Inputs!F24+Inputs!F43+Inputs!F62+Inputs!F81)+(Inputs!F25+Inputs!F44+Inputs!F63+Inputs!F82))))*10000</f>
        <v>91.84405426620634</v>
      </c>
      <c r="F45" s="52">
        <f>(F44-((Inputs!G24+Inputs!G43+Inputs!G62+Inputs!G81)/((Inputs!G22+Inputs!G41+Inputs!G60+Inputs!G79)+(Inputs!G23+Inputs!G42+Inputs!G61+Inputs!G80)+(Inputs!G24+Inputs!G43+Inputs!G62+Inputs!G81)+(Inputs!G25+Inputs!G44+Inputs!G63+Inputs!G82))))*10000</f>
        <v>-49.29553105700965</v>
      </c>
      <c r="G45" s="52">
        <f>(G44-((Inputs!H24+Inputs!H43+Inputs!H62+Inputs!H81)/((Inputs!H22+Inputs!H41+Inputs!H60+Inputs!H79)+(Inputs!H23+Inputs!H42+Inputs!H61+Inputs!H80)+(Inputs!H24+Inputs!H43+Inputs!H62+Inputs!H81)+(Inputs!H25+Inputs!H44+Inputs!H63+Inputs!H82))))*10000</f>
        <v>34.80944980503914</v>
      </c>
      <c r="H45" s="53">
        <f t="shared" si="8"/>
        <v>-157.35191297276643</v>
      </c>
      <c r="I45" s="1"/>
      <c r="J45" s="1"/>
      <c r="K45" s="1"/>
      <c r="L45" s="1"/>
    </row>
    <row r="46" ht="15" customHeight="1">
      <c r="A46" s="1"/>
      <c r="B46" s="50" t="s">
        <v>115</v>
      </c>
      <c r="C46" s="52">
        <f>(C44-((Inputs!H24+Inputs!H43+Inputs!H62+Inputs!H81)/((Inputs!H22+Inputs!H41+Inputs!H60+Inputs!H79)+(Inputs!H23+Inputs!H42+Inputs!H61+Inputs!H80)+(Inputs!H24+Inputs!H43+Inputs!H62+Inputs!H81)+(Inputs!H25+Inputs!H44+Inputs!H63+Inputs!H82))))*10000</f>
        <v>154.24465225307245</v>
      </c>
      <c r="D46" s="54">
        <f t="shared" si="6"/>
        <v>-102.05598274937361</v>
      </c>
      <c r="E46" s="54"/>
      <c r="F46" s="54">
        <f t="shared" si="9"/>
        <v>-84.42681018878753</v>
      </c>
      <c r="G46" s="54">
        <f t="shared" si="6"/>
        <v>67.04759049012785</v>
      </c>
      <c r="H46" s="53">
        <f t="shared" si="6"/>
        <v>-37.91671052473314</v>
      </c>
      <c r="I46" s="1"/>
      <c r="J46" s="1"/>
      <c r="K46" s="1"/>
      <c r="L46" s="1"/>
    </row>
    <row r="47" ht="15" customHeight="1">
      <c r="A47" s="1"/>
      <c r="B47" s="35" t="s">
        <v>487</v>
      </c>
      <c r="C47" s="24">
        <f t="shared" si="11" ref="C47:H47">C28/C34</f>
        <v>0.017365441811378682</v>
      </c>
      <c r="D47" s="24">
        <f t="shared" si="11"/>
        <v>0.020662568306010928</v>
      </c>
      <c r="E47" s="24">
        <f t="shared" si="11"/>
        <v>0.01871096915669543</v>
      </c>
      <c r="F47" s="24">
        <f t="shared" si="11"/>
        <v>0.015484262726444691</v>
      </c>
      <c r="G47" s="24">
        <f t="shared" si="11"/>
        <v>0.01645825671202648</v>
      </c>
      <c r="H47" s="49">
        <f t="shared" si="11"/>
        <v>0.016092357051334563</v>
      </c>
      <c r="I47" s="1"/>
      <c r="J47" s="1"/>
      <c r="K47" s="1"/>
      <c r="L47" s="1"/>
    </row>
    <row r="48" ht="15" customHeight="1">
      <c r="A48" s="1"/>
      <c r="B48" s="50" t="s">
        <v>114</v>
      </c>
      <c r="C48" s="52">
        <f>(C47-((Inputs!C25+Inputs!C44+Inputs!C63+Inputs!C82)/((Inputs!C22+Inputs!C41+Inputs!C60+Inputs!C79)+(Inputs!C23+Inputs!C42+Inputs!C61+Inputs!C80)+(Inputs!C24+Inputs!C43+Inputs!C62+Inputs!C81)+(Inputs!C25+Inputs!C44+Inputs!C63+Inputs!C82))))*10000</f>
        <v>18.592393303862845</v>
      </c>
      <c r="D48" s="52">
        <f>(D47-((Inputs!E25+Inputs!E44+Inputs!E63+Inputs!E82)/((Inputs!E22+Inputs!E41+Inputs!E60+Inputs!E79)+(Inputs!E23+Inputs!E42+Inputs!E61+Inputs!E80)+(Inputs!E24+Inputs!E43+Inputs!E62+Inputs!E81)+(Inputs!E25+Inputs!E44+Inputs!E63+Inputs!E82))))*10000</f>
        <v>30.694558223874935</v>
      </c>
      <c r="E48" s="52">
        <f>(E47-((Inputs!F25+Inputs!F44+Inputs!F63+Inputs!F82)/((Inputs!F22+Inputs!F41+Inputs!F60+Inputs!F79)+(Inputs!F23+Inputs!F42+Inputs!F61+Inputs!F80)+(Inputs!F24+Inputs!F43+Inputs!F62+Inputs!F81)+(Inputs!F25+Inputs!F44+Inputs!F63+Inputs!F82))))*10000</f>
        <v>38.20515131886129</v>
      </c>
      <c r="F48" s="52">
        <f>(F47-((Inputs!G25+Inputs!G44+Inputs!G63+Inputs!G82)/((Inputs!G22+Inputs!G41+Inputs!G60+Inputs!G79)+(Inputs!G23+Inputs!G42+Inputs!G61+Inputs!G80)+(Inputs!G24+Inputs!G43+Inputs!G62+Inputs!G81)+(Inputs!G25+Inputs!G44+Inputs!G63+Inputs!G82))))*10000</f>
        <v>-19.428602139862328</v>
      </c>
      <c r="G48" s="52">
        <f>(G47-((Inputs!H25+Inputs!H44+Inputs!H63+Inputs!H82)/((Inputs!H22+Inputs!H41+Inputs!H60+Inputs!H79)+(Inputs!H23+Inputs!H42+Inputs!H61+Inputs!H80)+(Inputs!H24+Inputs!H43+Inputs!H62+Inputs!H81)+(Inputs!H25+Inputs!H44+Inputs!H63+Inputs!H82))))*10000</f>
        <v>-25.73720874680118</v>
      </c>
      <c r="H48" s="53">
        <f t="shared" si="8"/>
        <v>-12.730847600441187</v>
      </c>
      <c r="I48" s="1"/>
      <c r="J48" s="1"/>
      <c r="K48" s="1"/>
      <c r="L48" s="1"/>
    </row>
    <row r="49" ht="15" customHeight="1">
      <c r="A49" s="1"/>
      <c r="B49" s="50" t="s">
        <v>115</v>
      </c>
      <c r="C49" s="52">
        <f>(C47-((Inputs!H25+Inputs!H44+Inputs!H63+Inputs!H82)/((Inputs!H22+Inputs!H41+Inputs!H60+Inputs!H79)+(Inputs!H23+Inputs!H42+Inputs!H61+Inputs!H80)+(Inputs!H24+Inputs!H43+Inputs!H62+Inputs!H81)+(Inputs!H25+Inputs!H44+Inputs!H63+Inputs!H82))))*10000</f>
        <v>-16.665357753279167</v>
      </c>
      <c r="D49" s="54">
        <f t="shared" si="6"/>
        <v>32.97126494632246</v>
      </c>
      <c r="E49" s="54"/>
      <c r="F49" s="54">
        <f t="shared" si="9"/>
        <v>-51.783055795662364</v>
      </c>
      <c r="G49" s="54">
        <f t="shared" si="6"/>
        <v>9.739939855817891</v>
      </c>
      <c r="H49" s="53">
        <f t="shared" si="6"/>
        <v>-3.6589966069191724</v>
      </c>
      <c r="I49" s="1"/>
      <c r="J49" s="1"/>
      <c r="K49" s="1"/>
      <c r="L49" s="1"/>
    </row>
    <row r="50" ht="15" customHeight="1">
      <c r="A50" s="1"/>
      <c r="B50" s="4" t="s">
        <v>488</v>
      </c>
      <c r="C50" s="46">
        <f t="shared" si="12" ref="C50:H50">C34-C10</f>
        <v>1603</v>
      </c>
      <c r="D50" s="46">
        <f t="shared" si="12"/>
        <v>1700</v>
      </c>
      <c r="E50" s="46">
        <f t="shared" si="12"/>
        <v>5990</v>
      </c>
      <c r="F50" s="46">
        <f t="shared" si="12"/>
        <v>1281</v>
      </c>
      <c r="G50" s="46">
        <f t="shared" si="12"/>
        <v>1543</v>
      </c>
      <c r="H50" s="47">
        <f t="shared" si="12"/>
        <v>1504.3661572640467</v>
      </c>
      <c r="I50" s="1"/>
      <c r="J50" s="1"/>
      <c r="K50" s="1"/>
      <c r="L50" s="1"/>
    </row>
    <row r="51" ht="15" customHeight="1">
      <c r="A51" s="1"/>
      <c r="B51" s="50" t="s">
        <v>111</v>
      </c>
      <c r="C51" s="42">
        <f>C50/(((Inputs!C22+Inputs!C41+Inputs!C60+Inputs!C79)+(Inputs!C23+Inputs!C42+Inputs!C61+Inputs!C80)+(Inputs!C24+Inputs!C43+Inputs!C62+Inputs!C81)+(Inputs!C25+Inputs!C44+Inputs!C63+Inputs!C82))-(Inputs!C22+Inputs!C41+Inputs!C60+Inputs!C79))-1</f>
        <v>0.3160919540229885</v>
      </c>
      <c r="D51" s="42">
        <f>D50/(((Inputs!E22+Inputs!E41+Inputs!E60+Inputs!E79)+(Inputs!E23+Inputs!E42+Inputs!E61+Inputs!E80)+(Inputs!E24+Inputs!E43+Inputs!E62+Inputs!E81)+(Inputs!E25+Inputs!E44+Inputs!E63+Inputs!E82))-(Inputs!E22+Inputs!E41+Inputs!E60+Inputs!E79))-1</f>
        <v>0.18466898954703836</v>
      </c>
      <c r="E51" s="42">
        <f>E50/(((Inputs!F22+Inputs!F41+Inputs!F60+Inputs!F79)+(Inputs!F23+Inputs!F42+Inputs!F61+Inputs!F80)+(Inputs!F24+Inputs!F43+Inputs!F62+Inputs!F81)+(Inputs!F25+Inputs!F44+Inputs!F63+Inputs!F82))-(Inputs!F22+Inputs!F41+Inputs!F60+Inputs!F79))-1</f>
        <v>0.19799999999999995</v>
      </c>
      <c r="F51" s="42">
        <f>F50/(((Inputs!G22+Inputs!G41+Inputs!G60+Inputs!G79)+(Inputs!G23+Inputs!G42+Inputs!G61+Inputs!G80)+(Inputs!G24+Inputs!G43+Inputs!G62+Inputs!G81)+(Inputs!G25+Inputs!G44+Inputs!G63+Inputs!G82))-(Inputs!G22+Inputs!G41+Inputs!G60+Inputs!G79))-1</f>
        <v>-0.0038880248833592645</v>
      </c>
      <c r="G51" s="42">
        <f>G50/(((Inputs!H22+Inputs!H41+Inputs!H60+Inputs!H79)+(Inputs!H23+Inputs!H42+Inputs!H61+Inputs!H80)+(Inputs!H24+Inputs!H43+Inputs!H62+Inputs!H81)+(Inputs!H25+Inputs!H44+Inputs!H63+Inputs!H82))-(Inputs!H22+Inputs!H41+Inputs!H60+Inputs!H79))-1</f>
        <v>0.10135617416131337</v>
      </c>
      <c r="H51" s="49">
        <f t="shared" si="1"/>
        <v>-0.061530781494668285</v>
      </c>
      <c r="I51" s="1"/>
      <c r="J51" s="1"/>
      <c r="K51" s="1"/>
      <c r="L51" s="1"/>
    </row>
    <row r="52" ht="15" customHeight="1">
      <c r="A52" s="1"/>
      <c r="B52" s="50" t="s">
        <v>112</v>
      </c>
      <c r="C52" s="42">
        <f>C50/(((Inputs!H22+Inputs!H41+Inputs!H60+Inputs!H79)+(Inputs!H23+Inputs!H42+Inputs!H61+Inputs!H80)+(Inputs!H24+Inputs!H43+Inputs!H62+Inputs!H81)+(Inputs!H25+Inputs!H44+Inputs!H63+Inputs!H82))-(Inputs!H22+Inputs!H41+Inputs!H60+Inputs!H79))-1</f>
        <v>0.14418272662384002</v>
      </c>
      <c r="D52" s="24">
        <f t="shared" si="0"/>
        <v>0.06051154086088584</v>
      </c>
      <c r="E52" s="24"/>
      <c r="F52" s="24">
        <f t="shared" si="2"/>
        <v>-0.2464705882352941</v>
      </c>
      <c r="G52" s="24">
        <f t="shared" si="0"/>
        <v>0.20452771272443404</v>
      </c>
      <c r="H52" s="49">
        <f t="shared" si="0"/>
        <v>-0.02503813527929577</v>
      </c>
      <c r="I52" s="1"/>
      <c r="J52" s="1"/>
      <c r="K52" s="1"/>
      <c r="L52" s="1"/>
    </row>
    <row r="53" ht="15" customHeight="1">
      <c r="A53" s="1"/>
      <c r="B53" s="50" t="s">
        <v>119</v>
      </c>
      <c r="C53" s="24" t="s">
        <v>38</v>
      </c>
      <c r="D53" s="24" t="s">
        <v>38</v>
      </c>
      <c r="E53" s="24" t="s">
        <v>38</v>
      </c>
      <c r="F53" s="24" t="s">
        <v>38</v>
      </c>
      <c r="G53" s="24" t="s">
        <v>38</v>
      </c>
      <c r="H53" s="49">
        <f t="shared" si="3"/>
        <v>-0.061530781494668285</v>
      </c>
      <c r="I53" s="1"/>
      <c r="J53" s="1" t="s">
        <v>489</v>
      </c>
      <c r="K53" s="1"/>
      <c r="L53" s="1"/>
    </row>
    <row r="54" ht="15" customHeight="1">
      <c r="A54" s="1"/>
      <c r="B54" s="50" t="s">
        <v>117</v>
      </c>
      <c r="C54" s="24" t="s">
        <v>38</v>
      </c>
      <c r="D54" s="24" t="s">
        <v>38</v>
      </c>
      <c r="E54" s="24" t="s">
        <v>38</v>
      </c>
      <c r="F54" s="24" t="s">
        <v>38</v>
      </c>
      <c r="G54" s="24" t="s">
        <v>38</v>
      </c>
      <c r="H54" s="57">
        <v>0</v>
      </c>
      <c r="I54" s="1"/>
      <c r="J54" s="1"/>
      <c r="K54" s="1"/>
      <c r="L54" s="1"/>
    </row>
    <row r="55" ht="15" customHeight="1">
      <c r="A55" s="1"/>
      <c r="B55" s="56" t="s">
        <v>118</v>
      </c>
      <c r="C55" s="34" t="s">
        <v>38</v>
      </c>
      <c r="D55" s="34" t="s">
        <v>38</v>
      </c>
      <c r="E55" s="34" t="s">
        <v>38</v>
      </c>
      <c r="F55" s="34" t="s">
        <v>38</v>
      </c>
      <c r="G55" s="34" t="s">
        <v>38</v>
      </c>
      <c r="H55" s="32" t="s">
        <v>38</v>
      </c>
      <c r="I55" s="1"/>
      <c r="J55" s="1"/>
      <c r="K55" s="1"/>
      <c r="L55" s="1"/>
    </row>
    <row r="56" ht="15" customHeight="1">
      <c r="A56" s="1"/>
      <c r="B56" s="1" t="s">
        <v>490</v>
      </c>
      <c r="C56" s="34"/>
      <c r="D56" s="34"/>
      <c r="E56" s="34"/>
      <c r="F56" s="34"/>
      <c r="G56" s="34"/>
      <c r="H56" s="32"/>
      <c r="I56" s="1"/>
      <c r="J56" s="1"/>
      <c r="K56" s="1"/>
      <c r="L56" s="1"/>
    </row>
    <row r="57" ht="15" customHeight="1">
      <c r="A57" s="1"/>
      <c r="B57" s="1"/>
      <c r="C57" s="1"/>
      <c r="D57" s="1"/>
      <c r="E57" s="1"/>
      <c r="F57" s="1"/>
      <c r="G57" s="1"/>
      <c r="H57" s="45"/>
      <c r="I57" s="1"/>
      <c r="J57" s="1"/>
      <c r="K57" s="1"/>
      <c r="L5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6FBE6CF-3558-2B24-51A8-47792D79315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48.00390625" customWidth="1"/>
    <col min="3" max="8" width="12.00390625" customWidth="1"/>
    <col min="9" max="9" width="2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491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4</v>
      </c>
      <c r="C5" s="8" t="s">
        <v>87</v>
      </c>
      <c r="D5" s="8" t="s">
        <v>88</v>
      </c>
      <c r="E5" s="8" t="s">
        <v>89</v>
      </c>
      <c r="F5" s="8" t="s">
        <v>90</v>
      </c>
      <c r="G5" s="8" t="s">
        <v>91</v>
      </c>
      <c r="H5" s="7" t="s">
        <v>5</v>
      </c>
      <c r="I5" s="1"/>
      <c r="J5" s="6" t="s">
        <v>6</v>
      </c>
      <c r="K5" s="1"/>
      <c r="L5" s="1"/>
    </row>
    <row r="6" ht="15" customHeight="1">
      <c r="A6" s="1"/>
      <c r="B6" s="9" t="s">
        <v>7</v>
      </c>
      <c r="C6" s="11">
        <v>45930</v>
      </c>
      <c r="D6" s="11">
        <v>46022</v>
      </c>
      <c r="E6" s="11">
        <v>46022</v>
      </c>
      <c r="F6" s="11">
        <v>46112</v>
      </c>
      <c r="G6" s="11">
        <v>46203</v>
      </c>
      <c r="H6" s="10">
        <v>46295</v>
      </c>
      <c r="I6" s="1"/>
      <c r="J6" s="12"/>
      <c r="K6" s="1"/>
      <c r="L6" s="1"/>
    </row>
    <row r="7" ht="15" customHeight="1">
      <c r="A7" s="1"/>
      <c r="B7" s="13" t="s">
        <v>8</v>
      </c>
      <c r="C7" s="15">
        <v>92</v>
      </c>
      <c r="D7" s="15">
        <v>92</v>
      </c>
      <c r="E7" s="15">
        <v>365</v>
      </c>
      <c r="F7" s="15">
        <v>90</v>
      </c>
      <c r="G7" s="15">
        <v>91</v>
      </c>
      <c r="H7" s="14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45"/>
      <c r="I8" s="1"/>
      <c r="J8" s="1"/>
      <c r="K8" s="1"/>
      <c r="L8" s="1"/>
    </row>
    <row r="9" ht="15" customHeight="1">
      <c r="A9" s="1"/>
      <c r="B9" s="4" t="s">
        <v>492</v>
      </c>
      <c r="C9" s="34"/>
      <c r="D9" s="34"/>
      <c r="E9" s="34"/>
      <c r="F9" s="34"/>
      <c r="G9" s="34"/>
      <c r="H9" s="32"/>
      <c r="I9" s="1"/>
      <c r="J9" s="1"/>
      <c r="K9" s="1"/>
      <c r="L9" s="1"/>
    </row>
    <row r="10" ht="15" customHeight="1">
      <c r="A10" s="1"/>
      <c r="B10" s="1" t="s">
        <v>493</v>
      </c>
      <c r="C10" s="33">
        <v>143.1</v>
      </c>
      <c r="D10" s="23"/>
      <c r="E10" s="33">
        <v>143.5</v>
      </c>
      <c r="F10" s="33">
        <v>142.1</v>
      </c>
      <c r="G10" s="33">
        <v>142.1</v>
      </c>
      <c r="H10" s="48">
        <f>G10+H37</f>
        <v>142.1</v>
      </c>
      <c r="I10" s="1"/>
      <c r="J10" s="1" t="s">
        <v>494</v>
      </c>
      <c r="K10" s="1"/>
      <c r="L10" s="1"/>
    </row>
    <row r="11" ht="15" customHeight="1">
      <c r="A11" s="1"/>
      <c r="B11" s="50" t="s">
        <v>111</v>
      </c>
      <c r="C11" s="42">
        <f>C10/Inputs!C86-1</f>
        <v>-0.021203830369357024</v>
      </c>
      <c r="D11" s="24"/>
      <c r="E11" s="42">
        <f>E10/Inputs!F86-1</f>
        <v>-0.023809523809523836</v>
      </c>
      <c r="F11" s="42">
        <f>F10/Inputs!G86-1</f>
        <v>-0.017289073305670866</v>
      </c>
      <c r="G11" s="42">
        <f>G10/Inputs!H86-1</f>
        <v>-0.011134307585247027</v>
      </c>
      <c r="H11" s="49">
        <f t="shared" si="1" ref="H11:H32">H10/C10-1</f>
        <v>-0.006988120195667413</v>
      </c>
      <c r="I11" s="1"/>
      <c r="J11" s="1"/>
      <c r="K11" s="1"/>
      <c r="L11" s="1"/>
    </row>
    <row r="12" ht="15" customHeight="1">
      <c r="A12" s="1"/>
      <c r="B12" s="56" t="s">
        <v>495</v>
      </c>
      <c r="C12" s="22">
        <f>C10-Inputs!H86</f>
        <v>-0.5999999999999943</v>
      </c>
      <c r="D12" s="23"/>
      <c r="E12" s="23"/>
      <c r="F12" s="23"/>
      <c r="G12" s="23">
        <f t="shared" si="0" ref="G12:H12">G10-F10</f>
        <v>0</v>
      </c>
      <c r="H12" s="48">
        <f t="shared" si="0"/>
        <v>0</v>
      </c>
      <c r="I12" s="1"/>
      <c r="J12" s="1"/>
      <c r="K12" s="1"/>
      <c r="L12" s="1"/>
    </row>
    <row r="13" ht="15" customHeight="1">
      <c r="A13" s="1"/>
      <c r="B13" s="4" t="s">
        <v>496</v>
      </c>
      <c r="C13" s="67">
        <v>143.5</v>
      </c>
      <c r="D13" s="67">
        <v>142.9</v>
      </c>
      <c r="E13" s="67">
        <v>143.8</v>
      </c>
      <c r="F13" s="67">
        <v>142.5</v>
      </c>
      <c r="G13" s="67">
        <v>142.4</v>
      </c>
      <c r="H13" s="68">
        <f>G13+H37</f>
        <v>142.4</v>
      </c>
      <c r="I13" s="1"/>
      <c r="J13" s="1" t="s">
        <v>497</v>
      </c>
      <c r="K13" s="1"/>
      <c r="L13" s="1"/>
    </row>
    <row r="14" ht="15" customHeight="1">
      <c r="A14" s="1"/>
      <c r="B14" s="50" t="s">
        <v>111</v>
      </c>
      <c r="C14" s="42">
        <f>C13/Inputs!C87-1</f>
        <v>-0.020477815699658675</v>
      </c>
      <c r="D14" s="42">
        <f>D13/Inputs!E87-1</f>
        <v>-0.020562028786840325</v>
      </c>
      <c r="E14" s="42">
        <f>E13/Inputs!F87-1</f>
        <v>-0.023761031907671426</v>
      </c>
      <c r="F14" s="42">
        <f>F13/Inputs!G87-1</f>
        <v>-0.0165631469979296</v>
      </c>
      <c r="G14" s="42">
        <f>G13/Inputs!H87-1</f>
        <v>-0.011111111111111072</v>
      </c>
      <c r="H14" s="49">
        <f t="shared" si="1"/>
        <v>-0.0076655052264807955</v>
      </c>
      <c r="I14" s="1"/>
      <c r="J14" s="1"/>
      <c r="K14" s="1"/>
      <c r="L14" s="1"/>
    </row>
    <row r="15" ht="15" customHeight="1">
      <c r="A15" s="1"/>
      <c r="B15" s="56" t="s">
        <v>495</v>
      </c>
      <c r="C15" s="22">
        <f>C13-Inputs!H87</f>
        <v>-0.5</v>
      </c>
      <c r="D15" s="23">
        <f t="shared" si="2" ref="D15:H33">D13-C13</f>
        <v>-0.5999999999999943</v>
      </c>
      <c r="E15" s="23"/>
      <c r="F15" s="23">
        <f t="shared" si="4" ref="F15:F30">F13-D13</f>
        <v>-0.4000000000000057</v>
      </c>
      <c r="G15" s="23">
        <f t="shared" si="2"/>
        <v>-0.09999999999999432</v>
      </c>
      <c r="H15" s="48">
        <f t="shared" si="2"/>
        <v>0</v>
      </c>
      <c r="I15" s="1"/>
      <c r="J15" s="1"/>
      <c r="K15" s="1"/>
      <c r="L15" s="1"/>
    </row>
    <row r="16" ht="15" customHeight="1">
      <c r="A16" s="1"/>
      <c r="B16" s="17" t="s">
        <v>498</v>
      </c>
      <c r="C16" s="23">
        <f t="shared" si="3" ref="C16:H16">C13-C10</f>
        <v>0.4000000000000057</v>
      </c>
      <c r="D16" s="23"/>
      <c r="E16" s="23">
        <f t="shared" si="3"/>
        <v>0.30000000000001137</v>
      </c>
      <c r="F16" s="23">
        <f t="shared" si="3"/>
        <v>0.4000000000000057</v>
      </c>
      <c r="G16" s="23">
        <f t="shared" si="3"/>
        <v>0.30000000000001137</v>
      </c>
      <c r="H16" s="48">
        <f t="shared" si="3"/>
        <v>0.30000000000001137</v>
      </c>
      <c r="I16" s="1"/>
      <c r="J16" s="1"/>
      <c r="K16" s="1"/>
      <c r="L16" s="1"/>
    </row>
    <row r="17" ht="15" customHeight="1">
      <c r="A17" s="1"/>
      <c r="B17" s="1"/>
      <c r="C17" s="1"/>
      <c r="D17" s="1"/>
      <c r="E17" s="1"/>
      <c r="F17" s="1"/>
      <c r="G17" s="1"/>
      <c r="H17" s="45"/>
      <c r="I17" s="1"/>
      <c r="J17" s="1"/>
      <c r="K17" s="1"/>
      <c r="L17" s="1"/>
    </row>
    <row r="18" ht="15" customHeight="1">
      <c r="A18" s="1"/>
      <c r="B18" s="4" t="s">
        <v>499</v>
      </c>
      <c r="C18" s="34"/>
      <c r="D18" s="34"/>
      <c r="E18" s="34"/>
      <c r="F18" s="34"/>
      <c r="G18" s="34"/>
      <c r="H18" s="32"/>
      <c r="I18" s="1"/>
      <c r="J18" s="1"/>
      <c r="K18" s="1"/>
      <c r="L18" s="1"/>
    </row>
    <row r="19" ht="15" customHeight="1">
      <c r="A19" s="1"/>
      <c r="B19" s="1" t="s">
        <v>500</v>
      </c>
      <c r="C19" s="33">
        <v>142.790278</v>
      </c>
      <c r="D19" s="33">
        <v>141.997194</v>
      </c>
      <c r="E19" s="23">
        <f>D19</f>
        <v>141.997194</v>
      </c>
      <c r="F19" s="33">
        <v>142.033476</v>
      </c>
      <c r="G19" s="33">
        <v>142.06268</v>
      </c>
      <c r="H19" s="48">
        <f>G19+H37</f>
        <v>142.06268</v>
      </c>
      <c r="I19" s="1"/>
      <c r="J19" s="1" t="s">
        <v>501</v>
      </c>
      <c r="K19" s="1"/>
      <c r="L19" s="1"/>
    </row>
    <row r="20" ht="15" customHeight="1">
      <c r="A20" s="1"/>
      <c r="B20" s="50" t="s">
        <v>111</v>
      </c>
      <c r="C20" s="24"/>
      <c r="D20" s="42">
        <f>D19/Inputs!E88-1</f>
        <v>-0.02038489617247563</v>
      </c>
      <c r="E20" s="42">
        <f>E19/Inputs!F88-1</f>
        <v>-0.02038489617247563</v>
      </c>
      <c r="F20" s="24"/>
      <c r="G20" s="24"/>
      <c r="H20" s="49">
        <f t="shared" si="1"/>
        <v>-0.005095571002389998</v>
      </c>
      <c r="I20" s="1"/>
      <c r="J20" s="1"/>
      <c r="K20" s="1"/>
      <c r="L20" s="1"/>
    </row>
    <row r="21" ht="15" customHeight="1">
      <c r="A21" s="1"/>
      <c r="B21" s="56" t="s">
        <v>495</v>
      </c>
      <c r="C21" s="23"/>
      <c r="D21" s="23">
        <f t="shared" si="2"/>
        <v>-0.7930839999999932</v>
      </c>
      <c r="E21" s="23"/>
      <c r="F21" s="23">
        <f t="shared" si="4"/>
        <v>0.036281999999999925</v>
      </c>
      <c r="G21" s="23">
        <f t="shared" si="2"/>
        <v>0.029203999999992902</v>
      </c>
      <c r="H21" s="48">
        <f t="shared" si="2"/>
        <v>0</v>
      </c>
      <c r="I21" s="1"/>
      <c r="J21" s="1"/>
      <c r="K21" s="1"/>
      <c r="L21" s="1"/>
    </row>
    <row r="22" ht="15" customHeight="1">
      <c r="A22" s="1"/>
      <c r="B22" s="17" t="s">
        <v>502</v>
      </c>
      <c r="C22" s="22">
        <f>'Cash Flow Statement'!C103</f>
        <v>-277</v>
      </c>
      <c r="D22" s="22">
        <f>'Cash Flow Statement'!D103</f>
        <v>-456</v>
      </c>
      <c r="E22" s="22">
        <f>'Cash Flow Statement'!E103</f>
        <v>-1624</v>
      </c>
      <c r="F22" s="22">
        <f>'Cash Flow Statement'!F103</f>
        <v>-68</v>
      </c>
      <c r="G22" s="22">
        <f>'Cash Flow Statement'!G103</f>
        <v>0</v>
      </c>
      <c r="H22" s="21">
        <f>'Cash Flow Statement'!H103</f>
        <v>0</v>
      </c>
      <c r="I22" s="1"/>
      <c r="J22" s="1"/>
      <c r="K22" s="1"/>
      <c r="L22" s="1"/>
    </row>
    <row r="23" ht="15" customHeight="1">
      <c r="A23" s="1"/>
      <c r="B23" s="56" t="s">
        <v>277</v>
      </c>
      <c r="C23" s="23"/>
      <c r="D23" s="22">
        <f>D22-(Inputs!E89)</f>
        <v>-15</v>
      </c>
      <c r="E23" s="22">
        <f>E22-(Inputs!F89)</f>
        <v>890</v>
      </c>
      <c r="F23" s="22">
        <f>F22-(Inputs!G89)</f>
        <v>412</v>
      </c>
      <c r="G23" s="22">
        <f>G22-(Inputs!H89)</f>
        <v>411</v>
      </c>
      <c r="H23" s="48">
        <f t="shared" si="5" ref="H23:H29">H22-C22</f>
        <v>277</v>
      </c>
      <c r="I23" s="1"/>
      <c r="J23" s="1"/>
      <c r="K23" s="1"/>
      <c r="L23" s="1"/>
    </row>
    <row r="24" ht="15" customHeight="1">
      <c r="A24" s="1"/>
      <c r="B24" s="56" t="s">
        <v>144</v>
      </c>
      <c r="C24" s="22">
        <f>C22-(Inputs!H89)</f>
        <v>134</v>
      </c>
      <c r="D24" s="23">
        <f t="shared" si="2"/>
        <v>-179</v>
      </c>
      <c r="E24" s="23"/>
      <c r="F24" s="23">
        <f t="shared" si="4"/>
        <v>388</v>
      </c>
      <c r="G24" s="23">
        <f t="shared" si="2"/>
        <v>68</v>
      </c>
      <c r="H24" s="48">
        <f t="shared" si="2"/>
        <v>0</v>
      </c>
      <c r="I24" s="1"/>
      <c r="J24" s="1"/>
      <c r="K24" s="1"/>
      <c r="L24" s="1"/>
    </row>
    <row r="25" ht="15" customHeight="1">
      <c r="A25" s="1"/>
      <c r="B25" s="17" t="s">
        <v>503</v>
      </c>
      <c r="C25" s="22">
        <f>'Cash Flow Statement'!C106</f>
        <v>-330</v>
      </c>
      <c r="D25" s="22">
        <f>'Cash Flow Statement'!D106</f>
        <v>-329</v>
      </c>
      <c r="E25" s="22">
        <f>'Cash Flow Statement'!E106</f>
        <v>-1293</v>
      </c>
      <c r="F25" s="22">
        <f>'Cash Flow Statement'!F106</f>
        <v>-333</v>
      </c>
      <c r="G25" s="22">
        <f>'Cash Flow Statement'!G106</f>
        <v>-351</v>
      </c>
      <c r="H25" s="21">
        <f>'Cash Flow Statement'!H106</f>
        <v>-351</v>
      </c>
      <c r="I25" s="1"/>
      <c r="J25" s="1"/>
      <c r="K25" s="1"/>
      <c r="L25" s="1"/>
    </row>
    <row r="26" ht="15" customHeight="1">
      <c r="A26" s="1"/>
      <c r="B26" s="56" t="s">
        <v>277</v>
      </c>
      <c r="C26" s="23"/>
      <c r="D26" s="22">
        <f>D25-(Inputs!E90)</f>
        <v>-30</v>
      </c>
      <c r="E26" s="22">
        <f>E25-(Inputs!F90)</f>
        <v>-107</v>
      </c>
      <c r="F26" s="22">
        <f>F25-(Inputs!G90)</f>
        <v>-31</v>
      </c>
      <c r="G26" s="22">
        <f>G25-(Inputs!H90)</f>
        <v>-19</v>
      </c>
      <c r="H26" s="48">
        <f t="shared" si="5"/>
        <v>-21</v>
      </c>
      <c r="I26" s="1"/>
      <c r="J26" s="1"/>
      <c r="K26" s="1"/>
      <c r="L26" s="1"/>
    </row>
    <row r="27" ht="15" customHeight="1">
      <c r="A27" s="1"/>
      <c r="B27" s="56" t="s">
        <v>144</v>
      </c>
      <c r="C27" s="22">
        <f>C25-(Inputs!H90)</f>
        <v>2</v>
      </c>
      <c r="D27" s="23">
        <f t="shared" si="2"/>
        <v>1</v>
      </c>
      <c r="E27" s="23"/>
      <c r="F27" s="23">
        <f t="shared" si="4"/>
        <v>-4</v>
      </c>
      <c r="G27" s="23">
        <f t="shared" si="2"/>
        <v>-18</v>
      </c>
      <c r="H27" s="48">
        <f t="shared" si="2"/>
        <v>0</v>
      </c>
      <c r="I27" s="1"/>
      <c r="J27" s="1"/>
      <c r="K27" s="1"/>
      <c r="L27" s="1"/>
    </row>
    <row r="28" ht="15" customHeight="1">
      <c r="A28" s="1"/>
      <c r="B28" s="4" t="s">
        <v>504</v>
      </c>
      <c r="C28" s="46">
        <f t="shared" si="6" ref="C28:H28">-(C22+C25)</f>
        <v>607</v>
      </c>
      <c r="D28" s="46">
        <f t="shared" si="6"/>
        <v>785</v>
      </c>
      <c r="E28" s="46">
        <f t="shared" si="6"/>
        <v>2917</v>
      </c>
      <c r="F28" s="46">
        <f t="shared" si="6"/>
        <v>401</v>
      </c>
      <c r="G28" s="46">
        <f t="shared" si="6"/>
        <v>351</v>
      </c>
      <c r="H28" s="47">
        <f t="shared" si="6"/>
        <v>351</v>
      </c>
      <c r="I28" s="1"/>
      <c r="J28" s="1"/>
      <c r="K28" s="1"/>
      <c r="L28" s="1"/>
    </row>
    <row r="29" ht="15" customHeight="1">
      <c r="A29" s="1"/>
      <c r="B29" s="56" t="s">
        <v>277</v>
      </c>
      <c r="C29" s="23"/>
      <c r="D29" s="22">
        <f>D28-(-(Inputs!E89+Inputs!E90))</f>
        <v>45</v>
      </c>
      <c r="E29" s="22">
        <f>E28-(-(Inputs!F89+Inputs!F90))</f>
        <v>-783</v>
      </c>
      <c r="F29" s="22">
        <f>F28-(-(Inputs!G89+Inputs!G90))</f>
        <v>-381</v>
      </c>
      <c r="G29" s="22">
        <f>G28-(-(Inputs!H89+Inputs!H90))</f>
        <v>-392</v>
      </c>
      <c r="H29" s="48">
        <f t="shared" si="5"/>
        <v>-256</v>
      </c>
      <c r="I29" s="1"/>
      <c r="J29" s="1"/>
      <c r="K29" s="1"/>
      <c r="L29" s="1"/>
    </row>
    <row r="30" ht="15" customHeight="1">
      <c r="A30" s="1"/>
      <c r="B30" s="56" t="s">
        <v>144</v>
      </c>
      <c r="C30" s="22">
        <f>C28-(-(Inputs!H89+Inputs!H90))</f>
        <v>-136</v>
      </c>
      <c r="D30" s="23">
        <f t="shared" si="2"/>
        <v>178</v>
      </c>
      <c r="E30" s="23"/>
      <c r="F30" s="23">
        <f t="shared" si="4"/>
        <v>-384</v>
      </c>
      <c r="G30" s="23">
        <f t="shared" si="2"/>
        <v>-50</v>
      </c>
      <c r="H30" s="48">
        <f t="shared" si="2"/>
        <v>0</v>
      </c>
      <c r="I30" s="1"/>
      <c r="J30" s="1"/>
      <c r="K30" s="1"/>
      <c r="L30" s="1"/>
    </row>
    <row r="31" ht="15" customHeight="1">
      <c r="A31" s="1"/>
      <c r="B31" s="17" t="s">
        <v>505</v>
      </c>
      <c r="C31" s="27">
        <f t="shared" si="7" ref="C31:H31">-C25/C10</f>
        <v>2.306079664570231</v>
      </c>
      <c r="D31" s="27"/>
      <c r="E31" s="27">
        <f t="shared" si="7"/>
        <v>9.010452961672474</v>
      </c>
      <c r="F31" s="27">
        <f t="shared" si="7"/>
        <v>2.3434201266713584</v>
      </c>
      <c r="G31" s="27">
        <f t="shared" si="7"/>
        <v>2.47009148486981</v>
      </c>
      <c r="H31" s="73">
        <f t="shared" si="7"/>
        <v>2.47009148486981</v>
      </c>
      <c r="I31" s="1"/>
      <c r="J31" s="1"/>
      <c r="K31" s="1"/>
      <c r="L31" s="1"/>
    </row>
    <row r="32" ht="15" customHeight="1">
      <c r="A32" s="1"/>
      <c r="B32" s="50" t="s">
        <v>111</v>
      </c>
      <c r="C32" s="24"/>
      <c r="D32" s="24"/>
      <c r="E32" s="42">
        <f>E31/(-Inputs!F90/Inputs!F86)-1</f>
        <v>0.11680993707070275</v>
      </c>
      <c r="F32" s="42">
        <f>F31/(-Inputs!G90/Inputs!G86)-1</f>
        <v>0.12204817985655092</v>
      </c>
      <c r="G32" s="42">
        <f>G31/(-Inputs!H90/Inputs!H86)-1</f>
        <v>0.06913297101142057</v>
      </c>
      <c r="H32" s="49">
        <f t="shared" si="1"/>
        <v>0.07112148934809026</v>
      </c>
      <c r="I32" s="1"/>
      <c r="J32" s="1"/>
      <c r="K32" s="1"/>
      <c r="L32" s="1"/>
    </row>
    <row r="33" ht="15" customHeight="1">
      <c r="A33" s="1"/>
      <c r="B33" s="56" t="s">
        <v>328</v>
      </c>
      <c r="C33" s="26">
        <f>C31-(-Inputs!H90/Inputs!H86)</f>
        <v>-0.004289159368530804</v>
      </c>
      <c r="D33" s="27"/>
      <c r="E33" s="27"/>
      <c r="F33" s="27"/>
      <c r="G33" s="27">
        <f t="shared" si="2"/>
        <v>0.12667135819845177</v>
      </c>
      <c r="H33" s="73">
        <f t="shared" si="2"/>
        <v>0</v>
      </c>
      <c r="I33" s="1"/>
      <c r="J33" s="1"/>
      <c r="K33" s="1"/>
      <c r="L33" s="1"/>
    </row>
    <row r="34" ht="15" customHeight="1">
      <c r="A34" s="1"/>
      <c r="B34" s="17" t="s">
        <v>506</v>
      </c>
      <c r="C34" s="34"/>
      <c r="D34" s="34"/>
      <c r="E34" s="34"/>
      <c r="F34" s="34"/>
      <c r="G34" s="34"/>
      <c r="H34" s="32"/>
      <c r="I34" s="1"/>
      <c r="J34" s="1"/>
      <c r="K34" s="1"/>
      <c r="L34" s="1"/>
    </row>
    <row r="35" ht="15" customHeight="1">
      <c r="A35" s="1"/>
      <c r="B35" s="1"/>
      <c r="C35" s="1"/>
      <c r="D35" s="1"/>
      <c r="E35" s="1"/>
      <c r="F35" s="1"/>
      <c r="G35" s="1"/>
      <c r="H35" s="45"/>
      <c r="I35" s="1"/>
      <c r="J35" s="1"/>
      <c r="K35" s="1"/>
      <c r="L35" s="1"/>
    </row>
    <row r="36" ht="15" customHeight="1">
      <c r="A36" s="1"/>
      <c r="B36" s="4" t="s">
        <v>507</v>
      </c>
      <c r="C36" s="34"/>
      <c r="D36" s="34"/>
      <c r="E36" s="34"/>
      <c r="F36" s="34"/>
      <c r="G36" s="34"/>
      <c r="H36" s="32"/>
      <c r="I36" s="1"/>
      <c r="J36" s="1"/>
      <c r="K36" s="1"/>
      <c r="L36" s="1"/>
    </row>
    <row r="37" ht="15" customHeight="1">
      <c r="A37" s="1"/>
      <c r="B37" s="17" t="s">
        <v>508</v>
      </c>
      <c r="C37" s="23"/>
      <c r="D37" s="23"/>
      <c r="E37" s="23"/>
      <c r="F37" s="23"/>
      <c r="G37" s="23"/>
      <c r="H37" s="69">
        <v>0</v>
      </c>
      <c r="I37" s="1"/>
      <c r="J37" s="1" t="s">
        <v>509</v>
      </c>
      <c r="K37" s="1"/>
      <c r="L37" s="1"/>
    </row>
    <row r="38" ht="15" customHeight="1">
      <c r="A38" s="1"/>
      <c r="B38" s="4" t="s">
        <v>510</v>
      </c>
      <c r="C38" s="46"/>
      <c r="D38" s="46"/>
      <c r="E38" s="46"/>
      <c r="F38" s="46"/>
      <c r="G38" s="46"/>
      <c r="H38" s="47">
        <f>H13</f>
        <v>142.4</v>
      </c>
      <c r="I38" s="1"/>
      <c r="J38" s="1"/>
      <c r="K38" s="1"/>
      <c r="L38" s="1"/>
    </row>
    <row r="39" ht="15" customHeight="1">
      <c r="A39" s="1"/>
      <c r="B39" s="1"/>
      <c r="C39" s="1"/>
      <c r="D39" s="1"/>
      <c r="E39" s="1"/>
      <c r="F39" s="1"/>
      <c r="G39" s="1"/>
      <c r="H39" s="45"/>
      <c r="I39" s="1"/>
      <c r="J39" s="1"/>
      <c r="K39" s="1"/>
      <c r="L3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1980A88-A0F8-DF97-62C8-CB83891399B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66.00390625" customWidth="1"/>
    <col min="3" max="8" width="12.00390625" customWidth="1"/>
    <col min="9" max="9" width="18.00390625" customWidth="1"/>
    <col min="10" max="10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511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512</v>
      </c>
      <c r="C5" s="8"/>
      <c r="D5" s="8"/>
      <c r="E5" s="8"/>
      <c r="F5" s="8"/>
      <c r="G5" s="8"/>
      <c r="H5" s="8" t="s">
        <v>5</v>
      </c>
      <c r="I5" s="8"/>
      <c r="J5" s="6" t="s">
        <v>6</v>
      </c>
      <c r="K5" s="1"/>
      <c r="L5" s="1"/>
    </row>
    <row r="6" ht="15" customHeight="1">
      <c r="A6" s="1"/>
      <c r="B6" s="9" t="s">
        <v>513</v>
      </c>
      <c r="C6" s="11"/>
      <c r="D6" s="11"/>
      <c r="E6" s="11"/>
      <c r="F6" s="11"/>
      <c r="G6" s="11"/>
      <c r="H6" s="11">
        <v>46295</v>
      </c>
      <c r="I6" s="11"/>
      <c r="J6" s="12"/>
      <c r="K6" s="1"/>
      <c r="L6" s="1"/>
    </row>
    <row r="7" ht="15" customHeight="1">
      <c r="A7" s="1"/>
      <c r="B7" s="13" t="s">
        <v>514</v>
      </c>
      <c r="C7" s="15"/>
      <c r="D7" s="15"/>
      <c r="E7" s="15"/>
      <c r="F7" s="15"/>
      <c r="G7" s="15"/>
      <c r="H7" s="15">
        <v>92</v>
      </c>
      <c r="I7" s="15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31.5" customHeight="1">
      <c r="A9" s="1"/>
      <c r="B9" s="18" t="s">
        <v>515</v>
      </c>
      <c r="C9" s="20" t="s">
        <v>516</v>
      </c>
      <c r="D9" s="20" t="s">
        <v>4</v>
      </c>
      <c r="E9" s="20" t="s">
        <v>517</v>
      </c>
      <c r="F9" s="20" t="s">
        <v>518</v>
      </c>
      <c r="G9" s="20" t="s">
        <v>519</v>
      </c>
      <c r="H9" s="20" t="s">
        <v>520</v>
      </c>
      <c r="I9" s="20" t="s">
        <v>521</v>
      </c>
      <c r="J9" s="1"/>
      <c r="K9" s="1"/>
      <c r="L9" s="1"/>
    </row>
    <row r="10" ht="15" customHeight="1">
      <c r="A10" s="1"/>
      <c r="B10" s="4" t="s">
        <v>522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5" customHeight="1">
      <c r="A11" s="1"/>
      <c r="B11" s="17" t="s">
        <v>523</v>
      </c>
      <c r="C11" s="78">
        <v>45769</v>
      </c>
      <c r="D11" s="34" t="s">
        <v>524</v>
      </c>
      <c r="E11" s="33">
        <v>42000</v>
      </c>
      <c r="F11" s="33">
        <v>42500</v>
      </c>
      <c r="G11" s="23">
        <f t="shared" si="0" ref="G11:G55">AVERAGE(E11,F11)</f>
        <v>42250</v>
      </c>
      <c r="H11" s="22">
        <f>'Income Statement'!E22</f>
        <v>41954</v>
      </c>
      <c r="I11" s="34" t="str">
        <f t="shared" si="1" ref="I11:I55">IF(H11="","Pending",IF(H11&gt;F11,"Beat (above range)",IF(H11&gt;=G11,"At/above midpoint",IF(H11&gt;=E11,"Below midpoint","Miss (below range)"))))</f>
        <v>Miss (below range)</v>
      </c>
      <c r="J11" s="1" t="s">
        <v>526</v>
      </c>
      <c r="K11" s="1"/>
      <c r="L11" s="1"/>
    </row>
    <row r="12" ht="15" customHeight="1">
      <c r="A12" s="1"/>
      <c r="B12" s="17" t="s">
        <v>527</v>
      </c>
      <c r="C12" s="78">
        <v>45769</v>
      </c>
      <c r="D12" s="34" t="s">
        <v>524</v>
      </c>
      <c r="E12" s="33">
        <v>4200</v>
      </c>
      <c r="F12" s="33">
        <v>4350</v>
      </c>
      <c r="G12" s="23">
        <f t="shared" si="0"/>
        <v>4275</v>
      </c>
      <c r="H12" s="22">
        <f>'Income Statement'!E77</f>
        <v>4377</v>
      </c>
      <c r="I12" s="34" t="str">
        <f t="shared" si="1"/>
        <v>Beat (above range)</v>
      </c>
      <c r="J12" s="1"/>
      <c r="K12" s="1"/>
      <c r="L12" s="1"/>
    </row>
    <row r="13" ht="15" customHeight="1">
      <c r="A13" s="1"/>
      <c r="B13" s="17" t="s">
        <v>529</v>
      </c>
      <c r="C13" s="78">
        <v>45769</v>
      </c>
      <c r="D13" s="34" t="s">
        <v>524</v>
      </c>
      <c r="E13" s="41">
        <v>24.95</v>
      </c>
      <c r="F13" s="41">
        <v>25.35</v>
      </c>
      <c r="G13" s="27">
        <f t="shared" si="0"/>
        <v>25.15</v>
      </c>
      <c r="H13" s="26">
        <f>'Income Statement'!E165</f>
        <v>26.34214186369958</v>
      </c>
      <c r="I13" s="34" t="str">
        <f t="shared" si="1"/>
        <v>Beat (above range)</v>
      </c>
      <c r="J13" s="1"/>
      <c r="K13" s="1"/>
      <c r="L13" s="1"/>
    </row>
    <row r="14" ht="15" customHeight="1">
      <c r="A14" s="1"/>
      <c r="B14" s="17" t="s">
        <v>530</v>
      </c>
      <c r="C14" s="78">
        <v>45769</v>
      </c>
      <c r="D14" s="34" t="s">
        <v>524</v>
      </c>
      <c r="E14" s="33">
        <v>2850</v>
      </c>
      <c r="F14" s="33">
        <v>3250</v>
      </c>
      <c r="G14" s="23">
        <f t="shared" si="0"/>
        <v>3050</v>
      </c>
      <c r="H14" s="22">
        <f>'Cash Flow Statement'!E134</f>
        <v>3307</v>
      </c>
      <c r="I14" s="34" t="str">
        <f t="shared" si="1"/>
        <v>Beat (above range)</v>
      </c>
      <c r="J14" s="1"/>
      <c r="K14" s="1"/>
      <c r="L14" s="1"/>
    </row>
    <row r="15" ht="15" customHeight="1">
      <c r="A15" s="1"/>
      <c r="B15" s="17" t="s">
        <v>523</v>
      </c>
      <c r="C15" s="78">
        <v>45860</v>
      </c>
      <c r="D15" s="34" t="s">
        <v>524</v>
      </c>
      <c r="E15" s="33">
        <v>42050</v>
      </c>
      <c r="F15" s="33">
        <v>42250</v>
      </c>
      <c r="G15" s="23">
        <f t="shared" si="0"/>
        <v>42150</v>
      </c>
      <c r="H15" s="22">
        <f>'Income Statement'!E22</f>
        <v>41954</v>
      </c>
      <c r="I15" s="34" t="str">
        <f t="shared" si="1"/>
        <v>Miss (below range)</v>
      </c>
      <c r="J15" s="1" t="s">
        <v>531</v>
      </c>
      <c r="K15" s="1"/>
      <c r="L15" s="1"/>
    </row>
    <row r="16" ht="15" customHeight="1">
      <c r="A16" s="1"/>
      <c r="B16" s="17" t="s">
        <v>527</v>
      </c>
      <c r="C16" s="78">
        <v>45860</v>
      </c>
      <c r="D16" s="34" t="s">
        <v>524</v>
      </c>
      <c r="E16" s="33">
        <v>4275</v>
      </c>
      <c r="F16" s="33">
        <v>4375</v>
      </c>
      <c r="G16" s="23">
        <f t="shared" si="0"/>
        <v>4325</v>
      </c>
      <c r="H16" s="22">
        <f>'Income Statement'!E77</f>
        <v>4377</v>
      </c>
      <c r="I16" s="34" t="str">
        <f t="shared" si="1"/>
        <v>Beat (above range)</v>
      </c>
      <c r="J16" s="1"/>
      <c r="K16" s="1"/>
      <c r="L16" s="1"/>
    </row>
    <row r="17" ht="15" customHeight="1">
      <c r="A17" s="1"/>
      <c r="B17" s="17" t="s">
        <v>529</v>
      </c>
      <c r="C17" s="78">
        <v>45860</v>
      </c>
      <c r="D17" s="34" t="s">
        <v>524</v>
      </c>
      <c r="E17" s="41">
        <v>25</v>
      </c>
      <c r="F17" s="41">
        <v>25.4</v>
      </c>
      <c r="G17" s="27">
        <f t="shared" si="0"/>
        <v>25.2</v>
      </c>
      <c r="H17" s="26">
        <f>'Income Statement'!E165</f>
        <v>26.34214186369958</v>
      </c>
      <c r="I17" s="34" t="str">
        <f t="shared" si="1"/>
        <v>Beat (above range)</v>
      </c>
      <c r="J17" s="1"/>
      <c r="K17" s="1"/>
      <c r="L17" s="1"/>
    </row>
    <row r="18" ht="15" customHeight="1">
      <c r="A18" s="1"/>
      <c r="B18" s="17" t="s">
        <v>530</v>
      </c>
      <c r="C18" s="78">
        <v>45860</v>
      </c>
      <c r="D18" s="34" t="s">
        <v>524</v>
      </c>
      <c r="E18" s="33">
        <v>3050</v>
      </c>
      <c r="F18" s="33">
        <v>3350</v>
      </c>
      <c r="G18" s="23">
        <f t="shared" si="0"/>
        <v>3200</v>
      </c>
      <c r="H18" s="22">
        <f>'Cash Flow Statement'!E134</f>
        <v>3307</v>
      </c>
      <c r="I18" s="34" t="str">
        <f t="shared" si="1"/>
        <v>At/above midpoint</v>
      </c>
      <c r="J18" s="1"/>
      <c r="K18" s="1"/>
      <c r="L18" s="1"/>
    </row>
    <row r="19" ht="15" customHeight="1">
      <c r="A19" s="1"/>
      <c r="B19" s="17" t="s">
        <v>523</v>
      </c>
      <c r="C19" s="78">
        <v>45951</v>
      </c>
      <c r="D19" s="34" t="s">
        <v>524</v>
      </c>
      <c r="E19" s="33">
        <v>41700</v>
      </c>
      <c r="F19" s="33">
        <v>41900</v>
      </c>
      <c r="G19" s="23">
        <f t="shared" si="0"/>
        <v>41800</v>
      </c>
      <c r="H19" s="22">
        <f>'Income Statement'!E22</f>
        <v>41954</v>
      </c>
      <c r="I19" s="34" t="str">
        <f t="shared" si="1"/>
        <v>Beat (above range)</v>
      </c>
      <c r="J19" s="1" t="s">
        <v>533</v>
      </c>
      <c r="K19" s="1"/>
      <c r="L19" s="1"/>
    </row>
    <row r="20" ht="15" customHeight="1">
      <c r="A20" s="1"/>
      <c r="B20" s="17" t="s">
        <v>527</v>
      </c>
      <c r="C20" s="78">
        <v>45951</v>
      </c>
      <c r="D20" s="34" t="s">
        <v>524</v>
      </c>
      <c r="E20" s="33">
        <v>4275</v>
      </c>
      <c r="F20" s="33">
        <v>4375</v>
      </c>
      <c r="G20" s="23">
        <f t="shared" si="0"/>
        <v>4325</v>
      </c>
      <c r="H20" s="22">
        <f>'Income Statement'!E77</f>
        <v>4377</v>
      </c>
      <c r="I20" s="34" t="str">
        <f t="shared" si="1"/>
        <v>Beat (above range)</v>
      </c>
      <c r="J20" s="1"/>
      <c r="K20" s="1"/>
      <c r="L20" s="1"/>
    </row>
    <row r="21" ht="15" customHeight="1">
      <c r="A21" s="1"/>
      <c r="B21" s="17" t="s">
        <v>529</v>
      </c>
      <c r="C21" s="78">
        <v>45951</v>
      </c>
      <c r="D21" s="34" t="s">
        <v>524</v>
      </c>
      <c r="E21" s="41">
        <v>25.65</v>
      </c>
      <c r="F21" s="41">
        <v>26.05</v>
      </c>
      <c r="G21" s="27">
        <f t="shared" si="0"/>
        <v>25.85</v>
      </c>
      <c r="H21" s="26">
        <f>'Income Statement'!E165</f>
        <v>26.34214186369958</v>
      </c>
      <c r="I21" s="34" t="str">
        <f t="shared" si="1"/>
        <v>Beat (above range)</v>
      </c>
      <c r="J21" s="1"/>
      <c r="K21" s="1"/>
      <c r="L21" s="1"/>
    </row>
    <row r="22" ht="15" customHeight="1">
      <c r="A22" s="1"/>
      <c r="B22" s="17" t="s">
        <v>530</v>
      </c>
      <c r="C22" s="78">
        <v>45951</v>
      </c>
      <c r="D22" s="34" t="s">
        <v>524</v>
      </c>
      <c r="E22" s="33">
        <v>3050</v>
      </c>
      <c r="F22" s="33">
        <v>3350</v>
      </c>
      <c r="G22" s="23">
        <f t="shared" si="0"/>
        <v>3200</v>
      </c>
      <c r="H22" s="22">
        <f>'Cash Flow Statement'!E134</f>
        <v>3307</v>
      </c>
      <c r="I22" s="34" t="str">
        <f t="shared" si="1"/>
        <v>At/above midpoint</v>
      </c>
      <c r="J22" s="1"/>
      <c r="K22" s="1"/>
      <c r="L22" s="1"/>
    </row>
    <row r="23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5" customHeight="1">
      <c r="A24" s="1"/>
      <c r="B24" s="4" t="s">
        <v>534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5" customHeight="1">
      <c r="A25" s="1"/>
      <c r="B25" s="17" t="s">
        <v>523</v>
      </c>
      <c r="C25" s="78">
        <v>46049</v>
      </c>
      <c r="D25" s="34" t="s">
        <v>535</v>
      </c>
      <c r="E25" s="33">
        <v>43500</v>
      </c>
      <c r="F25" s="33">
        <v>44000</v>
      </c>
      <c r="G25" s="23">
        <f t="shared" si="0"/>
        <v>43750</v>
      </c>
      <c r="H25" s="23"/>
      <c r="I25" s="34" t="str">
        <f t="shared" si="1"/>
        <v>Pending</v>
      </c>
      <c r="J25" s="1" t="s">
        <v>537</v>
      </c>
      <c r="K25" s="1"/>
      <c r="L25" s="1"/>
    </row>
    <row r="26" ht="15" customHeight="1">
      <c r="A26" s="1"/>
      <c r="B26" s="17" t="s">
        <v>527</v>
      </c>
      <c r="C26" s="78">
        <v>46049</v>
      </c>
      <c r="D26" s="34" t="s">
        <v>535</v>
      </c>
      <c r="E26" s="33">
        <v>4850</v>
      </c>
      <c r="F26" s="33">
        <v>5000</v>
      </c>
      <c r="G26" s="23">
        <f t="shared" si="0"/>
        <v>4925</v>
      </c>
      <c r="H26" s="23"/>
      <c r="I26" s="34" t="str">
        <f t="shared" si="1"/>
        <v>Pending</v>
      </c>
      <c r="J26" s="1"/>
      <c r="K26" s="1"/>
      <c r="L26" s="1"/>
    </row>
    <row r="27" ht="15" customHeight="1">
      <c r="A27" s="1"/>
      <c r="B27" s="17" t="s">
        <v>529</v>
      </c>
      <c r="C27" s="78">
        <v>46049</v>
      </c>
      <c r="D27" s="34" t="s">
        <v>535</v>
      </c>
      <c r="E27" s="41">
        <v>27.4</v>
      </c>
      <c r="F27" s="41">
        <v>27.9</v>
      </c>
      <c r="G27" s="27">
        <f t="shared" si="0"/>
        <v>27.65</v>
      </c>
      <c r="H27" s="27"/>
      <c r="I27" s="34" t="str">
        <f t="shared" si="1"/>
        <v>Pending</v>
      </c>
      <c r="J27" s="1"/>
      <c r="K27" s="1"/>
      <c r="L27" s="1"/>
    </row>
    <row r="28" ht="15" customHeight="1">
      <c r="A28" s="1"/>
      <c r="B28" s="17" t="s">
        <v>530</v>
      </c>
      <c r="C28" s="78">
        <v>46049</v>
      </c>
      <c r="D28" s="34" t="s">
        <v>535</v>
      </c>
      <c r="E28" s="33">
        <v>3100</v>
      </c>
      <c r="F28" s="33">
        <v>3500</v>
      </c>
      <c r="G28" s="23">
        <f t="shared" si="0"/>
        <v>3300</v>
      </c>
      <c r="H28" s="23"/>
      <c r="I28" s="34" t="str">
        <f t="shared" si="1"/>
        <v>Pending</v>
      </c>
      <c r="J28" s="1"/>
      <c r="K28" s="1"/>
      <c r="L28" s="1"/>
    </row>
    <row r="29" ht="15" customHeight="1">
      <c r="A29" s="1"/>
      <c r="B29" s="17" t="s">
        <v>523</v>
      </c>
      <c r="C29" s="78">
        <v>46133</v>
      </c>
      <c r="D29" s="34" t="s">
        <v>535</v>
      </c>
      <c r="E29" s="33">
        <v>43500</v>
      </c>
      <c r="F29" s="33">
        <v>44000</v>
      </c>
      <c r="G29" s="23">
        <f t="shared" si="0"/>
        <v>43750</v>
      </c>
      <c r="H29" s="23"/>
      <c r="I29" s="34" t="str">
        <f t="shared" si="1"/>
        <v>Pending</v>
      </c>
      <c r="J29" s="1" t="s">
        <v>538</v>
      </c>
      <c r="K29" s="1"/>
      <c r="L29" s="1"/>
    </row>
    <row r="30" ht="15" customHeight="1">
      <c r="A30" s="1"/>
      <c r="B30" s="17" t="s">
        <v>527</v>
      </c>
      <c r="C30" s="78">
        <v>46133</v>
      </c>
      <c r="D30" s="34" t="s">
        <v>535</v>
      </c>
      <c r="E30" s="33">
        <v>4850</v>
      </c>
      <c r="F30" s="33">
        <v>5000</v>
      </c>
      <c r="G30" s="23">
        <f t="shared" si="0"/>
        <v>4925</v>
      </c>
      <c r="H30" s="23"/>
      <c r="I30" s="34" t="str">
        <f t="shared" si="1"/>
        <v>Pending</v>
      </c>
      <c r="J30" s="1"/>
      <c r="K30" s="1"/>
      <c r="L30" s="1"/>
    </row>
    <row r="31" ht="15" customHeight="1">
      <c r="A31" s="1"/>
      <c r="B31" s="17" t="s">
        <v>529</v>
      </c>
      <c r="C31" s="78">
        <v>46133</v>
      </c>
      <c r="D31" s="34" t="s">
        <v>535</v>
      </c>
      <c r="E31" s="41">
        <v>27.4</v>
      </c>
      <c r="F31" s="41">
        <v>27.9</v>
      </c>
      <c r="G31" s="27">
        <f t="shared" si="0"/>
        <v>27.65</v>
      </c>
      <c r="H31" s="27"/>
      <c r="I31" s="34" t="str">
        <f t="shared" si="1"/>
        <v>Pending</v>
      </c>
      <c r="J31" s="1"/>
      <c r="K31" s="1"/>
      <c r="L31" s="1"/>
    </row>
    <row r="32" ht="15" customHeight="1">
      <c r="A32" s="1"/>
      <c r="B32" s="17" t="s">
        <v>530</v>
      </c>
      <c r="C32" s="78">
        <v>46133</v>
      </c>
      <c r="D32" s="34" t="s">
        <v>535</v>
      </c>
      <c r="E32" s="33">
        <v>3100</v>
      </c>
      <c r="F32" s="33">
        <v>3500</v>
      </c>
      <c r="G32" s="23">
        <f t="shared" si="0"/>
        <v>3300</v>
      </c>
      <c r="H32" s="23"/>
      <c r="I32" s="34" t="str">
        <f t="shared" si="1"/>
        <v>Pending</v>
      </c>
      <c r="J32" s="1"/>
      <c r="K32" s="1"/>
      <c r="L32" s="1"/>
    </row>
    <row r="33" ht="15" customHeight="1">
      <c r="A33" s="1"/>
      <c r="B33" s="17" t="s">
        <v>523</v>
      </c>
      <c r="C33" s="78">
        <v>46224</v>
      </c>
      <c r="D33" s="34" t="s">
        <v>535</v>
      </c>
      <c r="E33" s="33">
        <v>43750</v>
      </c>
      <c r="F33" s="33">
        <v>44250</v>
      </c>
      <c r="G33" s="23">
        <f t="shared" si="0"/>
        <v>44000</v>
      </c>
      <c r="H33" s="23"/>
      <c r="I33" s="34" t="str">
        <f t="shared" si="1"/>
        <v>Pending</v>
      </c>
      <c r="J33" s="1" t="s">
        <v>539</v>
      </c>
      <c r="K33" s="1"/>
      <c r="L33" s="1"/>
    </row>
    <row r="34" ht="15" customHeight="1">
      <c r="A34" s="1"/>
      <c r="B34" s="17" t="s">
        <v>527</v>
      </c>
      <c r="C34" s="78">
        <v>46224</v>
      </c>
      <c r="D34" s="34" t="s">
        <v>535</v>
      </c>
      <c r="E34" s="33">
        <v>4850</v>
      </c>
      <c r="F34" s="33">
        <v>5000</v>
      </c>
      <c r="G34" s="23">
        <f t="shared" si="0"/>
        <v>4925</v>
      </c>
      <c r="H34" s="23"/>
      <c r="I34" s="34" t="str">
        <f t="shared" si="1"/>
        <v>Pending</v>
      </c>
      <c r="J34" s="1"/>
      <c r="K34" s="1"/>
      <c r="L34" s="1"/>
    </row>
    <row r="35" ht="15" customHeight="1">
      <c r="A35" s="1"/>
      <c r="B35" s="17" t="s">
        <v>529</v>
      </c>
      <c r="C35" s="78">
        <v>46224</v>
      </c>
      <c r="D35" s="34" t="s">
        <v>535</v>
      </c>
      <c r="E35" s="41">
        <v>28.6</v>
      </c>
      <c r="F35" s="41">
        <v>29.1</v>
      </c>
      <c r="G35" s="27">
        <f t="shared" si="0"/>
        <v>28.85</v>
      </c>
      <c r="H35" s="27"/>
      <c r="I35" s="34" t="str">
        <f t="shared" si="1"/>
        <v>Pending</v>
      </c>
      <c r="J35" s="1"/>
      <c r="K35" s="1"/>
      <c r="L35" s="1"/>
    </row>
    <row r="36" ht="15" customHeight="1">
      <c r="A36" s="1"/>
      <c r="B36" s="17" t="s">
        <v>540</v>
      </c>
      <c r="C36" s="78">
        <v>46224</v>
      </c>
      <c r="D36" s="34" t="s">
        <v>535</v>
      </c>
      <c r="E36" s="33">
        <v>3100</v>
      </c>
      <c r="F36" s="33">
        <v>3500</v>
      </c>
      <c r="G36" s="23">
        <f t="shared" si="0"/>
        <v>3300</v>
      </c>
      <c r="H36" s="23"/>
      <c r="I36" s="34" t="str">
        <f t="shared" si="1"/>
        <v>Pending</v>
      </c>
      <c r="J36" s="1"/>
      <c r="K36" s="1"/>
      <c r="L36" s="1"/>
    </row>
    <row r="37" ht="15" customHeight="1">
      <c r="A37" s="1"/>
      <c r="B37" s="17" t="s">
        <v>541</v>
      </c>
      <c r="C37" s="78">
        <v>46224</v>
      </c>
      <c r="D37" s="34" t="s">
        <v>535</v>
      </c>
      <c r="E37" s="33">
        <v>1850</v>
      </c>
      <c r="F37" s="33">
        <v>1850</v>
      </c>
      <c r="G37" s="23">
        <f t="shared" si="0"/>
        <v>1850</v>
      </c>
      <c r="H37" s="23"/>
      <c r="I37" s="34" t="str">
        <f t="shared" si="2" ref="I37:I40">IF(H37="","Pending",IF(H37&gt;F37,"Above guidance",IF(H37&lt;E37,"Below guidance","Within guidance")))</f>
        <v>Pending</v>
      </c>
      <c r="J37" s="1" t="s">
        <v>542</v>
      </c>
      <c r="K37" s="1"/>
      <c r="L37" s="1"/>
    </row>
    <row r="38" ht="15" customHeight="1">
      <c r="A38" s="1"/>
      <c r="B38" s="35" t="s">
        <v>543</v>
      </c>
      <c r="C38" s="78">
        <v>46224</v>
      </c>
      <c r="D38" s="34" t="s">
        <v>535</v>
      </c>
      <c r="E38" s="36">
        <v>0.145</v>
      </c>
      <c r="F38" s="36">
        <v>0.145</v>
      </c>
      <c r="G38" s="24">
        <f t="shared" si="0"/>
        <v>0.145</v>
      </c>
      <c r="H38" s="24"/>
      <c r="I38" s="34" t="str">
        <f t="shared" si="2"/>
        <v>Pending</v>
      </c>
      <c r="J38" s="1" t="s">
        <v>544</v>
      </c>
      <c r="K38" s="1"/>
      <c r="L38" s="1"/>
    </row>
    <row r="39" ht="15" customHeight="1">
      <c r="A39" s="1"/>
      <c r="B39" s="17" t="s">
        <v>545</v>
      </c>
      <c r="C39" s="78">
        <v>46224</v>
      </c>
      <c r="D39" s="34" t="s">
        <v>535</v>
      </c>
      <c r="E39" s="33">
        <v>35</v>
      </c>
      <c r="F39" s="33">
        <v>35</v>
      </c>
      <c r="G39" s="23">
        <f t="shared" si="0"/>
        <v>35</v>
      </c>
      <c r="H39" s="23"/>
      <c r="I39" s="34" t="str">
        <f t="shared" si="2"/>
        <v>Pending</v>
      </c>
      <c r="J39" s="1" t="s">
        <v>546</v>
      </c>
      <c r="K39" s="1"/>
      <c r="L39" s="1"/>
    </row>
    <row r="40" ht="15" customHeight="1">
      <c r="A40" s="1"/>
      <c r="B40" s="17" t="s">
        <v>307</v>
      </c>
      <c r="C40" s="78">
        <v>46224</v>
      </c>
      <c r="D40" s="34" t="s">
        <v>535</v>
      </c>
      <c r="E40" s="33">
        <v>665</v>
      </c>
      <c r="F40" s="33">
        <v>665</v>
      </c>
      <c r="G40" s="23">
        <f t="shared" si="0"/>
        <v>665</v>
      </c>
      <c r="H40" s="23"/>
      <c r="I40" s="34" t="str">
        <f t="shared" si="2"/>
        <v>Pending</v>
      </c>
      <c r="J40" s="1" t="s">
        <v>547</v>
      </c>
      <c r="K40" s="1"/>
      <c r="L40" s="1"/>
    </row>
    <row r="41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5" customHeight="1">
      <c r="A42" s="1"/>
      <c r="B42" s="4" t="s">
        <v>548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5" customHeight="1">
      <c r="A43" s="1"/>
      <c r="B43" s="17" t="s">
        <v>549</v>
      </c>
      <c r="C43" s="78">
        <v>46224</v>
      </c>
      <c r="D43" s="34" t="s">
        <v>535</v>
      </c>
      <c r="E43" s="33">
        <v>14000</v>
      </c>
      <c r="F43" s="33">
        <v>14000</v>
      </c>
      <c r="G43" s="23">
        <f t="shared" si="0"/>
        <v>14000</v>
      </c>
      <c r="H43" s="23"/>
      <c r="I43" s="34" t="str">
        <f t="shared" si="1"/>
        <v>Pending</v>
      </c>
      <c r="J43" s="1" t="s">
        <v>550</v>
      </c>
      <c r="K43" s="1"/>
      <c r="L43" s="1"/>
    </row>
    <row r="44" ht="15" customHeight="1">
      <c r="A44" s="1"/>
      <c r="B44" s="17" t="s">
        <v>551</v>
      </c>
      <c r="C44" s="78">
        <v>46224</v>
      </c>
      <c r="D44" s="34" t="s">
        <v>535</v>
      </c>
      <c r="E44" s="33">
        <v>8500</v>
      </c>
      <c r="F44" s="33">
        <v>8900</v>
      </c>
      <c r="G44" s="23">
        <f t="shared" si="0"/>
        <v>8700</v>
      </c>
      <c r="H44" s="23"/>
      <c r="I44" s="34" t="str">
        <f t="shared" si="1"/>
        <v>Pending</v>
      </c>
      <c r="J44" s="1" t="s">
        <v>550</v>
      </c>
      <c r="K44" s="1"/>
      <c r="L44" s="1"/>
    </row>
    <row r="45" ht="15" customHeight="1">
      <c r="A45" s="1"/>
      <c r="B45" s="17" t="s">
        <v>552</v>
      </c>
      <c r="C45" s="78">
        <v>46224</v>
      </c>
      <c r="D45" s="34" t="s">
        <v>535</v>
      </c>
      <c r="E45" s="33">
        <v>12700</v>
      </c>
      <c r="F45" s="33">
        <v>12900</v>
      </c>
      <c r="G45" s="23">
        <f t="shared" si="0"/>
        <v>12800</v>
      </c>
      <c r="H45" s="23"/>
      <c r="I45" s="34" t="str">
        <f t="shared" si="1"/>
        <v>Pending</v>
      </c>
      <c r="J45" s="1" t="s">
        <v>550</v>
      </c>
      <c r="K45" s="1"/>
      <c r="L45" s="1"/>
    </row>
    <row r="46" ht="15" customHeight="1">
      <c r="A46" s="1"/>
      <c r="B46" s="17" t="s">
        <v>553</v>
      </c>
      <c r="C46" s="78">
        <v>46224</v>
      </c>
      <c r="D46" s="34" t="s">
        <v>535</v>
      </c>
      <c r="E46" s="33">
        <v>11000</v>
      </c>
      <c r="F46" s="33">
        <v>11000</v>
      </c>
      <c r="G46" s="23">
        <f t="shared" si="0"/>
        <v>11000</v>
      </c>
      <c r="H46" s="23"/>
      <c r="I46" s="34" t="str">
        <f t="shared" si="1"/>
        <v>Pending</v>
      </c>
      <c r="J46" s="1" t="s">
        <v>550</v>
      </c>
      <c r="K46" s="1"/>
      <c r="L46" s="1"/>
    </row>
    <row r="47" ht="15" customHeight="1">
      <c r="A47" s="1"/>
      <c r="B47" s="17" t="s">
        <v>554</v>
      </c>
      <c r="C47" s="78">
        <v>46224</v>
      </c>
      <c r="D47" s="34" t="s">
        <v>535</v>
      </c>
      <c r="E47" s="33">
        <v>2700</v>
      </c>
      <c r="F47" s="33">
        <v>2700</v>
      </c>
      <c r="G47" s="23">
        <f t="shared" si="0"/>
        <v>2700</v>
      </c>
      <c r="H47" s="23"/>
      <c r="I47" s="34" t="str">
        <f t="shared" si="1"/>
        <v>Pending</v>
      </c>
      <c r="J47" s="1" t="s">
        <v>550</v>
      </c>
      <c r="K47" s="1"/>
      <c r="L47" s="1"/>
    </row>
    <row r="48" ht="15" customHeight="1">
      <c r="A48" s="1"/>
      <c r="B48" s="35" t="s">
        <v>555</v>
      </c>
      <c r="C48" s="78">
        <v>46224</v>
      </c>
      <c r="D48" s="34" t="s">
        <v>535</v>
      </c>
      <c r="E48" s="36">
        <v>0.095</v>
      </c>
      <c r="F48" s="36">
        <v>0.099</v>
      </c>
      <c r="G48" s="24">
        <f t="shared" si="0"/>
        <v>0.097</v>
      </c>
      <c r="H48" s="24"/>
      <c r="I48" s="34" t="str">
        <f t="shared" si="1"/>
        <v>Pending</v>
      </c>
      <c r="J48" s="1" t="s">
        <v>550</v>
      </c>
      <c r="K48" s="1"/>
      <c r="L48" s="1"/>
    </row>
    <row r="49" ht="15" customHeight="1">
      <c r="A49" s="1"/>
      <c r="B49" s="35" t="s">
        <v>556</v>
      </c>
      <c r="C49" s="78">
        <v>46224</v>
      </c>
      <c r="D49" s="34" t="s">
        <v>535</v>
      </c>
      <c r="E49" s="36">
        <v>0.1</v>
      </c>
      <c r="F49" s="36">
        <v>0.1</v>
      </c>
      <c r="G49" s="24">
        <f t="shared" si="0"/>
        <v>0.1</v>
      </c>
      <c r="H49" s="24"/>
      <c r="I49" s="34" t="str">
        <f t="shared" si="1"/>
        <v>Pending</v>
      </c>
      <c r="J49" s="1" t="s">
        <v>550</v>
      </c>
      <c r="K49" s="1"/>
      <c r="L49" s="1"/>
    </row>
    <row r="50" ht="15" customHeight="1">
      <c r="A50" s="1"/>
      <c r="B50" s="35" t="s">
        <v>557</v>
      </c>
      <c r="C50" s="78">
        <v>46224</v>
      </c>
      <c r="D50" s="34" t="s">
        <v>535</v>
      </c>
      <c r="E50" s="36">
        <v>0.15</v>
      </c>
      <c r="F50" s="36">
        <v>0.15</v>
      </c>
      <c r="G50" s="24">
        <f t="shared" si="0"/>
        <v>0.15</v>
      </c>
      <c r="H50" s="24"/>
      <c r="I50" s="34" t="str">
        <f t="shared" si="1"/>
        <v>Pending</v>
      </c>
      <c r="J50" s="1" t="s">
        <v>550</v>
      </c>
      <c r="K50" s="1"/>
      <c r="L50" s="1"/>
    </row>
    <row r="51" ht="15" customHeight="1">
      <c r="A51" s="1"/>
      <c r="B51" s="35" t="s">
        <v>558</v>
      </c>
      <c r="C51" s="78">
        <v>46224</v>
      </c>
      <c r="D51" s="34" t="s">
        <v>535</v>
      </c>
      <c r="E51" s="36">
        <v>0.1</v>
      </c>
      <c r="F51" s="36">
        <v>0.103</v>
      </c>
      <c r="G51" s="24">
        <f t="shared" si="0"/>
        <v>0.1015</v>
      </c>
      <c r="H51" s="24"/>
      <c r="I51" s="34" t="str">
        <f t="shared" si="1"/>
        <v>Pending</v>
      </c>
      <c r="J51" s="1" t="s">
        <v>550</v>
      </c>
      <c r="K51" s="1"/>
      <c r="L51" s="1"/>
    </row>
    <row r="52" ht="15" customHeight="1">
      <c r="A52" s="1"/>
      <c r="B52" s="35" t="s">
        <v>559</v>
      </c>
      <c r="C52" s="78">
        <v>46224</v>
      </c>
      <c r="D52" s="34" t="s">
        <v>535</v>
      </c>
      <c r="E52" s="36">
        <v>0.134</v>
      </c>
      <c r="F52" s="36">
        <v>0.136</v>
      </c>
      <c r="G52" s="24">
        <f t="shared" si="0"/>
        <v>0.135</v>
      </c>
      <c r="H52" s="24"/>
      <c r="I52" s="34" t="str">
        <f t="shared" si="1"/>
        <v>Pending</v>
      </c>
      <c r="J52" s="1" t="s">
        <v>550</v>
      </c>
      <c r="K52" s="1"/>
      <c r="L52" s="1"/>
    </row>
    <row r="53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5" customHeight="1">
      <c r="A54" s="1"/>
      <c r="B54" s="4" t="s">
        <v>560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5" customHeight="1">
      <c r="A55" s="1"/>
      <c r="B55" s="17" t="s">
        <v>561</v>
      </c>
      <c r="C55" s="78">
        <v>46224</v>
      </c>
      <c r="D55" s="34" t="s">
        <v>562</v>
      </c>
      <c r="E55" s="22">
        <f>Inputs!C313</f>
        <v>10839.92</v>
      </c>
      <c r="F55" s="22">
        <f>Inputs!C314</f>
        <v>11361.07</v>
      </c>
      <c r="G55" s="23">
        <f t="shared" si="0"/>
        <v>11100.494999999999</v>
      </c>
      <c r="H55" s="23"/>
      <c r="I55" s="34" t="str">
        <f t="shared" si="1"/>
        <v>Pending</v>
      </c>
      <c r="J55" s="1" t="s">
        <v>563</v>
      </c>
      <c r="K55" s="1"/>
      <c r="L55" s="1"/>
    </row>
    <row r="56" ht="15" customHeight="1">
      <c r="A56" s="1"/>
      <c r="B56" s="17" t="s">
        <v>564</v>
      </c>
      <c r="C56" s="78">
        <v>46224</v>
      </c>
      <c r="D56" s="34" t="s">
        <v>562</v>
      </c>
      <c r="E56" s="27"/>
      <c r="F56" s="27"/>
      <c r="G56" s="27" t="s">
        <v>38</v>
      </c>
      <c r="H56" s="27"/>
      <c r="I56" s="34" t="s">
        <v>38</v>
      </c>
      <c r="J56" s="1" t="s">
        <v>565</v>
      </c>
      <c r="K56" s="1"/>
      <c r="L56" s="1"/>
    </row>
    <row r="57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5" customHeight="1">
      <c r="A58" s="1"/>
      <c r="B58" s="4" t="s">
        <v>566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5" customHeight="1">
      <c r="A59" s="1"/>
      <c r="B59" s="17" t="s">
        <v>567</v>
      </c>
      <c r="C59" s="79"/>
      <c r="D59" s="34"/>
      <c r="E59" s="23"/>
      <c r="F59" s="23"/>
      <c r="G59" s="22">
        <f>G33-'Income Statement'!F22-'Income Statement'!G22</f>
        <v>23243</v>
      </c>
      <c r="H59" s="23"/>
      <c r="I59" s="34"/>
      <c r="J59" s="1"/>
      <c r="K59" s="1"/>
      <c r="L59" s="1"/>
    </row>
    <row r="60" ht="15" customHeight="1">
      <c r="A60" s="1"/>
      <c r="B60" s="17" t="s">
        <v>568</v>
      </c>
      <c r="C60" s="79"/>
      <c r="D60" s="34"/>
      <c r="E60" s="23"/>
      <c r="F60" s="23"/>
      <c r="G60" s="22">
        <f>G34-'Income Statement'!F77-'Income Statement'!G77</f>
        <v>2695</v>
      </c>
      <c r="H60" s="23"/>
      <c r="I60" s="34"/>
      <c r="J60" s="1"/>
      <c r="K60" s="1"/>
      <c r="L60" s="1"/>
    </row>
    <row r="61" ht="15" customHeight="1">
      <c r="A61" s="1"/>
      <c r="B61" s="17" t="s">
        <v>569</v>
      </c>
      <c r="C61" s="79"/>
      <c r="D61" s="34"/>
      <c r="E61" s="27"/>
      <c r="F61" s="27"/>
      <c r="G61" s="26">
        <f>G35-'Income Statement'!F165-'Income Statement'!G165</f>
        <v>15.027064853144097</v>
      </c>
      <c r="H61" s="27"/>
      <c r="I61" s="34"/>
      <c r="J61" s="1"/>
      <c r="K61" s="1"/>
      <c r="L61" s="1"/>
    </row>
    <row r="62" ht="15" customHeight="1">
      <c r="A62" s="1"/>
      <c r="B62" s="35" t="s">
        <v>570</v>
      </c>
      <c r="C62" s="79"/>
      <c r="D62" s="34"/>
      <c r="E62" s="24"/>
      <c r="F62" s="24"/>
      <c r="G62" s="42">
        <f>'Income Statement'!H165/G61</f>
        <v>0.48044024141516084</v>
      </c>
      <c r="H62" s="24"/>
      <c r="I62" s="34"/>
      <c r="J62" s="1" t="s">
        <v>571</v>
      </c>
      <c r="K62" s="1"/>
      <c r="L62" s="1"/>
    </row>
    <row r="63" ht="15" customHeight="1">
      <c r="A63" s="1"/>
      <c r="B63" s="35" t="s">
        <v>572</v>
      </c>
      <c r="C63" s="79"/>
      <c r="D63" s="34"/>
      <c r="E63" s="24"/>
      <c r="F63" s="24"/>
      <c r="G63" s="42">
        <f>'Income Statement'!H22/G59</f>
        <v>0.4791687882803425</v>
      </c>
      <c r="H63" s="24"/>
      <c r="I63" s="34"/>
      <c r="J63" s="1" t="s">
        <v>573</v>
      </c>
      <c r="K63" s="1"/>
      <c r="L63" s="1"/>
    </row>
    <row r="64" ht="15" customHeight="1">
      <c r="A64" s="1"/>
      <c r="B64" s="35" t="s">
        <v>574</v>
      </c>
      <c r="C64" s="79"/>
      <c r="D64" s="34"/>
      <c r="E64" s="24"/>
      <c r="F64" s="24"/>
      <c r="G64" s="42">
        <f>'Income Statement'!H77/G60</f>
        <v>0.4720400243821892</v>
      </c>
      <c r="H64" s="24"/>
      <c r="I64" s="34"/>
      <c r="J64" s="1"/>
      <c r="K64" s="1"/>
      <c r="L64" s="1"/>
    </row>
    <row r="65" ht="15" customHeight="1">
      <c r="A65" s="1"/>
      <c r="B65" s="17" t="s">
        <v>575</v>
      </c>
      <c r="C65" s="79"/>
      <c r="D65" s="34"/>
      <c r="E65" s="23"/>
      <c r="F65" s="23"/>
      <c r="G65" s="22">
        <f>'Income Statement'!H22-G55</f>
        <v>36.82514600000104</v>
      </c>
      <c r="H65" s="23"/>
      <c r="I65" s="34"/>
      <c r="J65" s="1"/>
      <c r="K65" s="1"/>
      <c r="L65" s="1"/>
    </row>
    <row r="66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4A7F5B1-CF2B-1F48-95E8-9B71C7B2341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73.00390625" customWidth="1"/>
    <col min="3" max="8" width="12.00390625" customWidth="1"/>
    <col min="9" max="9" width="2.00390625" customWidth="1"/>
    <col min="10" max="10" width="55.00390625" customWidth="1"/>
    <col min="11" max="11" width="45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576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512</v>
      </c>
      <c r="C5" s="8"/>
      <c r="D5" s="8"/>
      <c r="E5" s="8"/>
      <c r="F5" s="8"/>
      <c r="G5" s="8"/>
      <c r="H5" s="8" t="s">
        <v>5</v>
      </c>
      <c r="I5" s="1"/>
      <c r="J5" s="6"/>
      <c r="K5" s="1"/>
      <c r="L5" s="1"/>
    </row>
    <row r="6" ht="15" customHeight="1">
      <c r="A6" s="1"/>
      <c r="B6" s="9" t="s">
        <v>513</v>
      </c>
      <c r="C6" s="11"/>
      <c r="D6" s="11"/>
      <c r="E6" s="11"/>
      <c r="F6" s="11"/>
      <c r="G6" s="11"/>
      <c r="H6" s="11">
        <v>46295</v>
      </c>
      <c r="I6" s="1"/>
      <c r="J6" s="12"/>
      <c r="K6" s="1"/>
      <c r="L6" s="1"/>
    </row>
    <row r="7" ht="15" customHeight="1">
      <c r="A7" s="1"/>
      <c r="B7" s="13" t="s">
        <v>514</v>
      </c>
      <c r="C7" s="15"/>
      <c r="D7" s="15"/>
      <c r="E7" s="15"/>
      <c r="F7" s="15"/>
      <c r="G7" s="15"/>
      <c r="H7" s="15">
        <v>92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31.5" customHeight="1">
      <c r="A9" s="1"/>
      <c r="B9" s="18" t="s">
        <v>577</v>
      </c>
      <c r="C9" s="20" t="s">
        <v>578</v>
      </c>
      <c r="D9" s="18" t="s">
        <v>579</v>
      </c>
      <c r="E9" s="18"/>
      <c r="F9" s="18"/>
      <c r="G9" s="18"/>
      <c r="H9" s="18"/>
      <c r="I9" s="18"/>
      <c r="J9" s="18" t="s">
        <v>580</v>
      </c>
      <c r="K9" s="18" t="s">
        <v>581</v>
      </c>
      <c r="L9" s="1"/>
    </row>
    <row r="10" ht="28.5" customHeight="1">
      <c r="A10" s="1"/>
      <c r="B10" s="80" t="s">
        <v>582</v>
      </c>
      <c r="C10" s="79">
        <v>46313</v>
      </c>
      <c r="D10" s="80" t="s">
        <v>583</v>
      </c>
      <c r="E10" s="1"/>
      <c r="F10" s="1"/>
      <c r="G10" s="1"/>
      <c r="H10" s="1"/>
      <c r="I10" s="1"/>
      <c r="J10" s="80" t="s">
        <v>584</v>
      </c>
      <c r="K10" s="80" t="s">
        <v>585</v>
      </c>
      <c r="L10" s="1"/>
    </row>
    <row r="11" ht="28.5" customHeight="1">
      <c r="A11" s="1"/>
      <c r="B11" s="80" t="s">
        <v>586</v>
      </c>
      <c r="C11" s="79">
        <v>46313</v>
      </c>
      <c r="D11" s="80" t="s">
        <v>583</v>
      </c>
      <c r="E11" s="1"/>
      <c r="F11" s="1"/>
      <c r="G11" s="1"/>
      <c r="H11" s="1"/>
      <c r="I11" s="1"/>
      <c r="J11" s="80" t="s">
        <v>587</v>
      </c>
      <c r="K11" s="80" t="s">
        <v>588</v>
      </c>
      <c r="L11" s="1"/>
    </row>
    <row r="12" ht="28.5" customHeight="1">
      <c r="A12" s="1"/>
      <c r="B12" s="80" t="s">
        <v>589</v>
      </c>
      <c r="C12" s="79">
        <v>46282</v>
      </c>
      <c r="D12" s="80" t="s">
        <v>590</v>
      </c>
      <c r="E12" s="1"/>
      <c r="F12" s="1"/>
      <c r="G12" s="1"/>
      <c r="H12" s="1"/>
      <c r="I12" s="1"/>
      <c r="J12" s="80" t="s">
        <v>591</v>
      </c>
      <c r="K12" s="80" t="s">
        <v>592</v>
      </c>
      <c r="L12" s="1"/>
    </row>
    <row r="13" ht="28.5" customHeight="1">
      <c r="A13" s="1"/>
      <c r="B13" s="80" t="s">
        <v>593</v>
      </c>
      <c r="C13" s="79">
        <v>46224</v>
      </c>
      <c r="D13" s="80" t="s">
        <v>594</v>
      </c>
      <c r="E13" s="1"/>
      <c r="F13" s="1"/>
      <c r="G13" s="1"/>
      <c r="H13" s="1"/>
      <c r="I13" s="1"/>
      <c r="J13" s="80" t="s">
        <v>595</v>
      </c>
      <c r="K13" s="80" t="s">
        <v>596</v>
      </c>
      <c r="L13" s="1"/>
    </row>
    <row r="14" ht="28.5" customHeight="1">
      <c r="A14" s="1"/>
      <c r="B14" s="80" t="s">
        <v>597</v>
      </c>
      <c r="C14" s="79">
        <v>46224</v>
      </c>
      <c r="D14" s="80" t="s">
        <v>598</v>
      </c>
      <c r="E14" s="1"/>
      <c r="F14" s="1"/>
      <c r="G14" s="1"/>
      <c r="H14" s="1"/>
      <c r="I14" s="1"/>
      <c r="J14" s="80" t="s">
        <v>599</v>
      </c>
      <c r="K14" s="80" t="s">
        <v>600</v>
      </c>
      <c r="L14" s="1"/>
    </row>
    <row r="15" ht="41.25" customHeight="1">
      <c r="A15" s="1"/>
      <c r="B15" s="80" t="s">
        <v>601</v>
      </c>
      <c r="C15" s="79">
        <v>46224</v>
      </c>
      <c r="D15" s="80" t="s">
        <v>602</v>
      </c>
      <c r="E15" s="1"/>
      <c r="F15" s="1"/>
      <c r="G15" s="1"/>
      <c r="H15" s="1"/>
      <c r="I15" s="1"/>
      <c r="J15" s="80" t="s">
        <v>603</v>
      </c>
      <c r="K15" s="80" t="s">
        <v>604</v>
      </c>
      <c r="L15" s="1"/>
    </row>
    <row r="16" ht="28.5" customHeight="1">
      <c r="A16" s="1"/>
      <c r="B16" s="80" t="s">
        <v>605</v>
      </c>
      <c r="C16" s="79">
        <v>46133</v>
      </c>
      <c r="D16" s="80" t="s">
        <v>594</v>
      </c>
      <c r="E16" s="1"/>
      <c r="F16" s="1"/>
      <c r="G16" s="1"/>
      <c r="H16" s="1"/>
      <c r="I16" s="1"/>
      <c r="J16" s="80" t="s">
        <v>606</v>
      </c>
      <c r="K16" s="80" t="s">
        <v>607</v>
      </c>
      <c r="L16" s="1"/>
    </row>
    <row r="17" ht="28.5" customHeight="1">
      <c r="A17" s="1"/>
      <c r="B17" s="80" t="s">
        <v>608</v>
      </c>
      <c r="C17" s="79">
        <v>46133</v>
      </c>
      <c r="D17" s="80" t="s">
        <v>598</v>
      </c>
      <c r="E17" s="1"/>
      <c r="F17" s="1"/>
      <c r="G17" s="1"/>
      <c r="H17" s="1"/>
      <c r="I17" s="1"/>
      <c r="J17" s="80" t="s">
        <v>609</v>
      </c>
      <c r="K17" s="80" t="s">
        <v>610</v>
      </c>
      <c r="L17" s="1"/>
    </row>
    <row r="18" ht="28.5" customHeight="1">
      <c r="A18" s="1"/>
      <c r="B18" s="80" t="s">
        <v>611</v>
      </c>
      <c r="C18" s="79">
        <v>46049</v>
      </c>
      <c r="D18" s="80" t="s">
        <v>594</v>
      </c>
      <c r="E18" s="1"/>
      <c r="F18" s="1"/>
      <c r="G18" s="1"/>
      <c r="H18" s="1"/>
      <c r="I18" s="1"/>
      <c r="J18" s="80" t="s">
        <v>612</v>
      </c>
      <c r="K18" s="80" t="s">
        <v>613</v>
      </c>
      <c r="L18" s="1"/>
    </row>
    <row r="19" ht="28.5" customHeight="1">
      <c r="A19" s="1"/>
      <c r="B19" s="80" t="s">
        <v>614</v>
      </c>
      <c r="C19" s="79">
        <v>46049</v>
      </c>
      <c r="D19" s="80" t="s">
        <v>598</v>
      </c>
      <c r="E19" s="1"/>
      <c r="F19" s="1"/>
      <c r="G19" s="1"/>
      <c r="H19" s="1"/>
      <c r="I19" s="1"/>
      <c r="J19" s="80" t="s">
        <v>615</v>
      </c>
      <c r="K19" s="80" t="s">
        <v>616</v>
      </c>
      <c r="L19" s="1"/>
    </row>
    <row r="20" ht="28.5" customHeight="1">
      <c r="A20" s="1"/>
      <c r="B20" s="80" t="s">
        <v>617</v>
      </c>
      <c r="C20" s="79">
        <v>45951</v>
      </c>
      <c r="D20" s="80" t="s">
        <v>594</v>
      </c>
      <c r="E20" s="1"/>
      <c r="F20" s="1"/>
      <c r="G20" s="1"/>
      <c r="H20" s="1"/>
      <c r="I20" s="1"/>
      <c r="J20" s="80" t="s">
        <v>618</v>
      </c>
      <c r="K20" s="80" t="s">
        <v>619</v>
      </c>
      <c r="L20" s="1"/>
    </row>
    <row r="21" ht="28.5" customHeight="1">
      <c r="A21" s="1"/>
      <c r="B21" s="80" t="s">
        <v>620</v>
      </c>
      <c r="C21" s="79">
        <v>45951</v>
      </c>
      <c r="D21" s="80" t="s">
        <v>598</v>
      </c>
      <c r="E21" s="1"/>
      <c r="F21" s="1"/>
      <c r="G21" s="1"/>
      <c r="H21" s="1"/>
      <c r="I21" s="1"/>
      <c r="J21" s="80" t="s">
        <v>621</v>
      </c>
      <c r="K21" s="80" t="s">
        <v>622</v>
      </c>
      <c r="L21" s="1"/>
    </row>
    <row r="22" ht="28.5" customHeight="1">
      <c r="A22" s="1"/>
      <c r="B22" s="80" t="s">
        <v>623</v>
      </c>
      <c r="C22" s="79">
        <v>45860</v>
      </c>
      <c r="D22" s="80" t="s">
        <v>594</v>
      </c>
      <c r="E22" s="1"/>
      <c r="F22" s="1"/>
      <c r="G22" s="1"/>
      <c r="H22" s="1"/>
      <c r="I22" s="1"/>
      <c r="J22" s="80" t="s">
        <v>624</v>
      </c>
      <c r="K22" s="80" t="s">
        <v>625</v>
      </c>
      <c r="L22" s="1"/>
    </row>
    <row r="23" ht="28.5" customHeight="1">
      <c r="A23" s="1"/>
      <c r="B23" s="80" t="s">
        <v>626</v>
      </c>
      <c r="C23" s="79">
        <v>45769</v>
      </c>
      <c r="D23" s="80" t="s">
        <v>594</v>
      </c>
      <c r="E23" s="1"/>
      <c r="F23" s="1"/>
      <c r="G23" s="1"/>
      <c r="H23" s="1"/>
      <c r="I23" s="1"/>
      <c r="J23" s="80" t="s">
        <v>627</v>
      </c>
      <c r="K23" s="80" t="s">
        <v>628</v>
      </c>
      <c r="L23" s="1"/>
    </row>
    <row r="24" ht="41.25" customHeight="1">
      <c r="A24" s="1"/>
      <c r="B24" s="80" t="s">
        <v>629</v>
      </c>
      <c r="C24" s="79">
        <v>46288</v>
      </c>
      <c r="D24" s="80" t="s">
        <v>630</v>
      </c>
      <c r="E24" s="1"/>
      <c r="F24" s="1"/>
      <c r="G24" s="1"/>
      <c r="H24" s="1"/>
      <c r="I24" s="1"/>
      <c r="J24" s="80" t="s">
        <v>631</v>
      </c>
      <c r="K24" s="80" t="s">
        <v>632</v>
      </c>
      <c r="L24" s="1"/>
    </row>
    <row r="25" ht="28.5" customHeight="1">
      <c r="A25" s="1"/>
      <c r="B25" s="80" t="s">
        <v>633</v>
      </c>
      <c r="C25" s="79">
        <v>46300</v>
      </c>
      <c r="D25" s="80" t="s">
        <v>634</v>
      </c>
      <c r="E25" s="1"/>
      <c r="F25" s="1"/>
      <c r="G25" s="1"/>
      <c r="H25" s="1"/>
      <c r="I25" s="1"/>
      <c r="J25" s="80" t="s">
        <v>635</v>
      </c>
      <c r="K25" s="80" t="s">
        <v>636</v>
      </c>
      <c r="L25" s="1"/>
    </row>
    <row r="26" ht="28.5" customHeight="1">
      <c r="A26" s="1"/>
      <c r="B26" s="80" t="s">
        <v>637</v>
      </c>
      <c r="C26" s="79">
        <v>46234</v>
      </c>
      <c r="D26" s="80" t="s">
        <v>638</v>
      </c>
      <c r="E26" s="1"/>
      <c r="F26" s="1"/>
      <c r="G26" s="1"/>
      <c r="H26" s="1"/>
      <c r="I26" s="1"/>
      <c r="J26" s="80" t="s">
        <v>639</v>
      </c>
      <c r="K26" s="80" t="s">
        <v>640</v>
      </c>
      <c r="L26" s="1"/>
    </row>
    <row r="27" ht="41.25" customHeight="1">
      <c r="A27" s="1"/>
      <c r="B27" s="80" t="s">
        <v>641</v>
      </c>
      <c r="C27" s="79">
        <v>46309</v>
      </c>
      <c r="D27" s="80" t="s">
        <v>642</v>
      </c>
      <c r="E27" s="1"/>
      <c r="F27" s="1"/>
      <c r="G27" s="1"/>
      <c r="H27" s="1"/>
      <c r="I27" s="1"/>
      <c r="J27" s="80" t="s">
        <v>643</v>
      </c>
      <c r="K27" s="80" t="s">
        <v>644</v>
      </c>
      <c r="L27" s="1"/>
    </row>
    <row r="28" ht="28.5" customHeight="1">
      <c r="A28" s="1"/>
      <c r="B28" s="80" t="s">
        <v>645</v>
      </c>
      <c r="C28" s="79">
        <v>46297</v>
      </c>
      <c r="D28" s="80" t="s">
        <v>646</v>
      </c>
      <c r="E28" s="1"/>
      <c r="F28" s="1"/>
      <c r="G28" s="1"/>
      <c r="H28" s="1"/>
      <c r="I28" s="1"/>
      <c r="J28" s="80" t="s">
        <v>647</v>
      </c>
      <c r="K28" s="80" t="s">
        <v>648</v>
      </c>
      <c r="L28" s="1"/>
    </row>
    <row r="29" ht="41.25" customHeight="1">
      <c r="A29" s="1"/>
      <c r="B29" s="80" t="s">
        <v>649</v>
      </c>
      <c r="C29" s="79">
        <v>46295</v>
      </c>
      <c r="D29" s="80" t="s">
        <v>650</v>
      </c>
      <c r="E29" s="1"/>
      <c r="F29" s="1"/>
      <c r="G29" s="1"/>
      <c r="H29" s="1"/>
      <c r="I29" s="1"/>
      <c r="J29" s="80" t="s">
        <v>651</v>
      </c>
      <c r="K29" s="80" t="s">
        <v>652</v>
      </c>
      <c r="L29" s="1"/>
    </row>
    <row r="30" ht="28.5" customHeight="1">
      <c r="A30" s="1"/>
      <c r="B30" s="80" t="s">
        <v>653</v>
      </c>
      <c r="C30" s="79">
        <v>46309</v>
      </c>
      <c r="D30" s="80" t="s">
        <v>654</v>
      </c>
      <c r="E30" s="1"/>
      <c r="F30" s="1"/>
      <c r="G30" s="1"/>
      <c r="H30" s="1"/>
      <c r="I30" s="1"/>
      <c r="J30" s="80" t="s">
        <v>655</v>
      </c>
      <c r="K30" s="80" t="s">
        <v>656</v>
      </c>
      <c r="L30" s="1"/>
    </row>
    <row r="31" ht="41.25" customHeight="1">
      <c r="A31" s="1"/>
      <c r="B31" s="80" t="s">
        <v>657</v>
      </c>
      <c r="C31" s="79">
        <v>46308</v>
      </c>
      <c r="D31" s="80" t="s">
        <v>658</v>
      </c>
      <c r="E31" s="1"/>
      <c r="F31" s="1"/>
      <c r="G31" s="1"/>
      <c r="H31" s="1"/>
      <c r="I31" s="1"/>
      <c r="J31" s="80" t="s">
        <v>659</v>
      </c>
      <c r="K31" s="80" t="s">
        <v>660</v>
      </c>
      <c r="L31" s="1"/>
    </row>
    <row r="32" ht="28.5" customHeight="1">
      <c r="A32" s="1"/>
      <c r="B32" s="80" t="s">
        <v>661</v>
      </c>
      <c r="C32" s="79">
        <v>46296</v>
      </c>
      <c r="D32" s="80" t="s">
        <v>662</v>
      </c>
      <c r="E32" s="1"/>
      <c r="F32" s="1"/>
      <c r="G32" s="1"/>
      <c r="H32" s="1"/>
      <c r="I32" s="1"/>
      <c r="J32" s="80" t="s">
        <v>663</v>
      </c>
      <c r="K32" s="80" t="s">
        <v>664</v>
      </c>
      <c r="L32" s="1"/>
    </row>
    <row r="33" ht="15" customHeight="1">
      <c r="A33" s="1"/>
      <c r="B33" s="80" t="s">
        <v>665</v>
      </c>
      <c r="C33" s="79">
        <v>46300</v>
      </c>
      <c r="D33" s="80" t="s">
        <v>666</v>
      </c>
      <c r="E33" s="1"/>
      <c r="F33" s="1"/>
      <c r="G33" s="1"/>
      <c r="H33" s="1"/>
      <c r="I33" s="1"/>
      <c r="J33" s="80" t="s">
        <v>667</v>
      </c>
      <c r="K33" s="80" t="s">
        <v>668</v>
      </c>
      <c r="L33" s="1"/>
    </row>
    <row r="34" ht="28.5" customHeight="1">
      <c r="A34" s="1"/>
      <c r="B34" s="80" t="s">
        <v>669</v>
      </c>
      <c r="C34" s="79">
        <v>46224</v>
      </c>
      <c r="D34" s="80" t="s">
        <v>590</v>
      </c>
      <c r="E34" s="1"/>
      <c r="F34" s="1"/>
      <c r="G34" s="1"/>
      <c r="H34" s="1"/>
      <c r="I34" s="1"/>
      <c r="J34" s="80" t="s">
        <v>670</v>
      </c>
      <c r="K34" s="80" t="s">
        <v>671</v>
      </c>
      <c r="L34" s="1"/>
    </row>
    <row r="35" ht="28.5" customHeight="1">
      <c r="A35" s="1"/>
      <c r="B35" s="80" t="s">
        <v>672</v>
      </c>
      <c r="C35" s="79">
        <v>46311</v>
      </c>
      <c r="D35" s="80" t="s">
        <v>673</v>
      </c>
      <c r="E35" s="1"/>
      <c r="F35" s="1"/>
      <c r="G35" s="1"/>
      <c r="H35" s="1"/>
      <c r="I35" s="1"/>
      <c r="J35" s="80" t="s">
        <v>674</v>
      </c>
      <c r="K35" s="80" t="s">
        <v>675</v>
      </c>
      <c r="L35" s="1"/>
    </row>
    <row r="36" ht="15" customHeight="1">
      <c r="A36" s="1"/>
      <c r="B36" s="80" t="s">
        <v>676</v>
      </c>
      <c r="C36" s="79">
        <v>46282</v>
      </c>
      <c r="D36" s="80" t="s">
        <v>677</v>
      </c>
      <c r="E36" s="1"/>
      <c r="F36" s="1"/>
      <c r="G36" s="1"/>
      <c r="H36" s="1"/>
      <c r="I36" s="1"/>
      <c r="J36" s="80" t="s">
        <v>678</v>
      </c>
      <c r="K36" s="80" t="s">
        <v>679</v>
      </c>
      <c r="L36" s="1"/>
    </row>
    <row r="37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28.5" customHeight="1">
      <c r="A38" s="1"/>
      <c r="B38" s="80" t="s">
        <v>680</v>
      </c>
      <c r="C38" s="79"/>
      <c r="D38" s="80"/>
      <c r="E38" s="1"/>
      <c r="F38" s="1"/>
      <c r="G38" s="1"/>
      <c r="H38" s="1"/>
      <c r="I38" s="1"/>
      <c r="J38" s="80"/>
      <c r="K38" s="80"/>
      <c r="L38" s="1"/>
    </row>
    <row r="39" ht="28.5" customHeight="1">
      <c r="A39" s="1"/>
      <c r="B39" s="80" t="s">
        <v>681</v>
      </c>
      <c r="C39" s="79"/>
      <c r="D39" s="80"/>
      <c r="E39" s="1"/>
      <c r="F39" s="1"/>
      <c r="G39" s="1"/>
      <c r="H39" s="1"/>
      <c r="I39" s="1"/>
      <c r="J39" s="80"/>
      <c r="K39" s="80"/>
      <c r="L39" s="1"/>
    </row>
    <row r="40" ht="41.25" customHeight="1">
      <c r="A40" s="1"/>
      <c r="B40" s="80" t="s">
        <v>682</v>
      </c>
      <c r="C40" s="79"/>
      <c r="D40" s="80"/>
      <c r="E40" s="1"/>
      <c r="F40" s="1"/>
      <c r="G40" s="1"/>
      <c r="H40" s="1"/>
      <c r="I40" s="1"/>
      <c r="J40" s="80"/>
      <c r="K40" s="80"/>
      <c r="L40" s="1"/>
    </row>
    <row r="41" ht="28.5" customHeight="1">
      <c r="A41" s="1"/>
      <c r="B41" s="80" t="s">
        <v>683</v>
      </c>
      <c r="C41" s="79"/>
      <c r="D41" s="80"/>
      <c r="E41" s="1"/>
      <c r="F41" s="1"/>
      <c r="G41" s="1"/>
      <c r="H41" s="1"/>
      <c r="I41" s="1"/>
      <c r="J41" s="80"/>
      <c r="K41" s="80"/>
      <c r="L41" s="1"/>
    </row>
    <row r="42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657671F-41A3-55E8-F0E8-6F855A746A8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76.00390625" customWidth="1"/>
    <col min="3" max="9" width="12.00390625" customWidth="1"/>
    <col min="10" max="10" width="45.00390625" customWidth="1"/>
    <col min="11" max="12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684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6" t="s">
        <v>685</v>
      </c>
      <c r="C5" s="8" t="s">
        <v>686</v>
      </c>
      <c r="D5" s="8" t="s">
        <v>687</v>
      </c>
      <c r="E5" s="8" t="s">
        <v>688</v>
      </c>
      <c r="F5" s="8" t="s">
        <v>689</v>
      </c>
      <c r="G5" s="8" t="s">
        <v>690</v>
      </c>
      <c r="H5" s="8" t="s">
        <v>691</v>
      </c>
      <c r="I5" s="1"/>
      <c r="J5" s="6" t="s">
        <v>6</v>
      </c>
      <c r="K5" s="1"/>
      <c r="L5" s="1"/>
    </row>
    <row r="6" ht="15" customHeight="1">
      <c r="A6" s="1"/>
      <c r="B6" s="9" t="s">
        <v>692</v>
      </c>
      <c r="C6" s="11">
        <v>45565</v>
      </c>
      <c r="D6" s="11">
        <v>45565</v>
      </c>
      <c r="E6" s="11">
        <v>45657</v>
      </c>
      <c r="F6" s="11">
        <v>45657</v>
      </c>
      <c r="G6" s="11">
        <v>45747</v>
      </c>
      <c r="H6" s="11">
        <v>45838</v>
      </c>
      <c r="I6" s="1"/>
      <c r="J6" s="12"/>
      <c r="K6" s="1"/>
      <c r="L6" s="1"/>
    </row>
    <row r="7" ht="15" customHeight="1">
      <c r="A7" s="1"/>
      <c r="B7" s="13" t="s">
        <v>693</v>
      </c>
      <c r="C7" s="15">
        <v>92</v>
      </c>
      <c r="D7" s="15">
        <v>274</v>
      </c>
      <c r="E7" s="15">
        <v>92</v>
      </c>
      <c r="F7" s="15">
        <v>366</v>
      </c>
      <c r="G7" s="15">
        <v>90</v>
      </c>
      <c r="H7" s="15">
        <v>91</v>
      </c>
      <c r="I7" s="1"/>
      <c r="J7" s="16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4" t="s">
        <v>694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17" t="s">
        <v>695</v>
      </c>
      <c r="C10" s="23"/>
      <c r="D10" s="23"/>
      <c r="E10" s="23"/>
      <c r="F10" s="23"/>
      <c r="G10" s="23">
        <f t="shared" si="1" ref="G10:G67">E11</f>
        <v>25202</v>
      </c>
      <c r="H10" s="23">
        <f t="shared" si="2" ref="H10:H67">G11</f>
        <v>25454</v>
      </c>
      <c r="I10" s="1"/>
      <c r="J10" s="1"/>
      <c r="K10" s="1"/>
      <c r="L10" s="1"/>
    </row>
    <row r="11" ht="15" customHeight="1">
      <c r="A11" s="1"/>
      <c r="B11" s="17" t="s">
        <v>696</v>
      </c>
      <c r="C11" s="23"/>
      <c r="D11" s="23"/>
      <c r="E11" s="33">
        <v>25202</v>
      </c>
      <c r="F11" s="23">
        <f t="shared" si="3" ref="F11:F88">E11</f>
        <v>25202</v>
      </c>
      <c r="G11" s="33">
        <v>25454</v>
      </c>
      <c r="H11" s="33">
        <v>23544</v>
      </c>
      <c r="I11" s="1"/>
      <c r="J11" s="1"/>
      <c r="K11" s="1"/>
      <c r="L11" s="1"/>
    </row>
    <row r="12" ht="15" customHeight="1">
      <c r="A12" s="1"/>
      <c r="B12" s="17" t="s">
        <v>697</v>
      </c>
      <c r="C12" s="23"/>
      <c r="D12" s="23"/>
      <c r="E12" s="23"/>
      <c r="F12" s="23"/>
      <c r="G12" s="33">
        <v>11718</v>
      </c>
      <c r="H12" s="33">
        <v>10556</v>
      </c>
      <c r="I12" s="1"/>
      <c r="J12" s="1"/>
      <c r="K12" s="1"/>
      <c r="L12" s="1"/>
    </row>
    <row r="13" ht="15" customHeight="1">
      <c r="A13" s="1"/>
      <c r="B13" s="17" t="s">
        <v>698</v>
      </c>
      <c r="C13" s="33">
        <v>2961</v>
      </c>
      <c r="D13" s="33">
        <v>9065</v>
      </c>
      <c r="E13" s="33">
        <v>3331</v>
      </c>
      <c r="F13" s="33">
        <v>12396</v>
      </c>
      <c r="G13" s="33">
        <v>2814</v>
      </c>
      <c r="H13" s="33">
        <v>3114</v>
      </c>
      <c r="I13" s="1"/>
      <c r="J13" s="1"/>
      <c r="K13" s="1"/>
      <c r="L13" s="1"/>
    </row>
    <row r="14" ht="15" customHeight="1">
      <c r="A14" s="1"/>
      <c r="B14" s="17" t="s">
        <v>699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1"/>
      <c r="J14" s="1"/>
      <c r="K14" s="1"/>
      <c r="L14" s="1"/>
    </row>
    <row r="15" ht="15" customHeight="1">
      <c r="A15" s="1"/>
      <c r="B15" s="17" t="s">
        <v>700</v>
      </c>
      <c r="C15" s="33">
        <v>33</v>
      </c>
      <c r="D15" s="33">
        <v>99</v>
      </c>
      <c r="E15" s="23">
        <f t="shared" si="0" ref="E15:E143">F15-D15</f>
        <v>33</v>
      </c>
      <c r="F15" s="33">
        <v>132</v>
      </c>
      <c r="G15" s="33">
        <v>41</v>
      </c>
      <c r="H15" s="33">
        <v>38</v>
      </c>
      <c r="I15" s="1"/>
      <c r="J15" s="1"/>
      <c r="K15" s="1"/>
      <c r="L15" s="1"/>
    </row>
    <row r="16" ht="15" customHeight="1">
      <c r="A16" s="1"/>
      <c r="B16" s="17" t="s">
        <v>701</v>
      </c>
      <c r="C16" s="33">
        <v>309</v>
      </c>
      <c r="D16" s="33">
        <v>927</v>
      </c>
      <c r="E16" s="33">
        <v>309</v>
      </c>
      <c r="F16" s="33">
        <v>1236</v>
      </c>
      <c r="G16" s="33">
        <v>-183</v>
      </c>
      <c r="H16" s="33">
        <v>321</v>
      </c>
      <c r="I16" s="1"/>
      <c r="J16" s="1"/>
      <c r="K16" s="1"/>
      <c r="L16" s="1"/>
    </row>
    <row r="17" ht="15" customHeight="1">
      <c r="A17" s="1"/>
      <c r="B17" s="17" t="s">
        <v>702</v>
      </c>
      <c r="C17" s="33">
        <v>2451</v>
      </c>
      <c r="D17" s="33">
        <v>7641</v>
      </c>
      <c r="E17" s="23">
        <f t="shared" si="0"/>
        <v>2723</v>
      </c>
      <c r="F17" s="33">
        <v>10364</v>
      </c>
      <c r="G17" s="33">
        <v>2290</v>
      </c>
      <c r="H17" s="33">
        <v>2526</v>
      </c>
      <c r="I17" s="1"/>
      <c r="J17" s="1"/>
      <c r="K17" s="1"/>
      <c r="L17" s="1"/>
    </row>
    <row r="18" ht="15" customHeight="1">
      <c r="A18" s="1"/>
      <c r="B18" s="17" t="s">
        <v>703</v>
      </c>
      <c r="C18" s="33">
        <v>470</v>
      </c>
      <c r="D18" s="33">
        <v>1309</v>
      </c>
      <c r="E18" s="23">
        <f t="shared" si="0"/>
        <v>569</v>
      </c>
      <c r="F18" s="33">
        <v>1878</v>
      </c>
      <c r="G18" s="33">
        <v>478</v>
      </c>
      <c r="H18" s="33">
        <v>544</v>
      </c>
      <c r="I18" s="1"/>
      <c r="J18" s="1"/>
      <c r="K18" s="1"/>
      <c r="L18" s="1"/>
    </row>
    <row r="19" ht="15" customHeight="1">
      <c r="A19" s="1"/>
      <c r="B19" s="17" t="s">
        <v>704</v>
      </c>
      <c r="C19" s="33">
        <v>7</v>
      </c>
      <c r="D19" s="33">
        <v>16</v>
      </c>
      <c r="E19" s="23">
        <f t="shared" si="0"/>
        <v>6</v>
      </c>
      <c r="F19" s="33">
        <v>22</v>
      </c>
      <c r="G19" s="33">
        <v>5</v>
      </c>
      <c r="H19" s="33">
        <v>6</v>
      </c>
      <c r="I19" s="1"/>
      <c r="J19" s="1"/>
      <c r="K19" s="1"/>
      <c r="L19" s="1"/>
    </row>
    <row r="20" ht="15" customHeight="1">
      <c r="A20" s="1"/>
      <c r="B20" s="17" t="s">
        <v>705</v>
      </c>
      <c r="C20" s="33">
        <v>1321</v>
      </c>
      <c r="D20" s="33">
        <v>4080</v>
      </c>
      <c r="E20" s="23">
        <f t="shared" si="0"/>
        <v>1420</v>
      </c>
      <c r="F20" s="33">
        <v>5500</v>
      </c>
      <c r="G20" s="33">
        <v>1339</v>
      </c>
      <c r="H20" s="33">
        <v>1461</v>
      </c>
      <c r="I20" s="1"/>
      <c r="J20" s="1"/>
      <c r="K20" s="1"/>
      <c r="L20" s="1"/>
    </row>
    <row r="21" ht="15" customHeight="1">
      <c r="A21" s="1"/>
      <c r="B21" s="17" t="s">
        <v>706</v>
      </c>
      <c r="C21" s="33">
        <v>1607</v>
      </c>
      <c r="D21" s="33">
        <v>4886</v>
      </c>
      <c r="E21" s="23">
        <f t="shared" si="0"/>
        <v>1878</v>
      </c>
      <c r="F21" s="33">
        <v>6764</v>
      </c>
      <c r="G21" s="33">
        <v>1434</v>
      </c>
      <c r="H21" s="33">
        <v>1615</v>
      </c>
      <c r="I21" s="1"/>
      <c r="J21" s="1"/>
      <c r="K21" s="1"/>
      <c r="L21" s="1"/>
    </row>
    <row r="22" ht="15" customHeight="1">
      <c r="A22" s="1"/>
      <c r="B22" s="17" t="s">
        <v>707</v>
      </c>
      <c r="C22" s="33">
        <v>2458</v>
      </c>
      <c r="D22" s="33">
        <v>7657</v>
      </c>
      <c r="E22" s="23">
        <f t="shared" si="0"/>
        <v>2729</v>
      </c>
      <c r="F22" s="33">
        <v>10386</v>
      </c>
      <c r="G22" s="33">
        <v>2295</v>
      </c>
      <c r="H22" s="33">
        <v>2532</v>
      </c>
      <c r="I22" s="1"/>
      <c r="J22" s="1"/>
      <c r="K22" s="1"/>
      <c r="L22" s="1"/>
    </row>
    <row r="23" ht="15" customHeight="1">
      <c r="A23" s="1"/>
      <c r="B23" s="17" t="s">
        <v>708</v>
      </c>
      <c r="C23" s="33">
        <v>200</v>
      </c>
      <c r="D23" s="33">
        <v>534</v>
      </c>
      <c r="E23" s="23">
        <f t="shared" si="0"/>
        <v>210</v>
      </c>
      <c r="F23" s="33">
        <v>744</v>
      </c>
      <c r="G23" s="33">
        <v>200</v>
      </c>
      <c r="H23" s="33">
        <v>226</v>
      </c>
      <c r="I23" s="1"/>
      <c r="J23" s="1"/>
      <c r="K23" s="1"/>
      <c r="L23" s="1"/>
    </row>
    <row r="24" ht="15" customHeight="1">
      <c r="A24" s="1"/>
      <c r="B24" s="17" t="s">
        <v>709</v>
      </c>
      <c r="C24" s="33">
        <v>259</v>
      </c>
      <c r="D24" s="33">
        <v>749</v>
      </c>
      <c r="E24" s="23">
        <f t="shared" si="0"/>
        <v>348</v>
      </c>
      <c r="F24" s="33">
        <v>1097</v>
      </c>
      <c r="G24" s="33">
        <v>269</v>
      </c>
      <c r="H24" s="33">
        <v>301</v>
      </c>
      <c r="I24" s="1"/>
      <c r="J24" s="1"/>
      <c r="K24" s="1"/>
      <c r="L24" s="1"/>
    </row>
    <row r="25" ht="15" customHeight="1">
      <c r="A25" s="1"/>
      <c r="B25" s="17" t="s">
        <v>710</v>
      </c>
      <c r="C25" s="33">
        <v>11</v>
      </c>
      <c r="D25" s="33">
        <v>26</v>
      </c>
      <c r="E25" s="23">
        <f t="shared" si="0"/>
        <v>11</v>
      </c>
      <c r="F25" s="33">
        <v>37</v>
      </c>
      <c r="G25" s="33">
        <v>9</v>
      </c>
      <c r="H25" s="33">
        <v>17</v>
      </c>
      <c r="I25" s="1"/>
      <c r="J25" s="1"/>
      <c r="K25" s="1"/>
      <c r="L25" s="1"/>
    </row>
    <row r="26" ht="15" customHeight="1">
      <c r="A26" s="1"/>
      <c r="B26" s="17" t="s">
        <v>711</v>
      </c>
      <c r="C26" s="33">
        <v>48</v>
      </c>
      <c r="D26" s="33">
        <v>165</v>
      </c>
      <c r="E26" s="23">
        <f t="shared" si="0"/>
        <v>-8</v>
      </c>
      <c r="F26" s="33">
        <v>157</v>
      </c>
      <c r="G26" s="33">
        <v>-189</v>
      </c>
      <c r="H26" s="33">
        <v>30</v>
      </c>
      <c r="I26" s="1"/>
      <c r="J26" s="1"/>
      <c r="K26" s="1"/>
      <c r="L26" s="1"/>
    </row>
    <row r="27" ht="15" customHeight="1">
      <c r="A27" s="1"/>
      <c r="B27" s="17" t="s">
        <v>712</v>
      </c>
      <c r="C27" s="33">
        <v>92</v>
      </c>
      <c r="D27" s="33">
        <v>266</v>
      </c>
      <c r="E27" s="23">
        <f t="shared" si="0"/>
        <v>119</v>
      </c>
      <c r="F27" s="33">
        <v>385</v>
      </c>
      <c r="G27" s="33">
        <v>89</v>
      </c>
      <c r="H27" s="33">
        <v>92</v>
      </c>
      <c r="I27" s="1"/>
      <c r="J27" s="1"/>
      <c r="K27" s="1"/>
      <c r="L27" s="1"/>
    </row>
    <row r="28" ht="15" customHeight="1">
      <c r="A28" s="1"/>
      <c r="B28" s="17" t="s">
        <v>713</v>
      </c>
      <c r="C28" s="33">
        <v>139</v>
      </c>
      <c r="D28" s="33">
        <v>339</v>
      </c>
      <c r="E28" s="23">
        <f t="shared" si="0"/>
        <v>261</v>
      </c>
      <c r="F28" s="33">
        <v>600</v>
      </c>
      <c r="G28" s="33">
        <v>79</v>
      </c>
      <c r="H28" s="33">
        <v>69</v>
      </c>
      <c r="I28" s="1"/>
      <c r="J28" s="1"/>
      <c r="K28" s="1"/>
      <c r="L28" s="1"/>
    </row>
    <row r="29" ht="15" customHeight="1">
      <c r="A29" s="1"/>
      <c r="B29" s="17" t="s">
        <v>714</v>
      </c>
      <c r="C29" s="23"/>
      <c r="D29" s="23"/>
      <c r="E29" s="23"/>
      <c r="F29" s="23"/>
      <c r="G29" s="23">
        <f t="shared" si="1"/>
        <v>26614</v>
      </c>
      <c r="H29" s="23">
        <f t="shared" si="2"/>
        <v>26546</v>
      </c>
      <c r="I29" s="1"/>
      <c r="J29" s="1"/>
      <c r="K29" s="1"/>
      <c r="L29" s="1"/>
    </row>
    <row r="30" ht="15" customHeight="1">
      <c r="A30" s="1"/>
      <c r="B30" s="17" t="s">
        <v>715</v>
      </c>
      <c r="C30" s="23"/>
      <c r="D30" s="23"/>
      <c r="E30" s="33">
        <v>26614</v>
      </c>
      <c r="F30" s="23">
        <f t="shared" si="3"/>
        <v>26614</v>
      </c>
      <c r="G30" s="33">
        <v>26546</v>
      </c>
      <c r="H30" s="33">
        <v>27029</v>
      </c>
      <c r="I30" s="1"/>
      <c r="J30" s="1"/>
      <c r="K30" s="1"/>
      <c r="L30" s="1"/>
    </row>
    <row r="31" ht="15" customHeight="1">
      <c r="A31" s="1"/>
      <c r="B31" s="17" t="s">
        <v>716</v>
      </c>
      <c r="C31" s="23"/>
      <c r="D31" s="23"/>
      <c r="E31" s="23"/>
      <c r="F31" s="23"/>
      <c r="G31" s="33">
        <v>8851</v>
      </c>
      <c r="H31" s="33">
        <v>8205</v>
      </c>
      <c r="I31" s="1"/>
      <c r="J31" s="1"/>
      <c r="K31" s="1"/>
      <c r="L31" s="1"/>
    </row>
    <row r="32" ht="15" customHeight="1">
      <c r="A32" s="1"/>
      <c r="B32" s="17" t="s">
        <v>717</v>
      </c>
      <c r="C32" s="33">
        <v>1800</v>
      </c>
      <c r="D32" s="33">
        <v>5396</v>
      </c>
      <c r="E32" s="33">
        <v>2003</v>
      </c>
      <c r="F32" s="33">
        <v>7399</v>
      </c>
      <c r="G32" s="33">
        <v>1805</v>
      </c>
      <c r="H32" s="33">
        <v>1991</v>
      </c>
      <c r="I32" s="1"/>
      <c r="J32" s="1"/>
      <c r="K32" s="1"/>
      <c r="L32" s="1"/>
    </row>
    <row r="33" ht="15" customHeight="1">
      <c r="A33" s="1"/>
      <c r="B33" s="17" t="s">
        <v>718</v>
      </c>
      <c r="C33" s="33">
        <v>70</v>
      </c>
      <c r="D33" s="33">
        <v>226</v>
      </c>
      <c r="E33" s="33">
        <v>78</v>
      </c>
      <c r="F33" s="33">
        <v>304</v>
      </c>
      <c r="G33" s="33">
        <v>72</v>
      </c>
      <c r="H33" s="33">
        <v>40</v>
      </c>
      <c r="I33" s="1"/>
      <c r="J33" s="1"/>
      <c r="K33" s="1"/>
      <c r="L33" s="1"/>
    </row>
    <row r="34" ht="15" customHeight="1">
      <c r="A34" s="1"/>
      <c r="B34" s="17" t="s">
        <v>719</v>
      </c>
      <c r="C34" s="33">
        <v>43</v>
      </c>
      <c r="D34" s="33">
        <v>130</v>
      </c>
      <c r="E34" s="23">
        <f t="shared" si="0"/>
        <v>41</v>
      </c>
      <c r="F34" s="33">
        <v>171</v>
      </c>
      <c r="G34" s="33">
        <v>45</v>
      </c>
      <c r="H34" s="33">
        <v>53</v>
      </c>
      <c r="I34" s="1"/>
      <c r="J34" s="1"/>
      <c r="K34" s="1"/>
      <c r="L34" s="1"/>
    </row>
    <row r="35" ht="15" customHeight="1">
      <c r="A35" s="1"/>
      <c r="B35" s="17" t="s">
        <v>720</v>
      </c>
      <c r="C35" s="33">
        <v>160</v>
      </c>
      <c r="D35" s="33">
        <v>507</v>
      </c>
      <c r="E35" s="33">
        <v>209</v>
      </c>
      <c r="F35" s="33">
        <v>716</v>
      </c>
      <c r="G35" s="33">
        <v>179</v>
      </c>
      <c r="H35" s="33">
        <v>253</v>
      </c>
      <c r="I35" s="1"/>
      <c r="J35" s="1"/>
      <c r="K35" s="1"/>
      <c r="L35" s="1"/>
    </row>
    <row r="36" ht="15" customHeight="1">
      <c r="A36" s="1"/>
      <c r="B36" s="17" t="s">
        <v>721</v>
      </c>
      <c r="C36" s="33">
        <v>1472</v>
      </c>
      <c r="D36" s="33">
        <v>4435</v>
      </c>
      <c r="E36" s="23">
        <f t="shared" si="0"/>
        <v>1621</v>
      </c>
      <c r="F36" s="33">
        <v>6056</v>
      </c>
      <c r="G36" s="33">
        <v>1451</v>
      </c>
      <c r="H36" s="33">
        <v>1611</v>
      </c>
      <c r="I36" s="1"/>
      <c r="J36" s="1"/>
      <c r="K36" s="1"/>
      <c r="L36" s="1"/>
    </row>
    <row r="37" ht="15" customHeight="1">
      <c r="A37" s="1"/>
      <c r="B37" s="17" t="s">
        <v>722</v>
      </c>
      <c r="C37" s="33">
        <v>271</v>
      </c>
      <c r="D37" s="33">
        <v>777</v>
      </c>
      <c r="E37" s="23">
        <f t="shared" si="0"/>
        <v>324</v>
      </c>
      <c r="F37" s="33">
        <v>1101</v>
      </c>
      <c r="G37" s="33">
        <v>289</v>
      </c>
      <c r="H37" s="33">
        <v>305</v>
      </c>
      <c r="I37" s="1"/>
      <c r="J37" s="1"/>
      <c r="K37" s="1"/>
      <c r="L37" s="1"/>
    </row>
    <row r="38" ht="15" customHeight="1">
      <c r="A38" s="1"/>
      <c r="B38" s="17" t="s">
        <v>723</v>
      </c>
      <c r="C38" s="33">
        <v>14</v>
      </c>
      <c r="D38" s="33">
        <v>54</v>
      </c>
      <c r="E38" s="23">
        <f t="shared" si="0"/>
        <v>17</v>
      </c>
      <c r="F38" s="33">
        <v>71</v>
      </c>
      <c r="G38" s="33">
        <v>20</v>
      </c>
      <c r="H38" s="33">
        <v>22</v>
      </c>
      <c r="I38" s="1"/>
      <c r="J38" s="1"/>
      <c r="K38" s="1"/>
      <c r="L38" s="1"/>
    </row>
    <row r="39" ht="15" customHeight="1">
      <c r="A39" s="1"/>
      <c r="B39" s="17" t="s">
        <v>724</v>
      </c>
      <c r="C39" s="33">
        <v>965</v>
      </c>
      <c r="D39" s="33">
        <v>2843</v>
      </c>
      <c r="E39" s="23">
        <f t="shared" si="0"/>
        <v>1032</v>
      </c>
      <c r="F39" s="33">
        <v>3875</v>
      </c>
      <c r="G39" s="33">
        <v>965</v>
      </c>
      <c r="H39" s="33">
        <v>1084</v>
      </c>
      <c r="I39" s="1"/>
      <c r="J39" s="1"/>
      <c r="K39" s="1"/>
      <c r="L39" s="1"/>
    </row>
    <row r="40" ht="15" customHeight="1">
      <c r="A40" s="1"/>
      <c r="B40" s="17" t="s">
        <v>725</v>
      </c>
      <c r="C40" s="33">
        <v>792</v>
      </c>
      <c r="D40" s="33">
        <v>2423</v>
      </c>
      <c r="E40" s="23">
        <f t="shared" si="0"/>
        <v>930</v>
      </c>
      <c r="F40" s="33">
        <v>3353</v>
      </c>
      <c r="G40" s="33">
        <v>795</v>
      </c>
      <c r="H40" s="33">
        <v>854</v>
      </c>
      <c r="I40" s="1"/>
      <c r="J40" s="1"/>
      <c r="K40" s="1"/>
      <c r="L40" s="1"/>
    </row>
    <row r="41" ht="15" customHeight="1">
      <c r="A41" s="1"/>
      <c r="B41" s="17" t="s">
        <v>726</v>
      </c>
      <c r="C41" s="33">
        <v>1486</v>
      </c>
      <c r="D41" s="33">
        <v>4489</v>
      </c>
      <c r="E41" s="23">
        <f t="shared" si="0"/>
        <v>1638</v>
      </c>
      <c r="F41" s="33">
        <v>6127</v>
      </c>
      <c r="G41" s="33">
        <v>1471</v>
      </c>
      <c r="H41" s="33">
        <v>1633</v>
      </c>
      <c r="I41" s="1"/>
      <c r="J41" s="1"/>
      <c r="K41" s="1"/>
      <c r="L41" s="1"/>
    </row>
    <row r="42" ht="15" customHeight="1">
      <c r="A42" s="1"/>
      <c r="B42" s="17" t="s">
        <v>727</v>
      </c>
      <c r="C42" s="33">
        <v>74</v>
      </c>
      <c r="D42" s="33">
        <v>204</v>
      </c>
      <c r="E42" s="23">
        <f t="shared" si="0"/>
        <v>90</v>
      </c>
      <c r="F42" s="33">
        <v>294</v>
      </c>
      <c r="G42" s="33">
        <v>81</v>
      </c>
      <c r="H42" s="33">
        <v>79</v>
      </c>
      <c r="I42" s="1"/>
      <c r="J42" s="1"/>
      <c r="K42" s="1"/>
      <c r="L42" s="1"/>
    </row>
    <row r="43" ht="15" customHeight="1">
      <c r="A43" s="1"/>
      <c r="B43" s="17" t="s">
        <v>728</v>
      </c>
      <c r="C43" s="33">
        <v>144</v>
      </c>
      <c r="D43" s="33">
        <v>440</v>
      </c>
      <c r="E43" s="23">
        <f t="shared" si="0"/>
        <v>176</v>
      </c>
      <c r="F43" s="33">
        <v>616</v>
      </c>
      <c r="G43" s="33">
        <v>170</v>
      </c>
      <c r="H43" s="33">
        <v>168</v>
      </c>
      <c r="I43" s="1"/>
      <c r="J43" s="1"/>
      <c r="K43" s="1"/>
      <c r="L43" s="1"/>
    </row>
    <row r="44" ht="15" customHeight="1">
      <c r="A44" s="1"/>
      <c r="B44" s="17" t="s">
        <v>729</v>
      </c>
      <c r="C44" s="33">
        <v>53</v>
      </c>
      <c r="D44" s="33">
        <v>133</v>
      </c>
      <c r="E44" s="23">
        <f t="shared" si="0"/>
        <v>58</v>
      </c>
      <c r="F44" s="33">
        <v>191</v>
      </c>
      <c r="G44" s="33">
        <v>38</v>
      </c>
      <c r="H44" s="33">
        <v>58</v>
      </c>
      <c r="I44" s="1"/>
      <c r="J44" s="1"/>
      <c r="K44" s="1"/>
      <c r="L44" s="1"/>
    </row>
    <row r="45" ht="15" customHeight="1">
      <c r="A45" s="1"/>
      <c r="B45" s="17" t="s">
        <v>730</v>
      </c>
      <c r="C45" s="33">
        <v>10</v>
      </c>
      <c r="D45" s="33">
        <v>45</v>
      </c>
      <c r="E45" s="23">
        <f t="shared" si="0"/>
        <v>45</v>
      </c>
      <c r="F45" s="33">
        <v>90</v>
      </c>
      <c r="G45" s="33">
        <v>23</v>
      </c>
      <c r="H45" s="33">
        <v>83</v>
      </c>
      <c r="I45" s="1"/>
      <c r="J45" s="1"/>
      <c r="K45" s="1"/>
      <c r="L45" s="1"/>
    </row>
    <row r="46" ht="15" customHeight="1">
      <c r="A46" s="1"/>
      <c r="B46" s="17" t="s">
        <v>731</v>
      </c>
      <c r="C46" s="33">
        <v>44</v>
      </c>
      <c r="D46" s="33">
        <v>129</v>
      </c>
      <c r="E46" s="23">
        <f t="shared" si="0"/>
        <v>46</v>
      </c>
      <c r="F46" s="33">
        <v>175</v>
      </c>
      <c r="G46" s="33">
        <v>43</v>
      </c>
      <c r="H46" s="33">
        <v>42</v>
      </c>
      <c r="I46" s="1"/>
      <c r="J46" s="1"/>
      <c r="K46" s="1"/>
      <c r="L46" s="1"/>
    </row>
    <row r="47" ht="15" customHeight="1">
      <c r="A47" s="1"/>
      <c r="B47" s="17" t="s">
        <v>732</v>
      </c>
      <c r="C47" s="33">
        <v>24</v>
      </c>
      <c r="D47" s="33">
        <v>46</v>
      </c>
      <c r="E47" s="23">
        <f t="shared" si="0"/>
        <v>89</v>
      </c>
      <c r="F47" s="33">
        <v>135</v>
      </c>
      <c r="G47" s="33">
        <v>12</v>
      </c>
      <c r="H47" s="33">
        <v>11</v>
      </c>
      <c r="I47" s="1"/>
      <c r="J47" s="1"/>
      <c r="K47" s="1"/>
      <c r="L47" s="1"/>
    </row>
    <row r="48" ht="15" customHeight="1">
      <c r="A48" s="1"/>
      <c r="B48" s="17" t="s">
        <v>733</v>
      </c>
      <c r="C48" s="23"/>
      <c r="D48" s="23"/>
      <c r="E48" s="23"/>
      <c r="F48" s="23"/>
      <c r="G48" s="23">
        <f t="shared" si="1"/>
        <v>16443</v>
      </c>
      <c r="H48" s="23">
        <f t="shared" si="2"/>
        <v>17626</v>
      </c>
      <c r="I48" s="1"/>
      <c r="J48" s="1"/>
      <c r="K48" s="1"/>
      <c r="L48" s="1"/>
    </row>
    <row r="49" ht="15" customHeight="1">
      <c r="A49" s="1"/>
      <c r="B49" s="17" t="s">
        <v>734</v>
      </c>
      <c r="C49" s="23"/>
      <c r="D49" s="23"/>
      <c r="E49" s="33">
        <v>16443</v>
      </c>
      <c r="F49" s="23">
        <f t="shared" si="3"/>
        <v>16443</v>
      </c>
      <c r="G49" s="33">
        <v>17626</v>
      </c>
      <c r="H49" s="33">
        <v>17544</v>
      </c>
      <c r="I49" s="1"/>
      <c r="J49" s="1"/>
      <c r="K49" s="1"/>
      <c r="L49" s="1"/>
    </row>
    <row r="50" ht="15" customHeight="1">
      <c r="A50" s="1"/>
      <c r="B50" s="17" t="s">
        <v>735</v>
      </c>
      <c r="C50" s="23"/>
      <c r="D50" s="23"/>
      <c r="E50" s="23"/>
      <c r="F50" s="23"/>
      <c r="G50" s="33">
        <v>12005</v>
      </c>
      <c r="H50" s="33">
        <v>11899</v>
      </c>
      <c r="I50" s="1"/>
      <c r="J50" s="1"/>
      <c r="K50" s="1"/>
      <c r="L50" s="1"/>
    </row>
    <row r="51" ht="15" customHeight="1">
      <c r="A51" s="1"/>
      <c r="B51" s="17" t="s">
        <v>736</v>
      </c>
      <c r="C51" s="33">
        <v>2823</v>
      </c>
      <c r="D51" s="33">
        <v>8255</v>
      </c>
      <c r="E51" s="33">
        <v>3144</v>
      </c>
      <c r="F51" s="33">
        <v>11399</v>
      </c>
      <c r="G51" s="33">
        <v>2807</v>
      </c>
      <c r="H51" s="33">
        <v>3157</v>
      </c>
      <c r="I51" s="1"/>
      <c r="J51" s="1"/>
      <c r="K51" s="1"/>
      <c r="L51" s="1"/>
    </row>
    <row r="52" ht="15" customHeight="1">
      <c r="A52" s="1"/>
      <c r="B52" s="17" t="s">
        <v>737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1"/>
      <c r="J52" s="1"/>
      <c r="K52" s="1"/>
      <c r="L52" s="1"/>
    </row>
    <row r="53" ht="15" customHeight="1">
      <c r="A53" s="1"/>
      <c r="B53" s="17" t="s">
        <v>738</v>
      </c>
      <c r="C53" s="33">
        <v>275</v>
      </c>
      <c r="D53" s="33">
        <v>849</v>
      </c>
      <c r="E53" s="23">
        <f t="shared" si="0"/>
        <v>328</v>
      </c>
      <c r="F53" s="33">
        <v>1177</v>
      </c>
      <c r="G53" s="33">
        <v>335</v>
      </c>
      <c r="H53" s="33">
        <v>341</v>
      </c>
      <c r="I53" s="1"/>
      <c r="J53" s="1"/>
      <c r="K53" s="1"/>
      <c r="L53" s="1"/>
    </row>
    <row r="54" ht="15" customHeight="1">
      <c r="A54" s="1"/>
      <c r="B54" s="17" t="s">
        <v>739</v>
      </c>
      <c r="C54" s="33">
        <v>390</v>
      </c>
      <c r="D54" s="33">
        <v>1129</v>
      </c>
      <c r="E54" s="33">
        <v>469</v>
      </c>
      <c r="F54" s="33">
        <v>1598</v>
      </c>
      <c r="G54" s="33">
        <v>361</v>
      </c>
      <c r="H54" s="33">
        <v>441</v>
      </c>
      <c r="I54" s="1"/>
      <c r="J54" s="1"/>
      <c r="K54" s="1"/>
      <c r="L54" s="1"/>
    </row>
    <row r="55" ht="15" customHeight="1">
      <c r="A55" s="1"/>
      <c r="B55" s="17" t="s">
        <v>740</v>
      </c>
      <c r="C55" s="33">
        <v>2093</v>
      </c>
      <c r="D55" s="33">
        <v>6033</v>
      </c>
      <c r="E55" s="23">
        <f t="shared" si="0"/>
        <v>2289</v>
      </c>
      <c r="F55" s="33">
        <v>8322</v>
      </c>
      <c r="G55" s="33">
        <v>1973</v>
      </c>
      <c r="H55" s="33">
        <v>2282</v>
      </c>
      <c r="I55" s="1"/>
      <c r="J55" s="1"/>
      <c r="K55" s="1"/>
      <c r="L55" s="1"/>
    </row>
    <row r="56" ht="15" customHeight="1">
      <c r="A56" s="1"/>
      <c r="B56" s="17" t="s">
        <v>741</v>
      </c>
      <c r="C56" s="33">
        <v>427</v>
      </c>
      <c r="D56" s="33">
        <v>1308</v>
      </c>
      <c r="E56" s="23">
        <f t="shared" si="0"/>
        <v>501</v>
      </c>
      <c r="F56" s="33">
        <v>1809</v>
      </c>
      <c r="G56" s="33">
        <v>475</v>
      </c>
      <c r="H56" s="33">
        <v>505</v>
      </c>
      <c r="I56" s="1"/>
      <c r="J56" s="1"/>
      <c r="K56" s="1"/>
      <c r="L56" s="1"/>
    </row>
    <row r="57" ht="15" customHeight="1">
      <c r="A57" s="1"/>
      <c r="B57" s="17" t="s">
        <v>742</v>
      </c>
      <c r="C57" s="33">
        <v>28</v>
      </c>
      <c r="D57" s="33">
        <v>65</v>
      </c>
      <c r="E57" s="23">
        <f t="shared" si="0"/>
        <v>26</v>
      </c>
      <c r="F57" s="33">
        <v>91</v>
      </c>
      <c r="G57" s="33">
        <v>24</v>
      </c>
      <c r="H57" s="33">
        <v>29</v>
      </c>
      <c r="I57" s="1"/>
      <c r="J57" s="1"/>
      <c r="K57" s="1"/>
      <c r="L57" s="1"/>
    </row>
    <row r="58" ht="15" customHeight="1">
      <c r="A58" s="1"/>
      <c r="B58" s="17" t="s">
        <v>743</v>
      </c>
      <c r="C58" s="33">
        <v>1216</v>
      </c>
      <c r="D58" s="33">
        <v>3390</v>
      </c>
      <c r="E58" s="23">
        <f t="shared" si="0"/>
        <v>1199</v>
      </c>
      <c r="F58" s="33">
        <v>4589</v>
      </c>
      <c r="G58" s="33">
        <v>1163</v>
      </c>
      <c r="H58" s="33">
        <v>1406</v>
      </c>
      <c r="I58" s="1"/>
      <c r="J58" s="1"/>
      <c r="K58" s="1"/>
      <c r="L58" s="1"/>
    </row>
    <row r="59" ht="15" customHeight="1">
      <c r="A59" s="1"/>
      <c r="B59" s="17" t="s">
        <v>744</v>
      </c>
      <c r="C59" s="33">
        <v>1332</v>
      </c>
      <c r="D59" s="33">
        <v>4016</v>
      </c>
      <c r="E59" s="23">
        <f t="shared" si="0"/>
        <v>1617</v>
      </c>
      <c r="F59" s="33">
        <v>5633</v>
      </c>
      <c r="G59" s="33">
        <v>1309</v>
      </c>
      <c r="H59" s="33">
        <v>1410</v>
      </c>
      <c r="I59" s="1"/>
      <c r="J59" s="1"/>
      <c r="K59" s="1"/>
      <c r="L59" s="1"/>
    </row>
    <row r="60" ht="15" customHeight="1">
      <c r="A60" s="1"/>
      <c r="B60" s="17" t="s">
        <v>745</v>
      </c>
      <c r="C60" s="33">
        <v>2121</v>
      </c>
      <c r="D60" s="33">
        <v>6098</v>
      </c>
      <c r="E60" s="23">
        <f t="shared" si="0"/>
        <v>2315</v>
      </c>
      <c r="F60" s="33">
        <v>8413</v>
      </c>
      <c r="G60" s="33">
        <v>1997</v>
      </c>
      <c r="H60" s="33">
        <v>2311</v>
      </c>
      <c r="I60" s="1"/>
      <c r="J60" s="1"/>
      <c r="K60" s="1"/>
      <c r="L60" s="1"/>
    </row>
    <row r="61" ht="15" customHeight="1">
      <c r="A61" s="1"/>
      <c r="B61" s="17" t="s">
        <v>746</v>
      </c>
      <c r="C61" s="33">
        <v>98</v>
      </c>
      <c r="D61" s="33">
        <v>346</v>
      </c>
      <c r="E61" s="23">
        <f t="shared" si="0"/>
        <v>126</v>
      </c>
      <c r="F61" s="33">
        <v>472</v>
      </c>
      <c r="G61" s="33">
        <v>128</v>
      </c>
      <c r="H61" s="33">
        <v>132</v>
      </c>
      <c r="I61" s="1"/>
      <c r="J61" s="1"/>
      <c r="K61" s="1"/>
      <c r="L61" s="1"/>
    </row>
    <row r="62" ht="15" customHeight="1">
      <c r="A62" s="1"/>
      <c r="B62" s="17" t="s">
        <v>747</v>
      </c>
      <c r="C62" s="33">
        <v>246</v>
      </c>
      <c r="D62" s="33">
        <v>727</v>
      </c>
      <c r="E62" s="23">
        <f t="shared" si="0"/>
        <v>263</v>
      </c>
      <c r="F62" s="33">
        <v>990</v>
      </c>
      <c r="G62" s="33">
        <v>239</v>
      </c>
      <c r="H62" s="33">
        <v>263</v>
      </c>
      <c r="I62" s="1"/>
      <c r="J62" s="1"/>
      <c r="K62" s="1"/>
      <c r="L62" s="1"/>
    </row>
    <row r="63" ht="15" customHeight="1">
      <c r="A63" s="1"/>
      <c r="B63" s="17" t="s">
        <v>748</v>
      </c>
      <c r="C63" s="33">
        <v>83</v>
      </c>
      <c r="D63" s="33">
        <v>235</v>
      </c>
      <c r="E63" s="23">
        <f t="shared" si="0"/>
        <v>112</v>
      </c>
      <c r="F63" s="33">
        <v>347</v>
      </c>
      <c r="G63" s="33">
        <v>108</v>
      </c>
      <c r="H63" s="33">
        <v>110</v>
      </c>
      <c r="I63" s="1"/>
      <c r="J63" s="1"/>
      <c r="K63" s="1"/>
      <c r="L63" s="1"/>
    </row>
    <row r="64" ht="15" customHeight="1">
      <c r="A64" s="1"/>
      <c r="B64" s="17" t="s">
        <v>749</v>
      </c>
      <c r="C64" s="33">
        <v>16</v>
      </c>
      <c r="D64" s="33">
        <v>11</v>
      </c>
      <c r="E64" s="23">
        <f t="shared" si="0"/>
        <v>48</v>
      </c>
      <c r="F64" s="33">
        <v>59</v>
      </c>
      <c r="G64" s="33">
        <v>37</v>
      </c>
      <c r="H64" s="33">
        <v>5</v>
      </c>
      <c r="I64" s="1"/>
      <c r="J64" s="1"/>
      <c r="K64" s="1"/>
      <c r="L64" s="1"/>
    </row>
    <row r="65" ht="15" customHeight="1">
      <c r="A65" s="1"/>
      <c r="B65" s="17" t="s">
        <v>750</v>
      </c>
      <c r="C65" s="33">
        <v>64</v>
      </c>
      <c r="D65" s="33">
        <v>188</v>
      </c>
      <c r="E65" s="23">
        <f t="shared" si="0"/>
        <v>67</v>
      </c>
      <c r="F65" s="33">
        <v>255</v>
      </c>
      <c r="G65" s="33">
        <v>67</v>
      </c>
      <c r="H65" s="33">
        <v>68</v>
      </c>
      <c r="I65" s="1"/>
      <c r="J65" s="1"/>
      <c r="K65" s="1"/>
      <c r="L65" s="1"/>
    </row>
    <row r="66" ht="15" customHeight="1">
      <c r="A66" s="1"/>
      <c r="B66" s="17" t="s">
        <v>751</v>
      </c>
      <c r="C66" s="33">
        <v>62</v>
      </c>
      <c r="D66" s="33">
        <v>143</v>
      </c>
      <c r="E66" s="23">
        <f t="shared" si="0"/>
        <v>171</v>
      </c>
      <c r="F66" s="33">
        <v>314</v>
      </c>
      <c r="G66" s="33">
        <v>39</v>
      </c>
      <c r="H66" s="33">
        <v>47</v>
      </c>
      <c r="I66" s="1"/>
      <c r="J66" s="1"/>
      <c r="K66" s="1"/>
      <c r="L66" s="1"/>
    </row>
    <row r="67" ht="15" customHeight="1">
      <c r="A67" s="1"/>
      <c r="B67" s="17" t="s">
        <v>752</v>
      </c>
      <c r="C67" s="23"/>
      <c r="D67" s="23"/>
      <c r="E67" s="23"/>
      <c r="F67" s="23"/>
      <c r="G67" s="23">
        <f t="shared" si="1"/>
        <v>23209</v>
      </c>
      <c r="H67" s="23">
        <f t="shared" si="2"/>
        <v>23171</v>
      </c>
      <c r="I67" s="1"/>
      <c r="J67" s="1"/>
      <c r="K67" s="1"/>
      <c r="L67" s="1"/>
    </row>
    <row r="68" ht="15" customHeight="1">
      <c r="A68" s="1"/>
      <c r="B68" s="17" t="s">
        <v>753</v>
      </c>
      <c r="C68" s="23"/>
      <c r="D68" s="23"/>
      <c r="E68" s="33">
        <v>23209</v>
      </c>
      <c r="F68" s="23">
        <f t="shared" si="3"/>
        <v>23209</v>
      </c>
      <c r="G68" s="33">
        <v>23171</v>
      </c>
      <c r="H68" s="33">
        <v>21620</v>
      </c>
      <c r="I68" s="1"/>
      <c r="J68" s="1"/>
      <c r="K68" s="1"/>
      <c r="L68" s="1"/>
    </row>
    <row r="69" ht="15" customHeight="1">
      <c r="A69" s="1"/>
      <c r="B69" s="17" t="s">
        <v>754</v>
      </c>
      <c r="C69" s="23"/>
      <c r="D69" s="23"/>
      <c r="E69" s="23"/>
      <c r="F69" s="23"/>
      <c r="G69" s="33">
        <v>7368</v>
      </c>
      <c r="H69" s="33">
        <v>6800</v>
      </c>
      <c r="I69" s="1"/>
      <c r="J69" s="1"/>
      <c r="K69" s="1"/>
      <c r="L69" s="1"/>
    </row>
    <row r="70" ht="15" customHeight="1">
      <c r="A70" s="1"/>
      <c r="B70" s="17" t="s">
        <v>755</v>
      </c>
      <c r="C70" s="33">
        <v>2870</v>
      </c>
      <c r="D70" s="33">
        <v>9021</v>
      </c>
      <c r="E70" s="33">
        <v>2710</v>
      </c>
      <c r="F70" s="33">
        <v>11731</v>
      </c>
      <c r="G70" s="33">
        <v>2568</v>
      </c>
      <c r="H70" s="33">
        <v>2646</v>
      </c>
      <c r="I70" s="1"/>
      <c r="J70" s="1"/>
      <c r="K70" s="1"/>
      <c r="L70" s="1"/>
    </row>
    <row r="71" ht="15" customHeight="1">
      <c r="A71" s="1"/>
      <c r="B71" s="17" t="s">
        <v>756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1"/>
      <c r="J71" s="1"/>
      <c r="K71" s="1"/>
      <c r="L71" s="1"/>
    </row>
    <row r="72" ht="15" customHeight="1">
      <c r="A72" s="1"/>
      <c r="B72" s="17" t="s">
        <v>757</v>
      </c>
      <c r="C72" s="33">
        <v>107</v>
      </c>
      <c r="D72" s="33">
        <v>312</v>
      </c>
      <c r="E72" s="23">
        <f t="shared" si="0"/>
        <v>100</v>
      </c>
      <c r="F72" s="33">
        <v>412</v>
      </c>
      <c r="G72" s="33">
        <v>105</v>
      </c>
      <c r="H72" s="33">
        <v>125</v>
      </c>
      <c r="I72" s="1"/>
      <c r="J72" s="1"/>
      <c r="K72" s="1"/>
      <c r="L72" s="1"/>
    </row>
    <row r="73" ht="15" customHeight="1">
      <c r="A73" s="1"/>
      <c r="B73" s="17" t="s">
        <v>758</v>
      </c>
      <c r="C73" s="33">
        <v>345</v>
      </c>
      <c r="D73" s="33">
        <v>979</v>
      </c>
      <c r="E73" s="33">
        <v>275</v>
      </c>
      <c r="F73" s="33">
        <v>1254</v>
      </c>
      <c r="G73" s="33">
        <v>283</v>
      </c>
      <c r="H73" s="33">
        <v>280</v>
      </c>
      <c r="I73" s="1"/>
      <c r="J73" s="1"/>
      <c r="K73" s="1"/>
      <c r="L73" s="1"/>
    </row>
    <row r="74" ht="15" customHeight="1">
      <c r="A74" s="1"/>
      <c r="B74" s="17" t="s">
        <v>759</v>
      </c>
      <c r="C74" s="33">
        <v>2606</v>
      </c>
      <c r="D74" s="33">
        <v>8245</v>
      </c>
      <c r="E74" s="23">
        <f t="shared" si="0"/>
        <v>2449</v>
      </c>
      <c r="F74" s="33">
        <v>10694</v>
      </c>
      <c r="G74" s="33">
        <v>2309</v>
      </c>
      <c r="H74" s="33">
        <v>2349</v>
      </c>
      <c r="I74" s="1"/>
      <c r="J74" s="1"/>
      <c r="K74" s="1"/>
      <c r="L74" s="1"/>
    </row>
    <row r="75" ht="15" customHeight="1">
      <c r="A75" s="1"/>
      <c r="B75" s="17" t="s">
        <v>760</v>
      </c>
      <c r="C75" s="33">
        <v>50</v>
      </c>
      <c r="D75" s="33">
        <v>171</v>
      </c>
      <c r="E75" s="23">
        <f t="shared" si="0"/>
        <v>41</v>
      </c>
      <c r="F75" s="33">
        <v>212</v>
      </c>
      <c r="G75" s="33">
        <v>44</v>
      </c>
      <c r="H75" s="33">
        <v>47</v>
      </c>
      <c r="I75" s="1"/>
      <c r="J75" s="1"/>
      <c r="K75" s="1"/>
      <c r="L75" s="1"/>
    </row>
    <row r="76" ht="15" customHeight="1">
      <c r="A76" s="1"/>
      <c r="B76" s="17" t="s">
        <v>761</v>
      </c>
      <c r="C76" s="33">
        <v>107</v>
      </c>
      <c r="D76" s="33">
        <v>293</v>
      </c>
      <c r="E76" s="23">
        <f t="shared" si="0"/>
        <v>120</v>
      </c>
      <c r="F76" s="33">
        <v>413</v>
      </c>
      <c r="G76" s="33">
        <v>110</v>
      </c>
      <c r="H76" s="33">
        <v>125</v>
      </c>
      <c r="I76" s="1"/>
      <c r="J76" s="1"/>
      <c r="K76" s="1"/>
      <c r="L76" s="1"/>
    </row>
    <row r="77" ht="15" customHeight="1">
      <c r="A77" s="1"/>
      <c r="B77" s="17" t="s">
        <v>762</v>
      </c>
      <c r="C77" s="33">
        <v>1750</v>
      </c>
      <c r="D77" s="33">
        <v>5429</v>
      </c>
      <c r="E77" s="23">
        <f t="shared" si="0"/>
        <v>1571</v>
      </c>
      <c r="F77" s="33">
        <v>7000</v>
      </c>
      <c r="G77" s="33">
        <v>1540</v>
      </c>
      <c r="H77" s="33">
        <v>1562</v>
      </c>
      <c r="I77" s="1"/>
      <c r="J77" s="1"/>
      <c r="K77" s="1"/>
      <c r="L77" s="1"/>
    </row>
    <row r="78" ht="15" customHeight="1">
      <c r="A78" s="1"/>
      <c r="B78" s="17" t="s">
        <v>763</v>
      </c>
      <c r="C78" s="33">
        <v>1013</v>
      </c>
      <c r="D78" s="33">
        <v>3280</v>
      </c>
      <c r="E78" s="23">
        <f t="shared" si="0"/>
        <v>1039</v>
      </c>
      <c r="F78" s="33">
        <v>4319</v>
      </c>
      <c r="G78" s="33">
        <v>923</v>
      </c>
      <c r="H78" s="33">
        <v>959</v>
      </c>
      <c r="I78" s="1"/>
      <c r="J78" s="1"/>
      <c r="K78" s="1"/>
      <c r="L78" s="1"/>
    </row>
    <row r="79" ht="15" customHeight="1">
      <c r="A79" s="1"/>
      <c r="B79" s="17" t="s">
        <v>764</v>
      </c>
      <c r="C79" s="33">
        <v>2713</v>
      </c>
      <c r="D79" s="33">
        <v>8538</v>
      </c>
      <c r="E79" s="23">
        <f t="shared" si="0"/>
        <v>2569</v>
      </c>
      <c r="F79" s="33">
        <v>11107</v>
      </c>
      <c r="G79" s="33">
        <v>2419</v>
      </c>
      <c r="H79" s="33">
        <v>2474</v>
      </c>
      <c r="I79" s="1"/>
      <c r="J79" s="1"/>
      <c r="K79" s="1"/>
      <c r="L79" s="1"/>
    </row>
    <row r="80" ht="15" customHeight="1">
      <c r="A80" s="1"/>
      <c r="B80" s="17" t="s">
        <v>765</v>
      </c>
      <c r="C80" s="33">
        <v>6</v>
      </c>
      <c r="D80" s="33">
        <v>30</v>
      </c>
      <c r="E80" s="23">
        <f t="shared" si="0"/>
        <v>12</v>
      </c>
      <c r="F80" s="33">
        <v>42</v>
      </c>
      <c r="G80" s="33">
        <v>8</v>
      </c>
      <c r="H80" s="33">
        <v>15</v>
      </c>
      <c r="I80" s="1"/>
      <c r="J80" s="1"/>
      <c r="K80" s="1"/>
      <c r="L80" s="1"/>
    </row>
    <row r="81" ht="15" customHeight="1">
      <c r="A81" s="1"/>
      <c r="B81" s="17" t="s">
        <v>766</v>
      </c>
      <c r="C81" s="33">
        <v>36</v>
      </c>
      <c r="D81" s="33">
        <v>112</v>
      </c>
      <c r="E81" s="23">
        <f t="shared" si="0"/>
        <v>22</v>
      </c>
      <c r="F81" s="33">
        <v>134</v>
      </c>
      <c r="G81" s="33">
        <v>26</v>
      </c>
      <c r="H81" s="33">
        <v>20</v>
      </c>
      <c r="I81" s="1"/>
      <c r="J81" s="1"/>
      <c r="K81" s="1"/>
      <c r="L81" s="1"/>
    </row>
    <row r="82" ht="15" customHeight="1">
      <c r="A82" s="1"/>
      <c r="B82" s="17" t="s">
        <v>767</v>
      </c>
      <c r="C82" s="33">
        <v>8</v>
      </c>
      <c r="D82" s="33">
        <v>29</v>
      </c>
      <c r="E82" s="23">
        <f t="shared" si="0"/>
        <v>7</v>
      </c>
      <c r="F82" s="33">
        <v>36</v>
      </c>
      <c r="G82" s="33">
        <v>10</v>
      </c>
      <c r="H82" s="33">
        <v>12</v>
      </c>
      <c r="I82" s="1"/>
      <c r="J82" s="1"/>
      <c r="K82" s="1"/>
      <c r="L82" s="1"/>
    </row>
    <row r="83" ht="15" customHeight="1">
      <c r="A83" s="1"/>
      <c r="B83" s="17" t="s">
        <v>768</v>
      </c>
      <c r="C83" s="33">
        <v>60</v>
      </c>
      <c r="D83" s="33">
        <v>50</v>
      </c>
      <c r="E83" s="23">
        <f t="shared" si="0"/>
        <v>-8</v>
      </c>
      <c r="F83" s="33">
        <v>42</v>
      </c>
      <c r="G83" s="33">
        <v>29</v>
      </c>
      <c r="H83" s="33">
        <v>13</v>
      </c>
      <c r="I83" s="1"/>
      <c r="J83" s="1"/>
      <c r="K83" s="1"/>
      <c r="L83" s="1"/>
    </row>
    <row r="84" ht="15" customHeight="1">
      <c r="A84" s="1"/>
      <c r="B84" s="17" t="s">
        <v>769</v>
      </c>
      <c r="C84" s="33">
        <v>86</v>
      </c>
      <c r="D84" s="33">
        <v>246</v>
      </c>
      <c r="E84" s="23">
        <f t="shared" si="0"/>
        <v>116</v>
      </c>
      <c r="F84" s="33">
        <v>362</v>
      </c>
      <c r="G84" s="33">
        <v>79</v>
      </c>
      <c r="H84" s="33">
        <v>84</v>
      </c>
      <c r="I84" s="1"/>
      <c r="J84" s="1"/>
      <c r="K84" s="1"/>
      <c r="L84" s="1"/>
    </row>
    <row r="85" ht="15" customHeight="1">
      <c r="A85" s="1"/>
      <c r="B85" s="17" t="s">
        <v>770</v>
      </c>
      <c r="C85" s="33">
        <v>128</v>
      </c>
      <c r="D85" s="33">
        <v>401</v>
      </c>
      <c r="E85" s="23">
        <f t="shared" si="0"/>
        <v>251</v>
      </c>
      <c r="F85" s="33">
        <v>652</v>
      </c>
      <c r="G85" s="33">
        <v>110</v>
      </c>
      <c r="H85" s="33">
        <v>71</v>
      </c>
      <c r="I85" s="1"/>
      <c r="J85" s="1"/>
      <c r="K85" s="1"/>
      <c r="L85" s="1"/>
    </row>
    <row r="86" ht="15" customHeight="1">
      <c r="A86" s="1"/>
      <c r="B86" s="17" t="s">
        <v>771</v>
      </c>
      <c r="C86" s="33">
        <v>146.2</v>
      </c>
      <c r="D86" s="33">
        <v>147.5</v>
      </c>
      <c r="E86" s="23"/>
      <c r="F86" s="33">
        <v>147</v>
      </c>
      <c r="G86" s="33">
        <v>144.6</v>
      </c>
      <c r="H86" s="33">
        <v>143.7</v>
      </c>
      <c r="I86" s="1"/>
      <c r="J86" s="1"/>
      <c r="K86" s="1"/>
      <c r="L86" s="1"/>
    </row>
    <row r="87" ht="15" customHeight="1">
      <c r="A87" s="1"/>
      <c r="B87" s="17" t="s">
        <v>772</v>
      </c>
      <c r="C87" s="33">
        <v>146.5</v>
      </c>
      <c r="D87" s="33">
        <v>147.8</v>
      </c>
      <c r="E87" s="33">
        <v>145.9</v>
      </c>
      <c r="F87" s="33">
        <v>147.3</v>
      </c>
      <c r="G87" s="33">
        <v>144.9</v>
      </c>
      <c r="H87" s="33">
        <v>144</v>
      </c>
      <c r="I87" s="1"/>
      <c r="J87" s="1"/>
      <c r="K87" s="1"/>
      <c r="L87" s="1"/>
    </row>
    <row r="88" ht="15" customHeight="1">
      <c r="A88" s="1"/>
      <c r="B88" s="17" t="s">
        <v>773</v>
      </c>
      <c r="C88" s="23"/>
      <c r="D88" s="23"/>
      <c r="E88" s="33">
        <v>144.952026</v>
      </c>
      <c r="F88" s="23">
        <f t="shared" si="3"/>
        <v>144.952026</v>
      </c>
      <c r="G88" s="23"/>
      <c r="H88" s="23"/>
      <c r="I88" s="1"/>
      <c r="J88" s="1"/>
      <c r="K88" s="1"/>
      <c r="L88" s="1"/>
    </row>
    <row r="89" ht="15" customHeight="1">
      <c r="A89" s="1"/>
      <c r="B89" s="17" t="s">
        <v>774</v>
      </c>
      <c r="C89" s="23"/>
      <c r="D89" s="33">
        <v>-2073</v>
      </c>
      <c r="E89" s="23">
        <f t="shared" si="0"/>
        <v>-441</v>
      </c>
      <c r="F89" s="33">
        <v>-2514</v>
      </c>
      <c r="G89" s="33">
        <v>-480</v>
      </c>
      <c r="H89" s="23">
        <f t="shared" si="4" ref="H89:H90">C235-G89</f>
        <v>-411</v>
      </c>
      <c r="I89" s="1"/>
      <c r="J89" s="1"/>
      <c r="K89" s="1"/>
      <c r="L89" s="1"/>
    </row>
    <row r="90" ht="15" customHeight="1">
      <c r="A90" s="1"/>
      <c r="B90" s="17" t="s">
        <v>775</v>
      </c>
      <c r="C90" s="23"/>
      <c r="D90" s="33">
        <v>-887</v>
      </c>
      <c r="E90" s="23">
        <f t="shared" si="0"/>
        <v>-299</v>
      </c>
      <c r="F90" s="33">
        <v>-1186</v>
      </c>
      <c r="G90" s="33">
        <v>-302</v>
      </c>
      <c r="H90" s="23">
        <f t="shared" si="4"/>
        <v>-332</v>
      </c>
      <c r="I90" s="1"/>
      <c r="J90" s="1"/>
      <c r="K90" s="1"/>
      <c r="L90" s="1"/>
    </row>
    <row r="91" ht="15" customHeight="1">
      <c r="A91" s="1"/>
      <c r="B91" s="17" t="s">
        <v>776</v>
      </c>
      <c r="C91" s="33">
        <v>7939</v>
      </c>
      <c r="D91" s="33">
        <v>24117</v>
      </c>
      <c r="E91" s="23">
        <f t="shared" si="0"/>
        <v>8609</v>
      </c>
      <c r="F91" s="33">
        <v>32726</v>
      </c>
      <c r="G91" s="33">
        <v>7521</v>
      </c>
      <c r="H91" s="33">
        <v>8258</v>
      </c>
      <c r="I91" s="1"/>
      <c r="J91" s="1"/>
      <c r="K91" s="1"/>
      <c r="L91" s="1"/>
    </row>
    <row r="92" ht="15" customHeight="1">
      <c r="A92" s="1"/>
      <c r="B92" s="17" t="s">
        <v>777</v>
      </c>
      <c r="C92" s="33">
        <v>2057</v>
      </c>
      <c r="D92" s="33">
        <v>6230</v>
      </c>
      <c r="E92" s="23">
        <f t="shared" si="0"/>
        <v>2077</v>
      </c>
      <c r="F92" s="33">
        <v>8307</v>
      </c>
      <c r="G92" s="33">
        <v>1947</v>
      </c>
      <c r="H92" s="33">
        <v>2093</v>
      </c>
      <c r="I92" s="1"/>
      <c r="J92" s="1"/>
      <c r="K92" s="1"/>
      <c r="L92" s="1"/>
    </row>
    <row r="93" ht="15" customHeight="1">
      <c r="A93" s="1"/>
      <c r="B93" s="17" t="s">
        <v>778</v>
      </c>
      <c r="C93" s="33">
        <v>6280</v>
      </c>
      <c r="D93" s="33">
        <v>19079</v>
      </c>
      <c r="E93" s="23">
        <f t="shared" si="0"/>
        <v>7109</v>
      </c>
      <c r="F93" s="33">
        <v>26188</v>
      </c>
      <c r="G93" s="33">
        <v>6366</v>
      </c>
      <c r="H93" s="33">
        <v>6526</v>
      </c>
      <c r="I93" s="1"/>
      <c r="J93" s="1"/>
      <c r="K93" s="1"/>
      <c r="L93" s="1"/>
    </row>
    <row r="94" ht="15" customHeight="1">
      <c r="A94" s="1"/>
      <c r="B94" s="17" t="s">
        <v>779</v>
      </c>
      <c r="C94" s="33">
        <v>1610</v>
      </c>
      <c r="D94" s="33">
        <v>4838</v>
      </c>
      <c r="E94" s="23">
        <f t="shared" si="0"/>
        <v>1645</v>
      </c>
      <c r="F94" s="33">
        <v>6483</v>
      </c>
      <c r="G94" s="33">
        <v>1522</v>
      </c>
      <c r="H94" s="33">
        <v>1615</v>
      </c>
      <c r="I94" s="1"/>
      <c r="J94" s="1"/>
      <c r="K94" s="1"/>
      <c r="L94" s="1"/>
    </row>
    <row r="95" ht="15" customHeight="1">
      <c r="A95" s="1"/>
      <c r="B95" s="17" t="s">
        <v>780</v>
      </c>
      <c r="C95" s="33">
        <v>986</v>
      </c>
      <c r="D95" s="33">
        <v>3149</v>
      </c>
      <c r="E95" s="23">
        <f t="shared" si="0"/>
        <v>843</v>
      </c>
      <c r="F95" s="33">
        <v>3992</v>
      </c>
      <c r="G95" s="33">
        <v>1007</v>
      </c>
      <c r="H95" s="33">
        <v>1016</v>
      </c>
      <c r="I95" s="1"/>
      <c r="J95" s="1"/>
      <c r="K95" s="1"/>
      <c r="L95" s="1"/>
    </row>
    <row r="96" ht="15" customHeight="1">
      <c r="A96" s="1"/>
      <c r="B96" s="17" t="s">
        <v>781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231</v>
      </c>
      <c r="I96" s="1"/>
      <c r="J96" s="1"/>
      <c r="K96" s="1"/>
      <c r="L96" s="1"/>
    </row>
    <row r="97" ht="15" customHeight="1">
      <c r="A97" s="1"/>
      <c r="B97" s="17" t="s">
        <v>782</v>
      </c>
      <c r="C97" s="33">
        <v>-58</v>
      </c>
      <c r="D97" s="33">
        <v>-191</v>
      </c>
      <c r="E97" s="33">
        <v>-69</v>
      </c>
      <c r="F97" s="33">
        <v>-260</v>
      </c>
      <c r="G97" s="33">
        <v>-72</v>
      </c>
      <c r="H97" s="33">
        <v>-76</v>
      </c>
      <c r="I97" s="1"/>
      <c r="J97" s="1"/>
      <c r="K97" s="1"/>
      <c r="L97" s="1"/>
    </row>
    <row r="98" ht="15" customHeight="1">
      <c r="A98" s="1"/>
      <c r="B98" s="17" t="s">
        <v>783</v>
      </c>
      <c r="C98" s="33">
        <v>20</v>
      </c>
      <c r="D98" s="33">
        <v>32</v>
      </c>
      <c r="E98" s="33">
        <v>8</v>
      </c>
      <c r="F98" s="33">
        <v>40</v>
      </c>
      <c r="G98" s="33">
        <v>63</v>
      </c>
      <c r="H98" s="33">
        <v>63</v>
      </c>
      <c r="I98" s="1"/>
      <c r="J98" s="1"/>
      <c r="K98" s="1"/>
      <c r="L98" s="1"/>
    </row>
    <row r="99" ht="15" customHeight="1">
      <c r="A99" s="1"/>
      <c r="B99" s="17" t="s">
        <v>781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231</v>
      </c>
      <c r="I99" s="1"/>
      <c r="J99" s="1"/>
      <c r="K99" s="1"/>
      <c r="L99" s="1"/>
    </row>
    <row r="100" ht="15" customHeight="1">
      <c r="A100" s="1"/>
      <c r="B100" s="17" t="s">
        <v>784</v>
      </c>
      <c r="C100" s="33">
        <v>-2</v>
      </c>
      <c r="D100" s="33">
        <v>-2</v>
      </c>
      <c r="E100" s="33">
        <v>-3</v>
      </c>
      <c r="F100" s="33">
        <v>-5</v>
      </c>
      <c r="G100" s="33">
        <v>0</v>
      </c>
      <c r="H100" s="33">
        <v>-19</v>
      </c>
      <c r="I100" s="1"/>
      <c r="J100" s="1"/>
      <c r="K100" s="1"/>
      <c r="L100" s="1"/>
    </row>
    <row r="101" ht="15" customHeight="1">
      <c r="A101" s="1"/>
      <c r="B101" s="17" t="s">
        <v>785</v>
      </c>
      <c r="C101" s="33">
        <v>-23</v>
      </c>
      <c r="D101" s="33">
        <v>-72</v>
      </c>
      <c r="E101" s="33">
        <v>-25</v>
      </c>
      <c r="F101" s="33">
        <v>-97</v>
      </c>
      <c r="G101" s="33">
        <v>-21</v>
      </c>
      <c r="H101" s="33">
        <v>-21</v>
      </c>
      <c r="I101" s="1"/>
      <c r="J101" s="1"/>
      <c r="K101" s="1"/>
      <c r="L101" s="1"/>
    </row>
    <row r="102" ht="15" customHeight="1">
      <c r="A102" s="1"/>
      <c r="B102" s="17" t="s">
        <v>786</v>
      </c>
      <c r="C102" s="33">
        <v>0</v>
      </c>
      <c r="D102" s="33">
        <v>0</v>
      </c>
      <c r="E102" s="33">
        <v>-23</v>
      </c>
      <c r="F102" s="33">
        <v>-23</v>
      </c>
      <c r="G102" s="33">
        <v>0</v>
      </c>
      <c r="H102" s="33">
        <v>0</v>
      </c>
      <c r="I102" s="1"/>
      <c r="J102" s="1"/>
      <c r="K102" s="1"/>
      <c r="L102" s="1"/>
    </row>
    <row r="103" ht="15" customHeight="1">
      <c r="A103" s="1"/>
      <c r="B103" s="17" t="s">
        <v>787</v>
      </c>
      <c r="C103" s="33">
        <v>-21</v>
      </c>
      <c r="D103" s="33">
        <v>-28</v>
      </c>
      <c r="E103" s="33">
        <v>-61</v>
      </c>
      <c r="F103" s="33">
        <v>-89</v>
      </c>
      <c r="G103" s="33">
        <v>-37</v>
      </c>
      <c r="H103" s="33">
        <v>-48</v>
      </c>
      <c r="I103" s="1"/>
      <c r="J103" s="1"/>
      <c r="K103" s="1"/>
      <c r="L103" s="1"/>
    </row>
    <row r="104" ht="15" customHeight="1">
      <c r="A104" s="1"/>
      <c r="B104" s="17" t="s">
        <v>788</v>
      </c>
      <c r="C104" s="33">
        <v>-161</v>
      </c>
      <c r="D104" s="33">
        <v>-461</v>
      </c>
      <c r="E104" s="33">
        <v>-160</v>
      </c>
      <c r="F104" s="33">
        <v>-621</v>
      </c>
      <c r="G104" s="33">
        <v>-156</v>
      </c>
      <c r="H104" s="33">
        <v>-173</v>
      </c>
      <c r="I104" s="1"/>
      <c r="J104" s="1"/>
      <c r="K104" s="1"/>
      <c r="L104" s="1"/>
    </row>
    <row r="105" ht="15" customHeight="1">
      <c r="A105" s="1"/>
      <c r="B105" s="17" t="s">
        <v>789</v>
      </c>
      <c r="C105" s="33">
        <v>168</v>
      </c>
      <c r="D105" s="33">
        <v>503</v>
      </c>
      <c r="E105" s="33">
        <v>153</v>
      </c>
      <c r="F105" s="33">
        <v>656</v>
      </c>
      <c r="G105" s="33">
        <v>130</v>
      </c>
      <c r="H105" s="33">
        <v>137</v>
      </c>
      <c r="I105" s="1"/>
      <c r="J105" s="1"/>
      <c r="K105" s="1"/>
      <c r="L105" s="1"/>
    </row>
    <row r="106" ht="15" customHeight="1">
      <c r="A106" s="1"/>
      <c r="B106" s="17" t="s">
        <v>790</v>
      </c>
      <c r="C106" s="33">
        <v>0</v>
      </c>
      <c r="D106" s="33">
        <v>0</v>
      </c>
      <c r="E106" s="33">
        <v>443</v>
      </c>
      <c r="F106" s="33">
        <v>443</v>
      </c>
      <c r="G106" s="33">
        <v>0</v>
      </c>
      <c r="H106" s="33">
        <v>0</v>
      </c>
      <c r="I106" s="1"/>
      <c r="J106" s="1"/>
      <c r="K106" s="1"/>
      <c r="L106" s="1"/>
    </row>
    <row r="107" ht="15" customHeight="1">
      <c r="A107" s="1"/>
      <c r="B107" s="17" t="s">
        <v>791</v>
      </c>
      <c r="C107" s="33">
        <v>61</v>
      </c>
      <c r="D107" s="33">
        <v>142</v>
      </c>
      <c r="E107" s="33">
        <v>26</v>
      </c>
      <c r="F107" s="33">
        <v>168</v>
      </c>
      <c r="G107" s="33">
        <v>31</v>
      </c>
      <c r="H107" s="33">
        <v>38</v>
      </c>
      <c r="I107" s="1"/>
      <c r="J107" s="1"/>
      <c r="K107" s="1"/>
      <c r="L107" s="1"/>
    </row>
    <row r="108" ht="15" customHeight="1">
      <c r="A108" s="1"/>
      <c r="B108" s="17" t="s">
        <v>792</v>
      </c>
      <c r="C108" s="33">
        <v>162</v>
      </c>
      <c r="D108" s="33">
        <v>555</v>
      </c>
      <c r="E108" s="33">
        <v>287</v>
      </c>
      <c r="F108" s="33">
        <v>842</v>
      </c>
      <c r="G108" s="33">
        <v>97</v>
      </c>
      <c r="H108" s="33">
        <v>253</v>
      </c>
      <c r="I108" s="1"/>
      <c r="J108" s="1"/>
      <c r="K108" s="1"/>
      <c r="L108" s="1"/>
    </row>
    <row r="109" ht="15" customHeight="1">
      <c r="A109" s="1"/>
      <c r="B109" s="17" t="s">
        <v>793</v>
      </c>
      <c r="C109" s="33">
        <v>1026</v>
      </c>
      <c r="D109" s="33">
        <v>2910</v>
      </c>
      <c r="E109" s="33">
        <v>932</v>
      </c>
      <c r="F109" s="33">
        <v>3842</v>
      </c>
      <c r="G109" s="33">
        <v>481</v>
      </c>
      <c r="H109" s="33">
        <v>1174</v>
      </c>
      <c r="I109" s="1"/>
      <c r="J109" s="1"/>
      <c r="K109" s="1"/>
      <c r="L109" s="1"/>
    </row>
    <row r="110" ht="15" customHeight="1">
      <c r="A110" s="1"/>
      <c r="B110" s="17" t="s">
        <v>794</v>
      </c>
      <c r="C110" s="41">
        <v>7</v>
      </c>
      <c r="D110" s="41">
        <v>19.69</v>
      </c>
      <c r="E110" s="41">
        <v>6.39</v>
      </c>
      <c r="F110" s="41">
        <v>26.08</v>
      </c>
      <c r="G110" s="41">
        <v>3.32</v>
      </c>
      <c r="H110" s="41">
        <v>8.15</v>
      </c>
      <c r="I110" s="1"/>
      <c r="J110" s="1"/>
      <c r="K110" s="1"/>
      <c r="L110" s="1"/>
    </row>
    <row r="111" ht="15" customHeight="1">
      <c r="A111" s="1"/>
      <c r="B111" s="17" t="s">
        <v>795</v>
      </c>
      <c r="C111" s="23"/>
      <c r="D111" s="33">
        <v>2910</v>
      </c>
      <c r="E111" s="23">
        <f t="shared" si="0"/>
        <v>1264</v>
      </c>
      <c r="F111" s="33">
        <v>4174</v>
      </c>
      <c r="G111" s="33">
        <v>481</v>
      </c>
      <c r="H111" s="23">
        <f t="shared" si="5" ref="H111:H137">C208-G111</f>
        <v>1174</v>
      </c>
      <c r="I111" s="1"/>
      <c r="J111" s="1"/>
      <c r="K111" s="1"/>
      <c r="L111" s="1"/>
    </row>
    <row r="112" ht="15" customHeight="1">
      <c r="A112" s="1"/>
      <c r="B112" s="17" t="s">
        <v>796</v>
      </c>
      <c r="C112" s="23"/>
      <c r="D112" s="33">
        <v>956</v>
      </c>
      <c r="E112" s="23">
        <f t="shared" si="0"/>
        <v>414</v>
      </c>
      <c r="F112" s="33">
        <v>1370</v>
      </c>
      <c r="G112" s="33">
        <v>337</v>
      </c>
      <c r="H112" s="23">
        <f t="shared" si="5"/>
        <v>350</v>
      </c>
      <c r="I112" s="1"/>
      <c r="J112" s="1"/>
      <c r="K112" s="1"/>
      <c r="L112" s="1"/>
    </row>
    <row r="113" ht="15" customHeight="1">
      <c r="A113" s="1"/>
      <c r="B113" s="17" t="s">
        <v>797</v>
      </c>
      <c r="C113" s="23"/>
      <c r="D113" s="33">
        <v>72</v>
      </c>
      <c r="E113" s="23">
        <f t="shared" si="0"/>
        <v>29</v>
      </c>
      <c r="F113" s="33">
        <v>101</v>
      </c>
      <c r="G113" s="33">
        <v>20</v>
      </c>
      <c r="H113" s="23">
        <f t="shared" si="5"/>
        <v>20</v>
      </c>
      <c r="I113" s="1"/>
      <c r="J113" s="1"/>
      <c r="K113" s="1"/>
      <c r="L113" s="1"/>
    </row>
    <row r="114" ht="15" customHeight="1">
      <c r="A114" s="1"/>
      <c r="B114" s="17" t="s">
        <v>798</v>
      </c>
      <c r="C114" s="23"/>
      <c r="D114" s="33">
        <v>-387</v>
      </c>
      <c r="E114" s="23">
        <f t="shared" si="0"/>
        <v>-195</v>
      </c>
      <c r="F114" s="33">
        <v>-582</v>
      </c>
      <c r="G114" s="33">
        <v>-34</v>
      </c>
      <c r="H114" s="23">
        <f t="shared" si="5"/>
        <v>-80</v>
      </c>
      <c r="I114" s="1"/>
      <c r="J114" s="1"/>
      <c r="K114" s="1"/>
      <c r="L114" s="1"/>
    </row>
    <row r="115" ht="15" customHeight="1">
      <c r="A115" s="1"/>
      <c r="B115" s="17" t="s">
        <v>799</v>
      </c>
      <c r="C115" s="23"/>
      <c r="D115" s="33">
        <v>0</v>
      </c>
      <c r="E115" s="23">
        <f t="shared" si="0"/>
        <v>0</v>
      </c>
      <c r="F115" s="33">
        <v>0</v>
      </c>
      <c r="G115" s="33">
        <v>477</v>
      </c>
      <c r="H115" s="23">
        <f t="shared" si="5"/>
        <v>0</v>
      </c>
      <c r="I115" s="1"/>
      <c r="J115" s="1"/>
      <c r="K115" s="1"/>
      <c r="L115" s="1"/>
    </row>
    <row r="116" ht="15" customHeight="1">
      <c r="A116" s="1"/>
      <c r="B116" s="17" t="s">
        <v>800</v>
      </c>
      <c r="C116" s="23"/>
      <c r="D116" s="33">
        <v>0</v>
      </c>
      <c r="E116" s="23">
        <f t="shared" si="0"/>
        <v>0</v>
      </c>
      <c r="F116" s="33">
        <v>0</v>
      </c>
      <c r="G116" s="33">
        <v>0</v>
      </c>
      <c r="H116" s="23">
        <f t="shared" si="5"/>
        <v>-231</v>
      </c>
      <c r="I116" s="1"/>
      <c r="J116" s="1"/>
      <c r="K116" s="1"/>
      <c r="L116" s="1"/>
    </row>
    <row r="117" ht="15" customHeight="1">
      <c r="A117" s="1"/>
      <c r="B117" s="17" t="s">
        <v>801</v>
      </c>
      <c r="C117" s="23"/>
      <c r="D117" s="33">
        <v>0</v>
      </c>
      <c r="E117" s="23">
        <f t="shared" si="0"/>
        <v>-443</v>
      </c>
      <c r="F117" s="33">
        <v>-443</v>
      </c>
      <c r="G117" s="33">
        <v>0</v>
      </c>
      <c r="H117" s="23">
        <f t="shared" si="5"/>
        <v>0</v>
      </c>
      <c r="I117" s="1"/>
      <c r="J117" s="1"/>
      <c r="K117" s="1"/>
      <c r="L117" s="1"/>
    </row>
    <row r="118" ht="15" customHeight="1">
      <c r="A118" s="1"/>
      <c r="B118" s="17" t="s">
        <v>802</v>
      </c>
      <c r="C118" s="23"/>
      <c r="D118" s="33">
        <v>-339</v>
      </c>
      <c r="E118" s="23">
        <f t="shared" si="0"/>
        <v>-99</v>
      </c>
      <c r="F118" s="33">
        <v>-438</v>
      </c>
      <c r="G118" s="33">
        <v>-81</v>
      </c>
      <c r="H118" s="23">
        <f t="shared" si="5"/>
        <v>-88</v>
      </c>
      <c r="I118" s="1"/>
      <c r="J118" s="1"/>
      <c r="K118" s="1"/>
      <c r="L118" s="1"/>
    </row>
    <row r="119" ht="15" customHeight="1">
      <c r="A119" s="1"/>
      <c r="B119" s="17" t="s">
        <v>803</v>
      </c>
      <c r="C119" s="23"/>
      <c r="D119" s="33">
        <v>-93</v>
      </c>
      <c r="E119" s="23">
        <f t="shared" si="0"/>
        <v>-36</v>
      </c>
      <c r="F119" s="33">
        <v>-129</v>
      </c>
      <c r="G119" s="33">
        <v>-28</v>
      </c>
      <c r="H119" s="23">
        <f t="shared" si="5"/>
        <v>-34</v>
      </c>
      <c r="I119" s="1"/>
      <c r="J119" s="1"/>
      <c r="K119" s="1"/>
      <c r="L119" s="1"/>
    </row>
    <row r="120" ht="15" customHeight="1">
      <c r="A120" s="1"/>
      <c r="B120" s="17" t="s">
        <v>804</v>
      </c>
      <c r="C120" s="23"/>
      <c r="D120" s="33">
        <v>-155</v>
      </c>
      <c r="E120" s="23">
        <f t="shared" si="0"/>
        <v>337</v>
      </c>
      <c r="F120" s="33">
        <v>182</v>
      </c>
      <c r="G120" s="33">
        <v>-542</v>
      </c>
      <c r="H120" s="23">
        <f t="shared" si="5"/>
        <v>-387</v>
      </c>
      <c r="I120" s="1"/>
      <c r="J120" s="1"/>
      <c r="K120" s="1"/>
      <c r="L120" s="1"/>
    </row>
    <row r="121" ht="15" customHeight="1">
      <c r="A121" s="1"/>
      <c r="B121" s="17" t="s">
        <v>805</v>
      </c>
      <c r="C121" s="23"/>
      <c r="D121" s="33">
        <v>-825</v>
      </c>
      <c r="E121" s="23">
        <f t="shared" si="0"/>
        <v>610</v>
      </c>
      <c r="F121" s="33">
        <v>-215</v>
      </c>
      <c r="G121" s="33">
        <v>-1069</v>
      </c>
      <c r="H121" s="23">
        <f t="shared" si="5"/>
        <v>-274</v>
      </c>
      <c r="I121" s="1"/>
      <c r="J121" s="1"/>
      <c r="K121" s="1"/>
      <c r="L121" s="1"/>
    </row>
    <row r="122" ht="15" customHeight="1">
      <c r="A122" s="1"/>
      <c r="B122" s="17" t="s">
        <v>806</v>
      </c>
      <c r="C122" s="23"/>
      <c r="D122" s="33">
        <v>-542</v>
      </c>
      <c r="E122" s="23">
        <f t="shared" si="0"/>
        <v>184</v>
      </c>
      <c r="F122" s="33">
        <v>-358</v>
      </c>
      <c r="G122" s="33">
        <v>-125</v>
      </c>
      <c r="H122" s="23">
        <f t="shared" si="5"/>
        <v>23</v>
      </c>
      <c r="I122" s="1"/>
      <c r="J122" s="1"/>
      <c r="K122" s="1"/>
      <c r="L122" s="1"/>
    </row>
    <row r="123" ht="15" customHeight="1">
      <c r="A123" s="1"/>
      <c r="B123" s="17" t="s">
        <v>807</v>
      </c>
      <c r="C123" s="23"/>
      <c r="D123" s="33">
        <v>-15</v>
      </c>
      <c r="E123" s="23">
        <f t="shared" si="0"/>
        <v>50</v>
      </c>
      <c r="F123" s="33">
        <v>35</v>
      </c>
      <c r="G123" s="33">
        <v>-42</v>
      </c>
      <c r="H123" s="23">
        <f t="shared" si="5"/>
        <v>63</v>
      </c>
      <c r="I123" s="1"/>
      <c r="J123" s="1"/>
      <c r="K123" s="1"/>
      <c r="L123" s="1"/>
    </row>
    <row r="124" ht="15" customHeight="1">
      <c r="A124" s="1"/>
      <c r="B124" s="17" t="s">
        <v>808</v>
      </c>
      <c r="C124" s="23"/>
      <c r="D124" s="33">
        <v>-915</v>
      </c>
      <c r="E124" s="23">
        <f t="shared" si="0"/>
        <v>402</v>
      </c>
      <c r="F124" s="23">
        <f t="shared" si="6" ref="F124:G124">F125+F126+F127</f>
        <v>-513</v>
      </c>
      <c r="G124" s="23">
        <f t="shared" si="6"/>
        <v>-1014</v>
      </c>
      <c r="H124" s="23">
        <f t="shared" si="5"/>
        <v>522</v>
      </c>
      <c r="I124" s="1"/>
      <c r="J124" s="1"/>
      <c r="K124" s="1"/>
      <c r="L124" s="1"/>
    </row>
    <row r="125" ht="15" customHeight="1">
      <c r="A125" s="1"/>
      <c r="B125" s="17" t="s">
        <v>809</v>
      </c>
      <c r="C125" s="23"/>
      <c r="D125" s="23"/>
      <c r="E125" s="23"/>
      <c r="F125" s="33">
        <v>485</v>
      </c>
      <c r="G125" s="33">
        <v>-93</v>
      </c>
      <c r="H125" s="23">
        <f t="shared" si="5"/>
        <v>91</v>
      </c>
      <c r="I125" s="1"/>
      <c r="J125" s="1"/>
      <c r="K125" s="1"/>
      <c r="L125" s="1"/>
    </row>
    <row r="126" ht="15" customHeight="1">
      <c r="A126" s="1"/>
      <c r="B126" s="17" t="s">
        <v>810</v>
      </c>
      <c r="C126" s="23"/>
      <c r="D126" s="23"/>
      <c r="E126" s="23"/>
      <c r="F126" s="33">
        <v>-123</v>
      </c>
      <c r="G126" s="33">
        <v>-358</v>
      </c>
      <c r="H126" s="23">
        <f t="shared" si="5"/>
        <v>288</v>
      </c>
      <c r="I126" s="1"/>
      <c r="J126" s="1"/>
      <c r="K126" s="1"/>
      <c r="L126" s="1"/>
    </row>
    <row r="127" ht="15" customHeight="1">
      <c r="A127" s="1"/>
      <c r="B127" s="17" t="s">
        <v>811</v>
      </c>
      <c r="C127" s="23"/>
      <c r="D127" s="23"/>
      <c r="E127" s="23"/>
      <c r="F127" s="33">
        <v>-875</v>
      </c>
      <c r="G127" s="33">
        <v>-563</v>
      </c>
      <c r="H127" s="23">
        <f t="shared" si="5"/>
        <v>143</v>
      </c>
      <c r="I127" s="1"/>
      <c r="J127" s="1"/>
      <c r="K127" s="1"/>
      <c r="L127" s="1"/>
    </row>
    <row r="128" ht="15" customHeight="1">
      <c r="A128" s="1"/>
      <c r="B128" s="17" t="s">
        <v>812</v>
      </c>
      <c r="C128" s="23"/>
      <c r="D128" s="33">
        <v>1106</v>
      </c>
      <c r="E128" s="23">
        <f t="shared" si="0"/>
        <v>37</v>
      </c>
      <c r="F128" s="33">
        <v>1143</v>
      </c>
      <c r="G128" s="33">
        <v>58</v>
      </c>
      <c r="H128" s="23">
        <f t="shared" si="5"/>
        <v>-203</v>
      </c>
      <c r="I128" s="1"/>
      <c r="J128" s="1"/>
      <c r="K128" s="1"/>
      <c r="L128" s="1"/>
    </row>
    <row r="129" ht="15" customHeight="1">
      <c r="A129" s="1"/>
      <c r="B129" s="17" t="s">
        <v>813</v>
      </c>
      <c r="C129" s="23"/>
      <c r="D129" s="33">
        <v>37</v>
      </c>
      <c r="E129" s="23">
        <f t="shared" si="0"/>
        <v>24</v>
      </c>
      <c r="F129" s="33">
        <v>61</v>
      </c>
      <c r="G129" s="33">
        <v>-3</v>
      </c>
      <c r="H129" s="23">
        <f t="shared" si="5"/>
        <v>13</v>
      </c>
      <c r="I129" s="1"/>
      <c r="J129" s="1"/>
      <c r="K129" s="1"/>
      <c r="L129" s="1"/>
    </row>
    <row r="130" ht="15" customHeight="1">
      <c r="A130" s="1"/>
      <c r="B130" s="17" t="s">
        <v>814</v>
      </c>
      <c r="C130" s="33">
        <v>1091</v>
      </c>
      <c r="D130" s="33">
        <v>1810</v>
      </c>
      <c r="E130" s="23">
        <f t="shared" si="0"/>
        <v>2578</v>
      </c>
      <c r="F130" s="33">
        <v>4388</v>
      </c>
      <c r="G130" s="33">
        <v>-1565</v>
      </c>
      <c r="H130" s="33">
        <v>868</v>
      </c>
      <c r="I130" s="1"/>
      <c r="J130" s="1"/>
      <c r="K130" s="1"/>
      <c r="L130" s="1"/>
    </row>
    <row r="131" ht="15" customHeight="1">
      <c r="A131" s="1"/>
      <c r="B131" s="17" t="s">
        <v>815</v>
      </c>
      <c r="C131" s="33">
        <v>-361</v>
      </c>
      <c r="D131" s="33">
        <v>-951</v>
      </c>
      <c r="E131" s="23">
        <f t="shared" si="0"/>
        <v>-816</v>
      </c>
      <c r="F131" s="33">
        <v>-1767</v>
      </c>
      <c r="G131" s="33">
        <v>-256</v>
      </c>
      <c r="H131" s="23">
        <f t="shared" si="5"/>
        <v>-231</v>
      </c>
      <c r="I131" s="1"/>
      <c r="J131" s="1"/>
      <c r="K131" s="1"/>
      <c r="L131" s="1"/>
    </row>
    <row r="132" ht="15" customHeight="1">
      <c r="A132" s="1"/>
      <c r="B132" s="17" t="s">
        <v>816</v>
      </c>
      <c r="C132" s="23"/>
      <c r="D132" s="33">
        <v>0</v>
      </c>
      <c r="E132" s="23">
        <f t="shared" si="0"/>
        <v>0</v>
      </c>
      <c r="F132" s="33">
        <v>0</v>
      </c>
      <c r="G132" s="33">
        <v>0</v>
      </c>
      <c r="H132" s="23">
        <f t="shared" si="5"/>
        <v>0</v>
      </c>
      <c r="I132" s="1"/>
      <c r="J132" s="1"/>
      <c r="K132" s="1"/>
      <c r="L132" s="1"/>
    </row>
    <row r="133" ht="15" customHeight="1">
      <c r="A133" s="1"/>
      <c r="B133" s="17" t="s">
        <v>817</v>
      </c>
      <c r="C133" s="23"/>
      <c r="D133" s="33">
        <v>0</v>
      </c>
      <c r="E133" s="23">
        <f t="shared" si="0"/>
        <v>0</v>
      </c>
      <c r="F133" s="33">
        <v>0</v>
      </c>
      <c r="G133" s="33">
        <v>0</v>
      </c>
      <c r="H133" s="23">
        <f t="shared" si="5"/>
        <v>333</v>
      </c>
      <c r="I133" s="1"/>
      <c r="J133" s="1"/>
      <c r="K133" s="1"/>
      <c r="L133" s="1"/>
    </row>
    <row r="134" ht="15" customHeight="1">
      <c r="A134" s="1"/>
      <c r="B134" s="17" t="s">
        <v>818</v>
      </c>
      <c r="C134" s="23"/>
      <c r="D134" s="33">
        <v>0</v>
      </c>
      <c r="E134" s="23">
        <f t="shared" si="0"/>
        <v>18</v>
      </c>
      <c r="F134" s="33">
        <v>18</v>
      </c>
      <c r="G134" s="33">
        <v>4</v>
      </c>
      <c r="H134" s="23">
        <f t="shared" si="5"/>
        <v>-41</v>
      </c>
      <c r="I134" s="1"/>
      <c r="J134" s="1"/>
      <c r="K134" s="1"/>
      <c r="L134" s="1"/>
    </row>
    <row r="135" ht="15" customHeight="1">
      <c r="A135" s="1"/>
      <c r="B135" s="17" t="s">
        <v>819</v>
      </c>
      <c r="C135" s="23"/>
      <c r="D135" s="33">
        <v>2495</v>
      </c>
      <c r="E135" s="23">
        <f t="shared" si="0"/>
        <v>0</v>
      </c>
      <c r="F135" s="33">
        <v>2495</v>
      </c>
      <c r="G135" s="33">
        <v>0</v>
      </c>
      <c r="H135" s="23">
        <f t="shared" si="5"/>
        <v>998</v>
      </c>
      <c r="I135" s="1"/>
      <c r="J135" s="1"/>
      <c r="K135" s="1"/>
      <c r="L135" s="1"/>
    </row>
    <row r="136" ht="15" customHeight="1">
      <c r="A136" s="1"/>
      <c r="B136" s="17" t="s">
        <v>820</v>
      </c>
      <c r="C136" s="23"/>
      <c r="D136" s="33">
        <v>0</v>
      </c>
      <c r="E136" s="23">
        <f t="shared" si="0"/>
        <v>0</v>
      </c>
      <c r="F136" s="33">
        <v>0</v>
      </c>
      <c r="G136" s="33">
        <v>-1500</v>
      </c>
      <c r="H136" s="23">
        <f t="shared" si="5"/>
        <v>0</v>
      </c>
      <c r="I136" s="1"/>
      <c r="J136" s="1"/>
      <c r="K136" s="1"/>
      <c r="L136" s="1"/>
    </row>
    <row r="137" ht="15" customHeight="1">
      <c r="A137" s="1"/>
      <c r="B137" s="17" t="s">
        <v>821</v>
      </c>
      <c r="C137" s="23"/>
      <c r="D137" s="33">
        <v>0</v>
      </c>
      <c r="E137" s="23">
        <f t="shared" si="0"/>
        <v>0</v>
      </c>
      <c r="F137" s="33">
        <v>0</v>
      </c>
      <c r="G137" s="33">
        <v>1474</v>
      </c>
      <c r="H137" s="23">
        <f t="shared" si="5"/>
        <v>-908</v>
      </c>
      <c r="I137" s="1"/>
      <c r="J137" s="1"/>
      <c r="K137" s="1"/>
      <c r="L137" s="1"/>
    </row>
    <row r="138" ht="15" customHeight="1">
      <c r="A138" s="1"/>
      <c r="B138" s="17" t="s">
        <v>822</v>
      </c>
      <c r="C138" s="23"/>
      <c r="D138" s="33">
        <v>-57</v>
      </c>
      <c r="E138" s="23">
        <f t="shared" si="0"/>
        <v>-1</v>
      </c>
      <c r="F138" s="33">
        <v>-58</v>
      </c>
      <c r="G138" s="33">
        <v>-38</v>
      </c>
      <c r="H138" s="23">
        <f t="shared" si="7" ref="H138:H139">C237-G138</f>
        <v>0</v>
      </c>
      <c r="I138" s="1"/>
      <c r="J138" s="1"/>
      <c r="K138" s="1"/>
      <c r="L138" s="1"/>
    </row>
    <row r="139" ht="15" customHeight="1">
      <c r="A139" s="1"/>
      <c r="B139" s="17" t="s">
        <v>823</v>
      </c>
      <c r="C139" s="23"/>
      <c r="D139" s="33">
        <v>-120</v>
      </c>
      <c r="E139" s="23">
        <f t="shared" si="0"/>
        <v>-12</v>
      </c>
      <c r="F139" s="33">
        <v>-132</v>
      </c>
      <c r="G139" s="33">
        <v>-5</v>
      </c>
      <c r="H139" s="23">
        <f t="shared" si="7"/>
        <v>-62</v>
      </c>
      <c r="I139" s="1"/>
      <c r="J139" s="1"/>
      <c r="K139" s="1"/>
      <c r="L139" s="1"/>
    </row>
    <row r="140" ht="15" customHeight="1">
      <c r="A140" s="1"/>
      <c r="B140" s="17" t="s">
        <v>824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1"/>
      <c r="J140" s="1"/>
      <c r="K140" s="1"/>
      <c r="L140" s="1"/>
    </row>
    <row r="141" ht="15" customHeight="1">
      <c r="A141" s="1"/>
      <c r="B141" s="17" t="s">
        <v>825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1"/>
      <c r="J141" s="1"/>
      <c r="K141" s="1"/>
      <c r="L141" s="1"/>
    </row>
    <row r="142" ht="15" customHeight="1">
      <c r="A142" s="1"/>
      <c r="B142" s="17" t="s">
        <v>826</v>
      </c>
      <c r="C142" s="33">
        <v>45</v>
      </c>
      <c r="D142" s="33">
        <v>127</v>
      </c>
      <c r="E142" s="23">
        <f t="shared" si="0"/>
        <v>66</v>
      </c>
      <c r="F142" s="33">
        <v>193</v>
      </c>
      <c r="G142" s="33">
        <v>59</v>
      </c>
      <c r="H142" s="33">
        <v>64</v>
      </c>
      <c r="I142" s="1"/>
      <c r="J142" s="1"/>
      <c r="K142" s="1"/>
      <c r="L142" s="1"/>
    </row>
    <row r="143" ht="15" customHeight="1">
      <c r="A143" s="1"/>
      <c r="B143" s="17" t="s">
        <v>827</v>
      </c>
      <c r="C143" s="33">
        <v>8</v>
      </c>
      <c r="D143" s="33">
        <v>22</v>
      </c>
      <c r="E143" s="23">
        <f t="shared" si="0"/>
        <v>44</v>
      </c>
      <c r="F143" s="33">
        <v>66</v>
      </c>
      <c r="G143" s="33">
        <v>16</v>
      </c>
      <c r="H143" s="33">
        <v>33</v>
      </c>
      <c r="I143" s="1"/>
      <c r="J143" s="1"/>
      <c r="K143" s="1"/>
      <c r="L143" s="1"/>
    </row>
    <row r="144" ht="1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5" customHeight="1">
      <c r="A145" s="1"/>
      <c r="B145" s="4" t="s">
        <v>828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31.5" customHeight="1">
      <c r="A146" s="1"/>
      <c r="B146" s="18" t="s">
        <v>829</v>
      </c>
      <c r="C146" s="20" t="s">
        <v>830</v>
      </c>
      <c r="D146" s="20" t="s">
        <v>831</v>
      </c>
      <c r="E146" s="20" t="s">
        <v>89</v>
      </c>
      <c r="F146" s="20" t="s">
        <v>832</v>
      </c>
      <c r="G146" s="20" t="s">
        <v>833</v>
      </c>
      <c r="H146" s="20"/>
      <c r="I146" s="1"/>
      <c r="J146" s="1"/>
      <c r="K146" s="1"/>
      <c r="L146" s="1"/>
    </row>
    <row r="147" ht="31.5" customHeight="1">
      <c r="A147" s="1"/>
      <c r="B147" s="18" t="s">
        <v>834</v>
      </c>
      <c r="C147" s="81">
        <v>45838</v>
      </c>
      <c r="D147" s="81">
        <v>45930</v>
      </c>
      <c r="E147" s="81">
        <v>46022</v>
      </c>
      <c r="F147" s="81">
        <v>46112</v>
      </c>
      <c r="G147" s="81">
        <v>46203</v>
      </c>
      <c r="H147" s="20"/>
      <c r="I147" s="1"/>
      <c r="J147" s="1"/>
      <c r="K147" s="1"/>
      <c r="L147" s="1"/>
    </row>
    <row r="148" ht="31.5" customHeight="1">
      <c r="A148" s="1"/>
      <c r="B148" s="18" t="s">
        <v>835</v>
      </c>
      <c r="C148" s="82">
        <v>181</v>
      </c>
      <c r="D148" s="82">
        <v>273</v>
      </c>
      <c r="E148" s="82">
        <v>365</v>
      </c>
      <c r="F148" s="82">
        <v>90</v>
      </c>
      <c r="G148" s="82">
        <v>181</v>
      </c>
      <c r="H148" s="20"/>
      <c r="I148" s="1"/>
      <c r="J148" s="1"/>
      <c r="K148" s="1"/>
      <c r="L148" s="1"/>
    </row>
    <row r="149" ht="15" customHeight="1">
      <c r="A149" s="1"/>
      <c r="B149" s="17" t="s">
        <v>836</v>
      </c>
      <c r="C149" s="23"/>
      <c r="D149" s="33">
        <v>121</v>
      </c>
      <c r="E149" s="23"/>
      <c r="F149" s="23"/>
      <c r="G149" s="23"/>
      <c r="H149" s="23"/>
      <c r="I149" s="1"/>
      <c r="J149" s="1"/>
      <c r="K149" s="1"/>
      <c r="L149" s="1"/>
    </row>
    <row r="150" ht="15" customHeight="1">
      <c r="A150" s="1"/>
      <c r="B150" s="17" t="s">
        <v>837</v>
      </c>
      <c r="C150" s="23"/>
      <c r="D150" s="33">
        <v>7346</v>
      </c>
      <c r="E150" s="23"/>
      <c r="F150" s="23"/>
      <c r="G150" s="23"/>
      <c r="H150" s="23"/>
      <c r="I150" s="1"/>
      <c r="J150" s="1"/>
      <c r="K150" s="1"/>
      <c r="L150" s="1"/>
    </row>
    <row r="151" ht="15" customHeight="1">
      <c r="A151" s="1"/>
      <c r="B151" s="17" t="s">
        <v>838</v>
      </c>
      <c r="C151" s="23"/>
      <c r="D151" s="33">
        <v>1586</v>
      </c>
      <c r="E151" s="23"/>
      <c r="F151" s="23"/>
      <c r="G151" s="23"/>
      <c r="H151" s="23"/>
      <c r="I151" s="1"/>
      <c r="J151" s="1"/>
      <c r="K151" s="1"/>
      <c r="L151" s="1"/>
    </row>
    <row r="152" ht="15" customHeight="1">
      <c r="A152" s="1"/>
      <c r="B152" s="17" t="s">
        <v>839</v>
      </c>
      <c r="C152" s="23"/>
      <c r="D152" s="33">
        <v>17</v>
      </c>
      <c r="E152" s="23"/>
      <c r="F152" s="23"/>
      <c r="G152" s="23"/>
      <c r="H152" s="23"/>
      <c r="I152" s="1"/>
      <c r="J152" s="1"/>
      <c r="K152" s="1"/>
      <c r="L152" s="1"/>
    </row>
    <row r="153" ht="15" customHeight="1">
      <c r="A153" s="1"/>
      <c r="B153" s="17" t="s">
        <v>840</v>
      </c>
      <c r="C153" s="23"/>
      <c r="D153" s="33">
        <v>4254</v>
      </c>
      <c r="E153" s="23"/>
      <c r="F153" s="23"/>
      <c r="G153" s="23"/>
      <c r="H153" s="23"/>
      <c r="I153" s="1"/>
      <c r="J153" s="1"/>
      <c r="K153" s="1"/>
      <c r="L153" s="1"/>
    </row>
    <row r="154" ht="15" customHeight="1">
      <c r="A154" s="1"/>
      <c r="B154" s="17" t="s">
        <v>841</v>
      </c>
      <c r="C154" s="23"/>
      <c r="D154" s="33">
        <v>4695</v>
      </c>
      <c r="E154" s="23"/>
      <c r="F154" s="23"/>
      <c r="G154" s="23"/>
      <c r="H154" s="23"/>
      <c r="I154" s="1"/>
      <c r="J154" s="1"/>
      <c r="K154" s="1"/>
      <c r="L154" s="1"/>
    </row>
    <row r="155" ht="15" customHeight="1">
      <c r="A155" s="1"/>
      <c r="B155" s="17" t="s">
        <v>842</v>
      </c>
      <c r="C155" s="23"/>
      <c r="D155" s="33">
        <v>7363</v>
      </c>
      <c r="E155" s="23"/>
      <c r="F155" s="23"/>
      <c r="G155" s="23"/>
      <c r="H155" s="23"/>
      <c r="I155" s="1"/>
      <c r="J155" s="1"/>
      <c r="K155" s="1"/>
      <c r="L155" s="1"/>
    </row>
    <row r="156" ht="15" customHeight="1">
      <c r="A156" s="1"/>
      <c r="B156" s="17" t="s">
        <v>843</v>
      </c>
      <c r="C156" s="23"/>
      <c r="D156" s="33">
        <v>647</v>
      </c>
      <c r="E156" s="23"/>
      <c r="F156" s="23"/>
      <c r="G156" s="23"/>
      <c r="H156" s="23"/>
      <c r="I156" s="1"/>
      <c r="J156" s="1"/>
      <c r="K156" s="1"/>
      <c r="L156" s="1"/>
    </row>
    <row r="157" ht="15" customHeight="1">
      <c r="A157" s="1"/>
      <c r="B157" s="17" t="s">
        <v>844</v>
      </c>
      <c r="C157" s="23"/>
      <c r="D157" s="33">
        <v>891</v>
      </c>
      <c r="E157" s="23"/>
      <c r="F157" s="23"/>
      <c r="G157" s="23"/>
      <c r="H157" s="23"/>
      <c r="I157" s="1"/>
      <c r="J157" s="1"/>
      <c r="K157" s="1"/>
      <c r="L157" s="1"/>
    </row>
    <row r="158" ht="15" customHeight="1">
      <c r="A158" s="1"/>
      <c r="B158" s="17" t="s">
        <v>845</v>
      </c>
      <c r="C158" s="23"/>
      <c r="D158" s="33">
        <v>48</v>
      </c>
      <c r="E158" s="23"/>
      <c r="F158" s="23"/>
      <c r="G158" s="23"/>
      <c r="H158" s="23"/>
      <c r="I158" s="1"/>
      <c r="J158" s="1"/>
      <c r="K158" s="1"/>
      <c r="L158" s="1"/>
    </row>
    <row r="159" ht="15" customHeight="1">
      <c r="A159" s="1"/>
      <c r="B159" s="17" t="s">
        <v>846</v>
      </c>
      <c r="C159" s="23"/>
      <c r="D159" s="33">
        <v>-225</v>
      </c>
      <c r="E159" s="23"/>
      <c r="F159" s="23"/>
      <c r="G159" s="23"/>
      <c r="H159" s="23"/>
      <c r="I159" s="1"/>
      <c r="J159" s="1"/>
      <c r="K159" s="1"/>
      <c r="L159" s="1"/>
    </row>
    <row r="160" ht="15" customHeight="1">
      <c r="A160" s="1"/>
      <c r="B160" s="17" t="s">
        <v>847</v>
      </c>
      <c r="C160" s="23"/>
      <c r="D160" s="33">
        <v>273</v>
      </c>
      <c r="E160" s="23"/>
      <c r="F160" s="23"/>
      <c r="G160" s="23"/>
      <c r="H160" s="23"/>
      <c r="I160" s="1"/>
      <c r="J160" s="1"/>
      <c r="K160" s="1"/>
      <c r="L160" s="1"/>
    </row>
    <row r="161" ht="15" customHeight="1">
      <c r="A161" s="1"/>
      <c r="B161" s="17" t="s">
        <v>848</v>
      </c>
      <c r="C161" s="23"/>
      <c r="D161" s="33">
        <v>250</v>
      </c>
      <c r="E161" s="23"/>
      <c r="F161" s="23"/>
      <c r="G161" s="23"/>
      <c r="H161" s="23"/>
      <c r="I161" s="1"/>
      <c r="J161" s="1"/>
      <c r="K161" s="1"/>
      <c r="L161" s="1"/>
    </row>
    <row r="162" ht="15" customHeight="1">
      <c r="A162" s="1"/>
      <c r="B162" s="17" t="s">
        <v>849</v>
      </c>
      <c r="C162" s="23"/>
      <c r="D162" s="33">
        <v>149</v>
      </c>
      <c r="E162" s="23"/>
      <c r="F162" s="23"/>
      <c r="G162" s="23"/>
      <c r="H162" s="23"/>
      <c r="I162" s="1"/>
      <c r="J162" s="1"/>
      <c r="K162" s="1"/>
      <c r="L162" s="1"/>
    </row>
    <row r="163" ht="15" customHeight="1">
      <c r="A163" s="1"/>
      <c r="B163" s="17" t="s">
        <v>850</v>
      </c>
      <c r="C163" s="23"/>
      <c r="D163" s="33">
        <v>4632</v>
      </c>
      <c r="E163" s="23"/>
      <c r="F163" s="23"/>
      <c r="G163" s="23"/>
      <c r="H163" s="23"/>
      <c r="I163" s="1"/>
      <c r="J163" s="1"/>
      <c r="K163" s="1"/>
      <c r="L163" s="1"/>
    </row>
    <row r="164" ht="15" customHeight="1">
      <c r="A164" s="1"/>
      <c r="B164" s="17" t="s">
        <v>851</v>
      </c>
      <c r="C164" s="23"/>
      <c r="D164" s="33">
        <v>1013</v>
      </c>
      <c r="E164" s="23"/>
      <c r="F164" s="23"/>
      <c r="G164" s="23"/>
      <c r="H164" s="23"/>
      <c r="I164" s="1"/>
      <c r="J164" s="1"/>
      <c r="K164" s="1"/>
      <c r="L164" s="1"/>
    </row>
    <row r="165" ht="15" customHeight="1">
      <c r="A165" s="1"/>
      <c r="B165" s="17" t="s">
        <v>852</v>
      </c>
      <c r="C165" s="23"/>
      <c r="D165" s="33">
        <v>61</v>
      </c>
      <c r="E165" s="23"/>
      <c r="F165" s="23"/>
      <c r="G165" s="23"/>
      <c r="H165" s="23"/>
      <c r="I165" s="1"/>
      <c r="J165" s="1"/>
      <c r="K165" s="1"/>
      <c r="L165" s="1"/>
    </row>
    <row r="166" ht="15" customHeight="1">
      <c r="A166" s="1"/>
      <c r="B166" s="17" t="s">
        <v>853</v>
      </c>
      <c r="C166" s="23"/>
      <c r="D166" s="33">
        <v>3077</v>
      </c>
      <c r="E166" s="23"/>
      <c r="F166" s="23"/>
      <c r="G166" s="23"/>
      <c r="H166" s="23"/>
      <c r="I166" s="1"/>
      <c r="J166" s="1"/>
      <c r="K166" s="1"/>
      <c r="L166" s="1"/>
    </row>
    <row r="167" ht="15" customHeight="1">
      <c r="A167" s="1"/>
      <c r="B167" s="17" t="s">
        <v>854</v>
      </c>
      <c r="C167" s="23"/>
      <c r="D167" s="33">
        <v>2629</v>
      </c>
      <c r="E167" s="23"/>
      <c r="F167" s="23"/>
      <c r="G167" s="23"/>
      <c r="H167" s="23"/>
      <c r="I167" s="1"/>
      <c r="J167" s="1"/>
      <c r="K167" s="1"/>
      <c r="L167" s="1"/>
    </row>
    <row r="168" ht="15" customHeight="1">
      <c r="A168" s="1"/>
      <c r="B168" s="17" t="s">
        <v>855</v>
      </c>
      <c r="C168" s="23"/>
      <c r="D168" s="33">
        <v>4693</v>
      </c>
      <c r="E168" s="23"/>
      <c r="F168" s="23"/>
      <c r="G168" s="23"/>
      <c r="H168" s="23"/>
      <c r="I168" s="1"/>
      <c r="J168" s="1"/>
      <c r="K168" s="1"/>
      <c r="L168" s="1"/>
    </row>
    <row r="169" ht="15" customHeight="1">
      <c r="A169" s="1"/>
      <c r="B169" s="17" t="s">
        <v>856</v>
      </c>
      <c r="C169" s="23"/>
      <c r="D169" s="33">
        <v>271</v>
      </c>
      <c r="E169" s="23"/>
      <c r="F169" s="23"/>
      <c r="G169" s="23"/>
      <c r="H169" s="23"/>
      <c r="I169" s="1"/>
      <c r="J169" s="1"/>
      <c r="K169" s="1"/>
      <c r="L169" s="1"/>
    </row>
    <row r="170" ht="15" customHeight="1">
      <c r="A170" s="1"/>
      <c r="B170" s="17" t="s">
        <v>857</v>
      </c>
      <c r="C170" s="23"/>
      <c r="D170" s="33">
        <v>589</v>
      </c>
      <c r="E170" s="23"/>
      <c r="F170" s="23"/>
      <c r="G170" s="23"/>
      <c r="H170" s="23"/>
      <c r="I170" s="1"/>
      <c r="J170" s="1"/>
      <c r="K170" s="1"/>
      <c r="L170" s="1"/>
    </row>
    <row r="171" ht="15" customHeight="1">
      <c r="A171" s="1"/>
      <c r="B171" s="17" t="s">
        <v>858</v>
      </c>
      <c r="C171" s="23"/>
      <c r="D171" s="33">
        <v>153</v>
      </c>
      <c r="E171" s="23"/>
      <c r="F171" s="23"/>
      <c r="G171" s="23"/>
      <c r="H171" s="23"/>
      <c r="I171" s="1"/>
      <c r="J171" s="1"/>
      <c r="K171" s="1"/>
      <c r="L171" s="1"/>
    </row>
    <row r="172" ht="15" customHeight="1">
      <c r="A172" s="1"/>
      <c r="B172" s="17" t="s">
        <v>859</v>
      </c>
      <c r="C172" s="23"/>
      <c r="D172" s="33">
        <v>141</v>
      </c>
      <c r="E172" s="23"/>
      <c r="F172" s="23"/>
      <c r="G172" s="23"/>
      <c r="H172" s="23"/>
      <c r="I172" s="1"/>
      <c r="J172" s="1"/>
      <c r="K172" s="1"/>
      <c r="L172" s="1"/>
    </row>
    <row r="173" ht="15" customHeight="1">
      <c r="A173" s="1"/>
      <c r="B173" s="17" t="s">
        <v>860</v>
      </c>
      <c r="C173" s="23"/>
      <c r="D173" s="33">
        <v>132</v>
      </c>
      <c r="E173" s="23"/>
      <c r="F173" s="23"/>
      <c r="G173" s="23"/>
      <c r="H173" s="23"/>
      <c r="I173" s="1"/>
      <c r="J173" s="1"/>
      <c r="K173" s="1"/>
      <c r="L173" s="1"/>
    </row>
    <row r="174" ht="15" customHeight="1">
      <c r="A174" s="1"/>
      <c r="B174" s="17" t="s">
        <v>861</v>
      </c>
      <c r="C174" s="23"/>
      <c r="D174" s="33">
        <v>44</v>
      </c>
      <c r="E174" s="23"/>
      <c r="F174" s="23"/>
      <c r="G174" s="23"/>
      <c r="H174" s="23"/>
      <c r="I174" s="1"/>
      <c r="J174" s="1"/>
      <c r="K174" s="1"/>
      <c r="L174" s="1"/>
    </row>
    <row r="175" ht="15" customHeight="1">
      <c r="A175" s="1"/>
      <c r="B175" s="17" t="s">
        <v>862</v>
      </c>
      <c r="C175" s="23"/>
      <c r="D175" s="33">
        <v>1015</v>
      </c>
      <c r="E175" s="23"/>
      <c r="F175" s="23"/>
      <c r="G175" s="23"/>
      <c r="H175" s="23"/>
      <c r="I175" s="1"/>
      <c r="J175" s="1"/>
      <c r="K175" s="1"/>
      <c r="L175" s="1"/>
    </row>
    <row r="176" ht="15" customHeight="1">
      <c r="A176" s="1"/>
      <c r="B176" s="17" t="s">
        <v>863</v>
      </c>
      <c r="C176" s="23"/>
      <c r="D176" s="33">
        <v>6421</v>
      </c>
      <c r="E176" s="23"/>
      <c r="F176" s="23"/>
      <c r="G176" s="23"/>
      <c r="H176" s="23"/>
      <c r="I176" s="1"/>
      <c r="J176" s="1"/>
      <c r="K176" s="1"/>
      <c r="L176" s="1"/>
    </row>
    <row r="177" ht="15" customHeight="1">
      <c r="A177" s="1"/>
      <c r="B177" s="17" t="s">
        <v>864</v>
      </c>
      <c r="C177" s="23"/>
      <c r="D177" s="33">
        <v>1537</v>
      </c>
      <c r="E177" s="23"/>
      <c r="F177" s="23"/>
      <c r="G177" s="23"/>
      <c r="H177" s="23"/>
      <c r="I177" s="1"/>
      <c r="J177" s="1"/>
      <c r="K177" s="1"/>
      <c r="L177" s="1"/>
    </row>
    <row r="178" ht="15" customHeight="1">
      <c r="A178" s="1"/>
      <c r="B178" s="17" t="s">
        <v>865</v>
      </c>
      <c r="C178" s="23"/>
      <c r="D178" s="33">
        <v>84</v>
      </c>
      <c r="E178" s="23"/>
      <c r="F178" s="23"/>
      <c r="G178" s="23"/>
      <c r="H178" s="23"/>
      <c r="I178" s="1"/>
      <c r="J178" s="1"/>
      <c r="K178" s="1"/>
      <c r="L178" s="1"/>
    </row>
    <row r="179" ht="15" customHeight="1">
      <c r="A179" s="1"/>
      <c r="B179" s="17" t="s">
        <v>866</v>
      </c>
      <c r="C179" s="23"/>
      <c r="D179" s="33">
        <v>3788</v>
      </c>
      <c r="E179" s="23"/>
      <c r="F179" s="23"/>
      <c r="G179" s="23"/>
      <c r="H179" s="23"/>
      <c r="I179" s="1"/>
      <c r="J179" s="1"/>
      <c r="K179" s="1"/>
      <c r="L179" s="1"/>
    </row>
    <row r="180" ht="15" customHeight="1">
      <c r="A180" s="1"/>
      <c r="B180" s="17" t="s">
        <v>867</v>
      </c>
      <c r="C180" s="23"/>
      <c r="D180" s="33">
        <v>4254</v>
      </c>
      <c r="E180" s="23"/>
      <c r="F180" s="23"/>
      <c r="G180" s="23"/>
      <c r="H180" s="23"/>
      <c r="I180" s="1"/>
      <c r="J180" s="1"/>
      <c r="K180" s="1"/>
      <c r="L180" s="1"/>
    </row>
    <row r="181" ht="15" customHeight="1">
      <c r="A181" s="1"/>
      <c r="B181" s="17" t="s">
        <v>868</v>
      </c>
      <c r="C181" s="23"/>
      <c r="D181" s="33">
        <v>6505</v>
      </c>
      <c r="E181" s="23"/>
      <c r="F181" s="23"/>
      <c r="G181" s="23"/>
      <c r="H181" s="23"/>
      <c r="I181" s="1"/>
      <c r="J181" s="1"/>
      <c r="K181" s="1"/>
      <c r="L181" s="1"/>
    </row>
    <row r="182" ht="15" customHeight="1">
      <c r="A182" s="1"/>
      <c r="B182" s="17" t="s">
        <v>869</v>
      </c>
      <c r="C182" s="23"/>
      <c r="D182" s="33">
        <v>407</v>
      </c>
      <c r="E182" s="23"/>
      <c r="F182" s="23"/>
      <c r="G182" s="23"/>
      <c r="H182" s="23"/>
      <c r="I182" s="1"/>
      <c r="J182" s="1"/>
      <c r="K182" s="1"/>
      <c r="L182" s="1"/>
    </row>
    <row r="183" ht="15" customHeight="1">
      <c r="A183" s="1"/>
      <c r="B183" s="17" t="s">
        <v>870</v>
      </c>
      <c r="C183" s="23"/>
      <c r="D183" s="33">
        <v>820</v>
      </c>
      <c r="E183" s="23"/>
      <c r="F183" s="23"/>
      <c r="G183" s="23"/>
      <c r="H183" s="23"/>
      <c r="I183" s="1"/>
      <c r="J183" s="1"/>
      <c r="K183" s="1"/>
      <c r="L183" s="1"/>
    </row>
    <row r="184" ht="15" customHeight="1">
      <c r="A184" s="1"/>
      <c r="B184" s="17" t="s">
        <v>871</v>
      </c>
      <c r="C184" s="23"/>
      <c r="D184" s="33">
        <v>310</v>
      </c>
      <c r="E184" s="23"/>
      <c r="F184" s="23"/>
      <c r="G184" s="23"/>
      <c r="H184" s="23"/>
      <c r="I184" s="1"/>
      <c r="J184" s="1"/>
      <c r="K184" s="1"/>
      <c r="L184" s="1"/>
    </row>
    <row r="185" ht="15" customHeight="1">
      <c r="A185" s="1"/>
      <c r="B185" s="17" t="s">
        <v>872</v>
      </c>
      <c r="C185" s="23"/>
      <c r="D185" s="33">
        <v>163</v>
      </c>
      <c r="E185" s="23"/>
      <c r="F185" s="23"/>
      <c r="G185" s="23"/>
      <c r="H185" s="23"/>
      <c r="I185" s="1"/>
      <c r="J185" s="1"/>
      <c r="K185" s="1"/>
      <c r="L185" s="1"/>
    </row>
    <row r="186" ht="15" customHeight="1">
      <c r="A186" s="1"/>
      <c r="B186" s="17" t="s">
        <v>873</v>
      </c>
      <c r="C186" s="23"/>
      <c r="D186" s="33">
        <v>206</v>
      </c>
      <c r="E186" s="23"/>
      <c r="F186" s="23"/>
      <c r="G186" s="23"/>
      <c r="H186" s="23"/>
      <c r="I186" s="1"/>
      <c r="J186" s="1"/>
      <c r="K186" s="1"/>
      <c r="L186" s="1"/>
    </row>
    <row r="187" ht="15" customHeight="1">
      <c r="A187" s="1"/>
      <c r="B187" s="17" t="s">
        <v>874</v>
      </c>
      <c r="C187" s="23"/>
      <c r="D187" s="33">
        <v>152</v>
      </c>
      <c r="E187" s="23"/>
      <c r="F187" s="23"/>
      <c r="G187" s="23"/>
      <c r="H187" s="23"/>
      <c r="I187" s="1"/>
      <c r="J187" s="1"/>
      <c r="K187" s="1"/>
      <c r="L187" s="1"/>
    </row>
    <row r="188" ht="15" customHeight="1">
      <c r="A188" s="1"/>
      <c r="B188" s="17" t="s">
        <v>875</v>
      </c>
      <c r="C188" s="23"/>
      <c r="D188" s="33">
        <v>367</v>
      </c>
      <c r="E188" s="23"/>
      <c r="F188" s="23"/>
      <c r="G188" s="23"/>
      <c r="H188" s="23"/>
      <c r="I188" s="1"/>
      <c r="J188" s="1"/>
      <c r="K188" s="1"/>
      <c r="L188" s="1"/>
    </row>
    <row r="189" ht="15" customHeight="1">
      <c r="A189" s="1"/>
      <c r="B189" s="17" t="s">
        <v>876</v>
      </c>
      <c r="C189" s="23"/>
      <c r="D189" s="33">
        <v>7024</v>
      </c>
      <c r="E189" s="23"/>
      <c r="F189" s="23"/>
      <c r="G189" s="23"/>
      <c r="H189" s="23"/>
      <c r="I189" s="1"/>
      <c r="J189" s="1"/>
      <c r="K189" s="1"/>
      <c r="L189" s="1"/>
    </row>
    <row r="190" ht="15" customHeight="1">
      <c r="A190" s="1"/>
      <c r="B190" s="17" t="s">
        <v>877</v>
      </c>
      <c r="C190" s="23"/>
      <c r="D190" s="33">
        <v>154</v>
      </c>
      <c r="E190" s="23"/>
      <c r="F190" s="23"/>
      <c r="G190" s="23"/>
      <c r="H190" s="23"/>
      <c r="I190" s="1"/>
      <c r="J190" s="1"/>
      <c r="K190" s="1"/>
      <c r="L190" s="1"/>
    </row>
    <row r="191" ht="15" customHeight="1">
      <c r="A191" s="1"/>
      <c r="B191" s="17" t="s">
        <v>878</v>
      </c>
      <c r="C191" s="23"/>
      <c r="D191" s="33">
        <v>367</v>
      </c>
      <c r="E191" s="23"/>
      <c r="F191" s="23"/>
      <c r="G191" s="23"/>
      <c r="H191" s="23"/>
      <c r="I191" s="1"/>
      <c r="J191" s="1"/>
      <c r="K191" s="1"/>
      <c r="L191" s="1"/>
    </row>
    <row r="192" ht="15" customHeight="1">
      <c r="A192" s="1"/>
      <c r="B192" s="17" t="s">
        <v>879</v>
      </c>
      <c r="C192" s="23"/>
      <c r="D192" s="33">
        <v>4453</v>
      </c>
      <c r="E192" s="23"/>
      <c r="F192" s="23"/>
      <c r="G192" s="23"/>
      <c r="H192" s="23"/>
      <c r="I192" s="1"/>
      <c r="J192" s="1"/>
      <c r="K192" s="1"/>
      <c r="L192" s="1"/>
    </row>
    <row r="193" ht="15" customHeight="1">
      <c r="A193" s="1"/>
      <c r="B193" s="17" t="s">
        <v>880</v>
      </c>
      <c r="C193" s="23"/>
      <c r="D193" s="33">
        <v>3092</v>
      </c>
      <c r="E193" s="23"/>
      <c r="F193" s="23"/>
      <c r="G193" s="23"/>
      <c r="H193" s="23"/>
      <c r="I193" s="1"/>
      <c r="J193" s="1"/>
      <c r="K193" s="1"/>
      <c r="L193" s="1"/>
    </row>
    <row r="194" ht="15" customHeight="1">
      <c r="A194" s="1"/>
      <c r="B194" s="17" t="s">
        <v>881</v>
      </c>
      <c r="C194" s="23"/>
      <c r="D194" s="33">
        <v>7391</v>
      </c>
      <c r="E194" s="23"/>
      <c r="F194" s="23"/>
      <c r="G194" s="23"/>
      <c r="H194" s="23"/>
      <c r="I194" s="1"/>
      <c r="J194" s="1"/>
      <c r="K194" s="1"/>
      <c r="L194" s="1"/>
    </row>
    <row r="195" ht="15" customHeight="1">
      <c r="A195" s="1"/>
      <c r="B195" s="17" t="s">
        <v>882</v>
      </c>
      <c r="C195" s="23"/>
      <c r="D195" s="33">
        <v>48</v>
      </c>
      <c r="E195" s="23"/>
      <c r="F195" s="23"/>
      <c r="G195" s="23"/>
      <c r="H195" s="23"/>
      <c r="I195" s="1"/>
      <c r="J195" s="1"/>
      <c r="K195" s="1"/>
      <c r="L195" s="1"/>
    </row>
    <row r="196" ht="15" customHeight="1">
      <c r="A196" s="1"/>
      <c r="B196" s="17" t="s">
        <v>883</v>
      </c>
      <c r="C196" s="23"/>
      <c r="D196" s="33">
        <v>74</v>
      </c>
      <c r="E196" s="23"/>
      <c r="F196" s="23"/>
      <c r="G196" s="23"/>
      <c r="H196" s="23"/>
      <c r="I196" s="1"/>
      <c r="J196" s="1"/>
      <c r="K196" s="1"/>
      <c r="L196" s="1"/>
    </row>
    <row r="197" ht="15" customHeight="1">
      <c r="A197" s="1"/>
      <c r="B197" s="17" t="s">
        <v>884</v>
      </c>
      <c r="C197" s="23"/>
      <c r="D197" s="33">
        <v>32</v>
      </c>
      <c r="E197" s="23"/>
      <c r="F197" s="23"/>
      <c r="G197" s="23"/>
      <c r="H197" s="23"/>
      <c r="I197" s="1"/>
      <c r="J197" s="1"/>
      <c r="K197" s="1"/>
      <c r="L197" s="1"/>
    </row>
    <row r="198" ht="15" customHeight="1">
      <c r="A198" s="1"/>
      <c r="B198" s="17" t="s">
        <v>885</v>
      </c>
      <c r="C198" s="23"/>
      <c r="D198" s="33">
        <v>37</v>
      </c>
      <c r="E198" s="23"/>
      <c r="F198" s="23"/>
      <c r="G198" s="23"/>
      <c r="H198" s="23"/>
      <c r="I198" s="1"/>
      <c r="J198" s="1"/>
      <c r="K198" s="1"/>
      <c r="L198" s="1"/>
    </row>
    <row r="199" ht="15" customHeight="1">
      <c r="A199" s="1"/>
      <c r="B199" s="17" t="s">
        <v>886</v>
      </c>
      <c r="C199" s="23"/>
      <c r="D199" s="33">
        <v>261</v>
      </c>
      <c r="E199" s="23"/>
      <c r="F199" s="23"/>
      <c r="G199" s="23"/>
      <c r="H199" s="23"/>
      <c r="I199" s="1"/>
      <c r="J199" s="1"/>
      <c r="K199" s="1"/>
      <c r="L199" s="1"/>
    </row>
    <row r="200" ht="15" customHeight="1">
      <c r="A200" s="1"/>
      <c r="B200" s="17" t="s">
        <v>887</v>
      </c>
      <c r="C200" s="23"/>
      <c r="D200" s="33">
        <v>251</v>
      </c>
      <c r="E200" s="23"/>
      <c r="F200" s="23"/>
      <c r="G200" s="23"/>
      <c r="H200" s="23"/>
      <c r="I200" s="1"/>
      <c r="J200" s="1"/>
      <c r="K200" s="1"/>
      <c r="L200" s="1"/>
    </row>
    <row r="201" ht="15" customHeight="1">
      <c r="A201" s="1"/>
      <c r="B201" s="17" t="s">
        <v>888</v>
      </c>
      <c r="C201" s="23"/>
      <c r="D201" s="33">
        <v>24148</v>
      </c>
      <c r="E201" s="23"/>
      <c r="F201" s="23"/>
      <c r="G201" s="23"/>
      <c r="H201" s="23"/>
      <c r="I201" s="1"/>
      <c r="J201" s="1"/>
      <c r="K201" s="1"/>
      <c r="L201" s="1"/>
    </row>
    <row r="202" ht="15" customHeight="1">
      <c r="A202" s="1"/>
      <c r="B202" s="17" t="s">
        <v>889</v>
      </c>
      <c r="C202" s="23"/>
      <c r="D202" s="33">
        <v>6094</v>
      </c>
      <c r="E202" s="23"/>
      <c r="F202" s="23"/>
      <c r="G202" s="23"/>
      <c r="H202" s="23"/>
      <c r="I202" s="1"/>
      <c r="J202" s="1"/>
      <c r="K202" s="1"/>
      <c r="L202" s="1"/>
    </row>
    <row r="203" ht="15" customHeight="1">
      <c r="A203" s="1"/>
      <c r="B203" s="17" t="s">
        <v>890</v>
      </c>
      <c r="C203" s="23"/>
      <c r="D203" s="33">
        <v>19523</v>
      </c>
      <c r="E203" s="23"/>
      <c r="F203" s="23"/>
      <c r="G203" s="23"/>
      <c r="H203" s="23"/>
      <c r="I203" s="1"/>
      <c r="J203" s="1"/>
      <c r="K203" s="1"/>
      <c r="L203" s="1"/>
    </row>
    <row r="204" ht="15" customHeight="1">
      <c r="A204" s="1"/>
      <c r="B204" s="17" t="s">
        <v>891</v>
      </c>
      <c r="C204" s="23"/>
      <c r="D204" s="33">
        <v>4702</v>
      </c>
      <c r="E204" s="23"/>
      <c r="F204" s="23"/>
      <c r="G204" s="23"/>
      <c r="H204" s="23"/>
      <c r="I204" s="1"/>
      <c r="J204" s="1"/>
      <c r="K204" s="1"/>
      <c r="L204" s="1"/>
    </row>
    <row r="205" ht="15" customHeight="1">
      <c r="A205" s="1"/>
      <c r="B205" s="17" t="s">
        <v>892</v>
      </c>
      <c r="C205" s="23"/>
      <c r="D205" s="33">
        <v>3008</v>
      </c>
      <c r="E205" s="23"/>
      <c r="F205" s="23"/>
      <c r="G205" s="23"/>
      <c r="H205" s="23"/>
      <c r="I205" s="1"/>
      <c r="J205" s="1"/>
      <c r="K205" s="1"/>
      <c r="L205" s="1"/>
    </row>
    <row r="206" ht="15" customHeight="1">
      <c r="A206" s="1"/>
      <c r="B206" s="17" t="s">
        <v>893</v>
      </c>
      <c r="C206" s="23"/>
      <c r="D206" s="33">
        <v>194</v>
      </c>
      <c r="E206" s="23"/>
      <c r="F206" s="23"/>
      <c r="G206" s="23"/>
      <c r="H206" s="23"/>
      <c r="I206" s="1"/>
      <c r="J206" s="1"/>
      <c r="K206" s="1"/>
      <c r="L206" s="1"/>
    </row>
    <row r="207" ht="15" customHeight="1">
      <c r="A207" s="1"/>
      <c r="B207" s="17" t="s">
        <v>894</v>
      </c>
      <c r="C207" s="23"/>
      <c r="D207" s="33">
        <v>91</v>
      </c>
      <c r="E207" s="23"/>
      <c r="F207" s="23"/>
      <c r="G207" s="23"/>
      <c r="H207" s="23"/>
      <c r="I207" s="1"/>
      <c r="J207" s="1"/>
      <c r="K207" s="1"/>
      <c r="L207" s="1"/>
    </row>
    <row r="208" ht="15" customHeight="1">
      <c r="A208" s="1"/>
      <c r="B208" s="17" t="s">
        <v>895</v>
      </c>
      <c r="C208" s="33">
        <v>1655</v>
      </c>
      <c r="D208" s="33">
        <v>2755</v>
      </c>
      <c r="E208" s="33">
        <v>4182</v>
      </c>
      <c r="F208" s="33">
        <v>875</v>
      </c>
      <c r="G208" s="33">
        <v>1969</v>
      </c>
      <c r="H208" s="23"/>
      <c r="I208" s="1"/>
      <c r="J208" s="1"/>
      <c r="K208" s="1"/>
      <c r="L208" s="1"/>
    </row>
    <row r="209" ht="15" customHeight="1">
      <c r="A209" s="1"/>
      <c r="B209" s="17" t="s">
        <v>896</v>
      </c>
      <c r="C209" s="33">
        <v>687</v>
      </c>
      <c r="D209" s="33">
        <v>1066</v>
      </c>
      <c r="E209" s="33">
        <v>1472</v>
      </c>
      <c r="F209" s="33">
        <v>372</v>
      </c>
      <c r="G209" s="33">
        <v>739</v>
      </c>
      <c r="H209" s="23"/>
      <c r="I209" s="1"/>
      <c r="J209" s="1"/>
      <c r="K209" s="1"/>
      <c r="L209" s="1"/>
    </row>
    <row r="210" ht="15" customHeight="1">
      <c r="A210" s="1"/>
      <c r="B210" s="17" t="s">
        <v>897</v>
      </c>
      <c r="C210" s="33">
        <v>40</v>
      </c>
      <c r="D210" s="33">
        <v>65</v>
      </c>
      <c r="E210" s="33">
        <v>119</v>
      </c>
      <c r="F210" s="33">
        <v>20</v>
      </c>
      <c r="G210" s="33">
        <v>49</v>
      </c>
      <c r="H210" s="23"/>
      <c r="I210" s="1"/>
      <c r="J210" s="1"/>
      <c r="K210" s="1"/>
      <c r="L210" s="1"/>
    </row>
    <row r="211" ht="15" customHeight="1">
      <c r="A211" s="1"/>
      <c r="B211" s="17" t="s">
        <v>898</v>
      </c>
      <c r="C211" s="33">
        <v>-114</v>
      </c>
      <c r="D211" s="33">
        <v>344</v>
      </c>
      <c r="E211" s="33">
        <v>548</v>
      </c>
      <c r="F211" s="33">
        <v>308</v>
      </c>
      <c r="G211" s="33">
        <v>453</v>
      </c>
      <c r="H211" s="23"/>
      <c r="I211" s="1"/>
      <c r="J211" s="1"/>
      <c r="K211" s="1"/>
      <c r="L211" s="1"/>
    </row>
    <row r="212" ht="15" customHeight="1">
      <c r="A212" s="1"/>
      <c r="B212" s="17" t="s">
        <v>899</v>
      </c>
      <c r="C212" s="33">
        <v>477</v>
      </c>
      <c r="D212" s="33">
        <v>477</v>
      </c>
      <c r="E212" s="33">
        <v>477</v>
      </c>
      <c r="F212" s="33">
        <v>0</v>
      </c>
      <c r="G212" s="33">
        <v>0</v>
      </c>
      <c r="H212" s="23"/>
      <c r="I212" s="1"/>
      <c r="J212" s="1"/>
      <c r="K212" s="1"/>
      <c r="L212" s="1"/>
    </row>
    <row r="213" ht="15" customHeight="1">
      <c r="A213" s="1"/>
      <c r="B213" s="17" t="s">
        <v>900</v>
      </c>
      <c r="C213" s="33">
        <v>-231</v>
      </c>
      <c r="D213" s="33">
        <v>-231</v>
      </c>
      <c r="E213" s="33">
        <v>-231</v>
      </c>
      <c r="F213" s="33">
        <v>0</v>
      </c>
      <c r="G213" s="33">
        <v>0</v>
      </c>
      <c r="H213" s="23"/>
      <c r="I213" s="1"/>
      <c r="J213" s="1"/>
      <c r="K213" s="1"/>
      <c r="L213" s="1"/>
    </row>
    <row r="214" ht="15" customHeight="1">
      <c r="A214" s="1"/>
      <c r="B214" s="17" t="s">
        <v>901</v>
      </c>
      <c r="C214" s="33">
        <v>0</v>
      </c>
      <c r="D214" s="33">
        <v>0</v>
      </c>
      <c r="E214" s="33">
        <v>-527</v>
      </c>
      <c r="F214" s="33">
        <v>0</v>
      </c>
      <c r="G214" s="33">
        <v>0</v>
      </c>
      <c r="H214" s="23"/>
      <c r="I214" s="1"/>
      <c r="J214" s="1"/>
      <c r="K214" s="1"/>
      <c r="L214" s="1"/>
    </row>
    <row r="215" ht="15" customHeight="1">
      <c r="A215" s="1"/>
      <c r="B215" s="17" t="s">
        <v>902</v>
      </c>
      <c r="C215" s="33">
        <v>-169</v>
      </c>
      <c r="D215" s="33">
        <v>-256</v>
      </c>
      <c r="E215" s="33">
        <v>-346</v>
      </c>
      <c r="F215" s="33">
        <v>-120</v>
      </c>
      <c r="G215" s="33">
        <v>-240</v>
      </c>
      <c r="H215" s="23"/>
      <c r="I215" s="1"/>
      <c r="J215" s="1"/>
      <c r="K215" s="1"/>
      <c r="L215" s="1"/>
    </row>
    <row r="216" ht="15" customHeight="1">
      <c r="A216" s="1"/>
      <c r="B216" s="17" t="s">
        <v>903</v>
      </c>
      <c r="C216" s="33">
        <v>-62</v>
      </c>
      <c r="D216" s="33">
        <v>-94</v>
      </c>
      <c r="E216" s="33">
        <v>-130</v>
      </c>
      <c r="F216" s="33">
        <v>-33</v>
      </c>
      <c r="G216" s="33">
        <v>-63</v>
      </c>
      <c r="H216" s="23"/>
      <c r="I216" s="1"/>
      <c r="J216" s="1"/>
      <c r="K216" s="1"/>
      <c r="L216" s="1"/>
    </row>
    <row r="217" ht="15" customHeight="1">
      <c r="A217" s="1"/>
      <c r="B217" s="17" t="s">
        <v>904</v>
      </c>
      <c r="C217" s="33">
        <v>-929</v>
      </c>
      <c r="D217" s="33">
        <v>-716</v>
      </c>
      <c r="E217" s="33">
        <v>-108</v>
      </c>
      <c r="F217" s="33">
        <v>-431</v>
      </c>
      <c r="G217" s="33">
        <v>-936</v>
      </c>
      <c r="H217" s="23"/>
      <c r="I217" s="1"/>
      <c r="J217" s="1"/>
      <c r="K217" s="1"/>
      <c r="L217" s="1"/>
    </row>
    <row r="218" ht="15" customHeight="1">
      <c r="A218" s="1"/>
      <c r="B218" s="17" t="s">
        <v>905</v>
      </c>
      <c r="C218" s="33">
        <v>-1343</v>
      </c>
      <c r="D218" s="33">
        <v>-1240</v>
      </c>
      <c r="E218" s="33">
        <v>-754</v>
      </c>
      <c r="F218" s="33">
        <v>-551</v>
      </c>
      <c r="G218" s="33">
        <v>-860</v>
      </c>
      <c r="H218" s="23"/>
      <c r="I218" s="1"/>
      <c r="J218" s="1"/>
      <c r="K218" s="1"/>
      <c r="L218" s="1"/>
    </row>
    <row r="219" ht="15" customHeight="1">
      <c r="A219" s="1"/>
      <c r="B219" s="17" t="s">
        <v>906</v>
      </c>
      <c r="C219" s="33">
        <v>-102</v>
      </c>
      <c r="D219" s="33">
        <v>-179</v>
      </c>
      <c r="E219" s="33">
        <v>97</v>
      </c>
      <c r="F219" s="33">
        <v>-144</v>
      </c>
      <c r="G219" s="33">
        <v>-118</v>
      </c>
      <c r="H219" s="23"/>
      <c r="I219" s="1"/>
      <c r="J219" s="1"/>
      <c r="K219" s="1"/>
      <c r="L219" s="1"/>
    </row>
    <row r="220" ht="15" customHeight="1">
      <c r="A220" s="1"/>
      <c r="B220" s="17" t="s">
        <v>907</v>
      </c>
      <c r="C220" s="33">
        <v>21</v>
      </c>
      <c r="D220" s="33">
        <v>-29</v>
      </c>
      <c r="E220" s="33">
        <v>8</v>
      </c>
      <c r="F220" s="33">
        <v>-37</v>
      </c>
      <c r="G220" s="33">
        <v>141</v>
      </c>
      <c r="H220" s="23"/>
      <c r="I220" s="1"/>
      <c r="J220" s="1"/>
      <c r="K220" s="1"/>
      <c r="L220" s="1"/>
    </row>
    <row r="221" ht="15" customHeight="1">
      <c r="A221" s="1"/>
      <c r="B221" s="17" t="s">
        <v>908</v>
      </c>
      <c r="C221" s="23">
        <f t="shared" si="8" ref="C221:G221">C222+C223+C224</f>
        <v>-492</v>
      </c>
      <c r="D221" s="33">
        <v>-642</v>
      </c>
      <c r="E221" s="23">
        <f t="shared" si="8"/>
        <v>453</v>
      </c>
      <c r="F221" s="23">
        <f t="shared" si="8"/>
        <v>-1750</v>
      </c>
      <c r="G221" s="23">
        <f t="shared" si="8"/>
        <v>-1444</v>
      </c>
      <c r="H221" s="23"/>
      <c r="I221" s="1"/>
      <c r="J221" s="1" t="s">
        <v>909</v>
      </c>
      <c r="K221" s="1"/>
      <c r="L221" s="1"/>
    </row>
    <row r="222" ht="15" customHeight="1">
      <c r="A222" s="1"/>
      <c r="B222" s="17" t="s">
        <v>910</v>
      </c>
      <c r="C222" s="33">
        <v>-2</v>
      </c>
      <c r="D222" s="23"/>
      <c r="E222" s="33">
        <v>646</v>
      </c>
      <c r="F222" s="33">
        <v>-559</v>
      </c>
      <c r="G222" s="33">
        <v>-345</v>
      </c>
      <c r="H222" s="23"/>
      <c r="I222" s="1"/>
      <c r="J222" s="1"/>
      <c r="K222" s="1"/>
      <c r="L222" s="1"/>
    </row>
    <row r="223" ht="15" customHeight="1">
      <c r="A223" s="1"/>
      <c r="B223" s="17" t="s">
        <v>911</v>
      </c>
      <c r="C223" s="33">
        <v>-70</v>
      </c>
      <c r="D223" s="23"/>
      <c r="E223" s="33">
        <v>19</v>
      </c>
      <c r="F223" s="33">
        <v>-389</v>
      </c>
      <c r="G223" s="33">
        <v>-263</v>
      </c>
      <c r="H223" s="23"/>
      <c r="I223" s="1"/>
      <c r="J223" s="1"/>
      <c r="K223" s="1"/>
      <c r="L223" s="1"/>
    </row>
    <row r="224" ht="15" customHeight="1">
      <c r="A224" s="1"/>
      <c r="B224" s="17" t="s">
        <v>912</v>
      </c>
      <c r="C224" s="33">
        <v>-420</v>
      </c>
      <c r="D224" s="23"/>
      <c r="E224" s="33">
        <v>-212</v>
      </c>
      <c r="F224" s="33">
        <v>-802</v>
      </c>
      <c r="G224" s="33">
        <v>-836</v>
      </c>
      <c r="H224" s="23"/>
      <c r="I224" s="1"/>
      <c r="J224" s="1"/>
      <c r="K224" s="1"/>
      <c r="L224" s="1"/>
    </row>
    <row r="225" ht="15" customHeight="1">
      <c r="A225" s="1"/>
      <c r="B225" s="17" t="s">
        <v>913</v>
      </c>
      <c r="C225" s="33">
        <v>-145</v>
      </c>
      <c r="D225" s="33">
        <v>-421</v>
      </c>
      <c r="E225" s="33">
        <v>-559</v>
      </c>
      <c r="F225" s="33">
        <v>-164</v>
      </c>
      <c r="G225" s="33">
        <v>-38</v>
      </c>
      <c r="H225" s="23"/>
      <c r="I225" s="1"/>
      <c r="J225" s="1"/>
      <c r="K225" s="1"/>
      <c r="L225" s="1"/>
    </row>
    <row r="226" ht="15" customHeight="1">
      <c r="A226" s="1"/>
      <c r="B226" s="17" t="s">
        <v>914</v>
      </c>
      <c r="C226" s="33">
        <v>10</v>
      </c>
      <c r="D226" s="33">
        <v>-39</v>
      </c>
      <c r="E226" s="33">
        <v>56</v>
      </c>
      <c r="F226" s="33">
        <v>-1</v>
      </c>
      <c r="G226" s="33">
        <v>-28</v>
      </c>
      <c r="H226" s="23"/>
      <c r="I226" s="1"/>
      <c r="J226" s="1"/>
      <c r="K226" s="1"/>
      <c r="L226" s="1"/>
    </row>
    <row r="227" ht="15" customHeight="1">
      <c r="A227" s="1"/>
      <c r="B227" s="17" t="s">
        <v>915</v>
      </c>
      <c r="C227" s="33">
        <v>-697</v>
      </c>
      <c r="D227" s="33">
        <v>860</v>
      </c>
      <c r="E227" s="33">
        <v>4757</v>
      </c>
      <c r="F227" s="33">
        <v>-1656</v>
      </c>
      <c r="G227" s="33">
        <v>-376</v>
      </c>
      <c r="H227" s="23"/>
      <c r="I227" s="1"/>
      <c r="J227" s="1"/>
      <c r="K227" s="1"/>
      <c r="L227" s="1"/>
    </row>
    <row r="228" ht="15" customHeight="1">
      <c r="A228" s="1"/>
      <c r="B228" s="17" t="s">
        <v>916</v>
      </c>
      <c r="C228" s="33">
        <v>-487</v>
      </c>
      <c r="D228" s="33">
        <v>-788</v>
      </c>
      <c r="E228" s="33">
        <v>-1450</v>
      </c>
      <c r="F228" s="33">
        <v>-167</v>
      </c>
      <c r="G228" s="33">
        <v>-469</v>
      </c>
      <c r="H228" s="23"/>
      <c r="I228" s="1"/>
      <c r="J228" s="1"/>
      <c r="K228" s="1"/>
      <c r="L228" s="1"/>
    </row>
    <row r="229" ht="15" customHeight="1">
      <c r="A229" s="1"/>
      <c r="B229" s="17" t="s">
        <v>917</v>
      </c>
      <c r="C229" s="33">
        <v>0</v>
      </c>
      <c r="D229" s="33">
        <v>0</v>
      </c>
      <c r="E229" s="33">
        <v>0</v>
      </c>
      <c r="F229" s="33">
        <v>0</v>
      </c>
      <c r="G229" s="33">
        <v>107</v>
      </c>
      <c r="H229" s="23"/>
      <c r="I229" s="1"/>
      <c r="J229" s="1"/>
      <c r="K229" s="1"/>
      <c r="L229" s="1"/>
    </row>
    <row r="230" ht="15" customHeight="1">
      <c r="A230" s="1"/>
      <c r="B230" s="17" t="s">
        <v>918</v>
      </c>
      <c r="C230" s="33">
        <v>333</v>
      </c>
      <c r="D230" s="33">
        <v>333</v>
      </c>
      <c r="E230" s="33">
        <v>333</v>
      </c>
      <c r="F230" s="33">
        <v>0</v>
      </c>
      <c r="G230" s="33">
        <v>0</v>
      </c>
      <c r="H230" s="23"/>
      <c r="I230" s="1"/>
      <c r="J230" s="1"/>
      <c r="K230" s="1"/>
      <c r="L230" s="1"/>
    </row>
    <row r="231" ht="15" customHeight="1">
      <c r="A231" s="1"/>
      <c r="B231" s="17" t="s">
        <v>919</v>
      </c>
      <c r="C231" s="33">
        <v>-37</v>
      </c>
      <c r="D231" s="33">
        <v>-36</v>
      </c>
      <c r="E231" s="33">
        <v>-38</v>
      </c>
      <c r="F231" s="33">
        <v>-1</v>
      </c>
      <c r="G231" s="33">
        <v>-2</v>
      </c>
      <c r="H231" s="23"/>
      <c r="I231" s="1"/>
      <c r="J231" s="1"/>
      <c r="K231" s="1"/>
      <c r="L231" s="1"/>
    </row>
    <row r="232" ht="15" customHeight="1">
      <c r="A232" s="1"/>
      <c r="B232" s="17" t="s">
        <v>920</v>
      </c>
      <c r="C232" s="33">
        <v>998</v>
      </c>
      <c r="D232" s="33">
        <v>998</v>
      </c>
      <c r="E232" s="33">
        <v>998</v>
      </c>
      <c r="F232" s="33">
        <v>0</v>
      </c>
      <c r="G232" s="33">
        <v>0</v>
      </c>
      <c r="H232" s="23"/>
      <c r="I232" s="1"/>
      <c r="J232" s="1"/>
      <c r="K232" s="1"/>
      <c r="L232" s="1"/>
    </row>
    <row r="233" ht="15" customHeight="1">
      <c r="A233" s="1"/>
      <c r="B233" s="17" t="s">
        <v>921</v>
      </c>
      <c r="C233" s="33">
        <v>-1500</v>
      </c>
      <c r="D233" s="33">
        <v>-1500</v>
      </c>
      <c r="E233" s="33">
        <v>-1500</v>
      </c>
      <c r="F233" s="33">
        <v>-527</v>
      </c>
      <c r="G233" s="33">
        <v>-527</v>
      </c>
      <c r="H233" s="23"/>
      <c r="I233" s="1"/>
      <c r="J233" s="1"/>
      <c r="K233" s="1"/>
      <c r="L233" s="1"/>
    </row>
    <row r="234" ht="15" customHeight="1">
      <c r="A234" s="1"/>
      <c r="B234" s="17" t="s">
        <v>922</v>
      </c>
      <c r="C234" s="33">
        <v>566</v>
      </c>
      <c r="D234" s="33">
        <v>0</v>
      </c>
      <c r="E234" s="33">
        <v>0</v>
      </c>
      <c r="F234" s="33">
        <v>498</v>
      </c>
      <c r="G234" s="33">
        <v>0</v>
      </c>
      <c r="H234" s="23"/>
      <c r="I234" s="1"/>
      <c r="J234" s="1"/>
      <c r="K234" s="1"/>
      <c r="L234" s="1"/>
    </row>
    <row r="235" ht="15" customHeight="1">
      <c r="A235" s="1"/>
      <c r="B235" s="17" t="s">
        <v>923</v>
      </c>
      <c r="C235" s="33">
        <v>-891</v>
      </c>
      <c r="D235" s="33">
        <v>-1168</v>
      </c>
      <c r="E235" s="33">
        <v>-1624</v>
      </c>
      <c r="F235" s="33">
        <v>-68</v>
      </c>
      <c r="G235" s="33">
        <v>-68</v>
      </c>
      <c r="H235" s="23"/>
      <c r="I235" s="1"/>
      <c r="J235" s="1"/>
      <c r="K235" s="1"/>
      <c r="L235" s="1"/>
    </row>
    <row r="236" ht="15" customHeight="1">
      <c r="A236" s="1"/>
      <c r="B236" s="17" t="s">
        <v>924</v>
      </c>
      <c r="C236" s="33">
        <v>-634</v>
      </c>
      <c r="D236" s="33">
        <v>-964</v>
      </c>
      <c r="E236" s="33">
        <v>-1293</v>
      </c>
      <c r="F236" s="33">
        <v>-333</v>
      </c>
      <c r="G236" s="33">
        <v>-684</v>
      </c>
      <c r="H236" s="23"/>
      <c r="I236" s="1"/>
      <c r="J236" s="1"/>
      <c r="K236" s="1"/>
      <c r="L236" s="1"/>
    </row>
    <row r="237" ht="15" customHeight="1">
      <c r="A237" s="1"/>
      <c r="B237" s="17" t="s">
        <v>925</v>
      </c>
      <c r="C237" s="33">
        <v>-38</v>
      </c>
      <c r="D237" s="33">
        <v>-38</v>
      </c>
      <c r="E237" s="33">
        <v>-39</v>
      </c>
      <c r="F237" s="33">
        <v>-57</v>
      </c>
      <c r="G237" s="33">
        <v>-58</v>
      </c>
      <c r="H237" s="23"/>
      <c r="I237" s="1"/>
      <c r="J237" s="1"/>
      <c r="K237" s="1"/>
      <c r="L237" s="1"/>
    </row>
    <row r="238" ht="15" customHeight="1">
      <c r="A238" s="1"/>
      <c r="B238" s="17" t="s">
        <v>926</v>
      </c>
      <c r="C238" s="33">
        <v>-67</v>
      </c>
      <c r="D238" s="33">
        <v>-93</v>
      </c>
      <c r="E238" s="33">
        <v>-94</v>
      </c>
      <c r="F238" s="33">
        <v>-2</v>
      </c>
      <c r="G238" s="33">
        <v>-19</v>
      </c>
      <c r="H238" s="23"/>
      <c r="I238" s="1"/>
      <c r="J238" s="1"/>
      <c r="K238" s="1"/>
      <c r="L238" s="1"/>
    </row>
    <row r="239" ht="15" customHeight="1">
      <c r="A239" s="1"/>
      <c r="B239" s="17" t="s">
        <v>927</v>
      </c>
      <c r="C239" s="33">
        <v>1899</v>
      </c>
      <c r="D239" s="33">
        <v>1957</v>
      </c>
      <c r="E239" s="33">
        <v>4403</v>
      </c>
      <c r="F239" s="33">
        <v>2090</v>
      </c>
      <c r="G239" s="33">
        <v>2307</v>
      </c>
      <c r="H239" s="23"/>
      <c r="I239" s="1"/>
      <c r="J239" s="1"/>
      <c r="K239" s="1"/>
      <c r="L239" s="1"/>
    </row>
    <row r="240" ht="15" customHeight="1">
      <c r="A240" s="1"/>
      <c r="B240" s="17" t="s">
        <v>928</v>
      </c>
      <c r="C240" s="33">
        <v>4353</v>
      </c>
      <c r="D240" s="33">
        <v>4353</v>
      </c>
      <c r="E240" s="33">
        <v>4353</v>
      </c>
      <c r="F240" s="33">
        <v>4403</v>
      </c>
      <c r="G240" s="33">
        <v>4403</v>
      </c>
      <c r="H240" s="23"/>
      <c r="I240" s="1"/>
      <c r="J240" s="1"/>
      <c r="K240" s="1"/>
      <c r="L240" s="1"/>
    </row>
    <row r="241" ht="1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ht="15" customHeight="1">
      <c r="A242" s="1"/>
      <c r="B242" s="4" t="s">
        <v>929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ht="15" customHeight="1">
      <c r="A243" s="1"/>
      <c r="B243" s="35" t="s">
        <v>930</v>
      </c>
      <c r="C243" s="36">
        <v>0.21</v>
      </c>
      <c r="D243" s="24"/>
      <c r="E243" s="24"/>
      <c r="F243" s="24"/>
      <c r="G243" s="24"/>
      <c r="H243" s="24"/>
      <c r="I243" s="1"/>
      <c r="J243" s="1" t="s">
        <v>931</v>
      </c>
      <c r="K243" s="1"/>
      <c r="L243" s="1"/>
    </row>
    <row r="244" ht="1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ht="15" customHeight="1">
      <c r="A245" s="1"/>
      <c r="B245" s="4" t="s">
        <v>932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ht="31.5" customHeight="1">
      <c r="A246" s="1"/>
      <c r="B246" s="20" t="s">
        <v>933</v>
      </c>
      <c r="C246" s="20" t="s">
        <v>934</v>
      </c>
      <c r="D246" s="20" t="s">
        <v>935</v>
      </c>
      <c r="E246" s="20" t="s">
        <v>936</v>
      </c>
      <c r="F246" s="20" t="s">
        <v>937</v>
      </c>
      <c r="G246" s="20" t="s">
        <v>938</v>
      </c>
      <c r="H246" s="20" t="s">
        <v>939</v>
      </c>
      <c r="I246" s="34" t="s">
        <v>940</v>
      </c>
      <c r="J246" s="34"/>
      <c r="K246" s="34" t="s">
        <v>941</v>
      </c>
      <c r="L246" s="34" t="s">
        <v>942</v>
      </c>
    </row>
    <row r="247" ht="15" customHeight="1">
      <c r="A247" s="1"/>
      <c r="B247" s="79">
        <v>45747</v>
      </c>
      <c r="C247" s="78">
        <v>45769</v>
      </c>
      <c r="D247" s="41">
        <v>6.26</v>
      </c>
      <c r="E247" s="41">
        <v>3.32</v>
      </c>
      <c r="F247" s="41">
        <v>6.23</v>
      </c>
      <c r="G247" s="41">
        <v>3.32</v>
      </c>
      <c r="H247" s="33">
        <v>9948.17</v>
      </c>
      <c r="I247" s="33">
        <v>9468</v>
      </c>
      <c r="J247" s="1"/>
      <c r="K247" s="27">
        <f t="shared" si="9" ref="K247:K252">E247-D247</f>
        <v>-2.94</v>
      </c>
      <c r="L247" s="38">
        <f t="shared" si="10" ref="L247:L252">IF(E247&gt;D247,1,0)</f>
        <v>0</v>
      </c>
    </row>
    <row r="248" ht="15" customHeight="1">
      <c r="A248" s="1"/>
      <c r="B248" s="79">
        <v>45838</v>
      </c>
      <c r="C248" s="78">
        <v>45860</v>
      </c>
      <c r="D248" s="41">
        <v>6.8</v>
      </c>
      <c r="E248" s="41">
        <v>8.15</v>
      </c>
      <c r="F248" s="41">
        <v>6.81</v>
      </c>
      <c r="G248" s="41">
        <v>8.15</v>
      </c>
      <c r="H248" s="33">
        <v>10092.32</v>
      </c>
      <c r="I248" s="33">
        <v>10351</v>
      </c>
      <c r="J248" s="1"/>
      <c r="K248" s="27">
        <f t="shared" si="9"/>
        <v>1.3500000000000005</v>
      </c>
      <c r="L248" s="38">
        <f t="shared" si="10"/>
        <v>1</v>
      </c>
    </row>
    <row r="249" ht="15" customHeight="1">
      <c r="A249" s="1"/>
      <c r="B249" s="79">
        <v>45930</v>
      </c>
      <c r="C249" s="78">
        <v>45951</v>
      </c>
      <c r="D249" s="41">
        <v>6.46</v>
      </c>
      <c r="E249" s="41">
        <v>7.67</v>
      </c>
      <c r="F249" s="41">
        <v>6.46</v>
      </c>
      <c r="G249" s="41">
        <v>7.67</v>
      </c>
      <c r="H249" s="33">
        <v>10714.2</v>
      </c>
      <c r="I249" s="33">
        <v>10423</v>
      </c>
      <c r="J249" s="1"/>
      <c r="K249" s="27">
        <f t="shared" si="9"/>
        <v>1.21</v>
      </c>
      <c r="L249" s="38">
        <f t="shared" si="10"/>
        <v>1</v>
      </c>
    </row>
    <row r="250" ht="15" customHeight="1">
      <c r="A250" s="1"/>
      <c r="B250" s="79">
        <v>46022</v>
      </c>
      <c r="C250" s="78">
        <v>46049</v>
      </c>
      <c r="D250" s="41">
        <v>6.96</v>
      </c>
      <c r="E250" s="41">
        <v>7.23</v>
      </c>
      <c r="F250" s="41">
        <v>6.96</v>
      </c>
      <c r="G250" s="41">
        <v>9.99</v>
      </c>
      <c r="H250" s="33">
        <v>11616.54</v>
      </c>
      <c r="I250" s="33">
        <v>11712</v>
      </c>
      <c r="J250" s="1"/>
      <c r="K250" s="27">
        <f t="shared" si="9"/>
        <v>0.27000000000000046</v>
      </c>
      <c r="L250" s="38">
        <f t="shared" si="10"/>
        <v>1</v>
      </c>
    </row>
    <row r="251" ht="15" customHeight="1">
      <c r="A251" s="1"/>
      <c r="B251" s="79">
        <v>46112</v>
      </c>
      <c r="C251" s="78">
        <v>46133</v>
      </c>
      <c r="D251" s="41">
        <v>6.06</v>
      </c>
      <c r="E251" s="41">
        <v>6.14</v>
      </c>
      <c r="F251" s="41">
        <v>6.08</v>
      </c>
      <c r="G251" s="41">
        <v>6.14</v>
      </c>
      <c r="H251" s="33">
        <v>9755.58</v>
      </c>
      <c r="I251" s="33">
        <v>9881</v>
      </c>
      <c r="J251" s="1"/>
      <c r="K251" s="27">
        <f t="shared" si="9"/>
        <v>0.08000000000000007</v>
      </c>
      <c r="L251" s="38">
        <f t="shared" si="10"/>
        <v>1</v>
      </c>
    </row>
    <row r="252" ht="15" customHeight="1">
      <c r="A252" s="1"/>
      <c r="B252" s="79">
        <v>46203</v>
      </c>
      <c r="C252" s="78">
        <v>46224</v>
      </c>
      <c r="D252" s="41">
        <v>6.82</v>
      </c>
      <c r="E252" s="41">
        <v>7.68</v>
      </c>
      <c r="F252" s="41">
        <v>6.82</v>
      </c>
      <c r="G252" s="41">
        <v>7.68</v>
      </c>
      <c r="H252" s="33">
        <v>10804.59</v>
      </c>
      <c r="I252" s="33">
        <v>10876</v>
      </c>
      <c r="J252" s="1"/>
      <c r="K252" s="27">
        <f t="shared" si="9"/>
        <v>0.8599999999999994</v>
      </c>
      <c r="L252" s="38">
        <f t="shared" si="10"/>
        <v>1</v>
      </c>
    </row>
    <row r="253" ht="15" customHeight="1">
      <c r="A253" s="1"/>
      <c r="B253" s="17" t="s">
        <v>943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ht="1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5" customHeight="1">
      <c r="A255" s="1"/>
      <c r="B255" s="4" t="s">
        <v>944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ht="15" customHeight="1">
      <c r="A256" s="1"/>
      <c r="B256" s="17" t="s">
        <v>945</v>
      </c>
      <c r="C256" s="23" t="s">
        <v>583</v>
      </c>
      <c r="D256" s="1"/>
      <c r="E256" s="1"/>
      <c r="F256" s="1"/>
      <c r="G256" s="1"/>
      <c r="H256" s="1"/>
      <c r="I256" s="1"/>
      <c r="J256" s="1"/>
      <c r="K256" s="1"/>
      <c r="L256" s="1"/>
    </row>
    <row r="257" ht="15" customHeight="1">
      <c r="A257" s="1"/>
      <c r="B257" s="17" t="s">
        <v>946</v>
      </c>
      <c r="C257" s="23" t="s">
        <v>947</v>
      </c>
      <c r="D257" s="1"/>
      <c r="E257" s="1"/>
      <c r="F257" s="1"/>
      <c r="G257" s="1"/>
      <c r="H257" s="1"/>
      <c r="I257" s="1"/>
      <c r="J257" s="1"/>
      <c r="K257" s="1"/>
      <c r="L257" s="1"/>
    </row>
    <row r="258" ht="15" customHeight="1">
      <c r="A258" s="1"/>
      <c r="B258" s="17" t="s">
        <v>948</v>
      </c>
      <c r="C258" s="23" t="s">
        <v>10</v>
      </c>
      <c r="D258" s="1"/>
      <c r="E258" s="1"/>
      <c r="F258" s="1"/>
      <c r="G258" s="1"/>
      <c r="H258" s="1"/>
      <c r="I258" s="1"/>
      <c r="J258" s="1"/>
      <c r="K258" s="1"/>
      <c r="L258" s="1"/>
    </row>
    <row r="259" ht="15" customHeight="1">
      <c r="A259" s="1"/>
      <c r="B259" s="17" t="s">
        <v>949</v>
      </c>
      <c r="C259" s="23" t="s">
        <v>950</v>
      </c>
      <c r="D259" s="1"/>
      <c r="E259" s="1"/>
      <c r="F259" s="1"/>
      <c r="G259" s="1"/>
      <c r="H259" s="1"/>
      <c r="I259" s="1"/>
      <c r="J259" s="1"/>
      <c r="K259" s="1"/>
      <c r="L259" s="1"/>
    </row>
    <row r="260" ht="15" customHeight="1">
      <c r="A260" s="1"/>
      <c r="B260" s="17" t="s">
        <v>951</v>
      </c>
      <c r="C260" s="78">
        <v>46295</v>
      </c>
      <c r="D260" s="1"/>
      <c r="E260" s="1"/>
      <c r="F260" s="1"/>
      <c r="G260" s="1"/>
      <c r="H260" s="1"/>
      <c r="I260" s="1"/>
      <c r="J260" s="1"/>
      <c r="K260" s="1"/>
      <c r="L260" s="1"/>
    </row>
    <row r="261" ht="15" customHeight="1">
      <c r="A261" s="1"/>
      <c r="B261" s="17" t="s">
        <v>952</v>
      </c>
      <c r="C261" s="78">
        <v>46313</v>
      </c>
      <c r="D261" s="1"/>
      <c r="E261" s="1"/>
      <c r="F261" s="1"/>
      <c r="G261" s="1"/>
      <c r="H261" s="1"/>
      <c r="I261" s="1"/>
      <c r="J261" s="1"/>
      <c r="K261" s="1"/>
      <c r="L261" s="1"/>
    </row>
    <row r="262" ht="15" customHeight="1">
      <c r="A262" s="1"/>
      <c r="B262" s="17" t="s">
        <v>953</v>
      </c>
      <c r="C262" s="39">
        <v>19</v>
      </c>
      <c r="D262" s="1"/>
      <c r="E262" s="1"/>
      <c r="F262" s="1"/>
      <c r="G262" s="1"/>
      <c r="H262" s="1"/>
      <c r="I262" s="1"/>
      <c r="J262" s="1"/>
      <c r="K262" s="1"/>
      <c r="L262" s="1"/>
    </row>
    <row r="263" ht="15" customHeight="1">
      <c r="A263" s="1"/>
      <c r="B263" s="17" t="s">
        <v>954</v>
      </c>
      <c r="C263" s="41">
        <v>7.18</v>
      </c>
      <c r="D263" s="1"/>
      <c r="E263" s="1"/>
      <c r="F263" s="1"/>
      <c r="G263" s="1"/>
      <c r="H263" s="1"/>
      <c r="I263" s="1"/>
      <c r="J263" s="1"/>
      <c r="K263" s="1"/>
      <c r="L263" s="1"/>
    </row>
    <row r="264" ht="15" customHeight="1">
      <c r="A264" s="1"/>
      <c r="B264" s="17" t="s">
        <v>955</v>
      </c>
      <c r="C264" s="27" t="s">
        <v>956</v>
      </c>
      <c r="D264" s="1"/>
      <c r="E264" s="1"/>
      <c r="F264" s="1"/>
      <c r="G264" s="1"/>
      <c r="H264" s="1"/>
      <c r="I264" s="1"/>
      <c r="J264" s="1"/>
      <c r="K264" s="1"/>
      <c r="L264" s="1"/>
    </row>
    <row r="265" ht="15" customHeight="1">
      <c r="A265" s="1"/>
      <c r="B265" s="17" t="s">
        <v>957</v>
      </c>
      <c r="C265" s="33">
        <v>11123.84</v>
      </c>
      <c r="D265" s="1"/>
      <c r="E265" s="1"/>
      <c r="F265" s="1"/>
      <c r="G265" s="1"/>
      <c r="H265" s="1"/>
      <c r="I265" s="1"/>
      <c r="J265" s="1"/>
      <c r="K265" s="1"/>
      <c r="L265" s="1"/>
    </row>
    <row r="266" ht="15" customHeight="1">
      <c r="A266" s="1"/>
      <c r="B266" s="17" t="s">
        <v>958</v>
      </c>
      <c r="C266" s="23" t="s">
        <v>959</v>
      </c>
      <c r="D266" s="1"/>
      <c r="E266" s="1"/>
      <c r="F266" s="1"/>
      <c r="G266" s="1"/>
      <c r="H266" s="1"/>
      <c r="I266" s="1"/>
      <c r="J266" s="1"/>
      <c r="K266" s="1"/>
      <c r="L266" s="1"/>
    </row>
    <row r="267" ht="15" customHeight="1">
      <c r="A267" s="1"/>
      <c r="B267" s="17" t="s">
        <v>960</v>
      </c>
      <c r="C267" s="23" t="s">
        <v>961</v>
      </c>
      <c r="D267" s="1"/>
      <c r="E267" s="1"/>
      <c r="F267" s="1"/>
      <c r="G267" s="1"/>
      <c r="H267" s="1"/>
      <c r="I267" s="1"/>
      <c r="J267" s="1"/>
      <c r="K267" s="1"/>
      <c r="L267" s="1"/>
    </row>
    <row r="268" ht="15" customHeight="1">
      <c r="A268" s="1"/>
      <c r="B268" s="17" t="s">
        <v>962</v>
      </c>
      <c r="C268" s="23" t="s">
        <v>963</v>
      </c>
      <c r="D268" s="1"/>
      <c r="E268" s="1"/>
      <c r="F268" s="1"/>
      <c r="G268" s="1"/>
      <c r="H268" s="1"/>
      <c r="I268" s="1"/>
      <c r="J268" s="1"/>
      <c r="K268" s="1"/>
      <c r="L268" s="1"/>
    </row>
    <row r="269" ht="15" customHeight="1">
      <c r="A269" s="1"/>
      <c r="B269" s="17" t="s">
        <v>964</v>
      </c>
      <c r="C269" s="23" t="s">
        <v>959</v>
      </c>
      <c r="D269" s="1"/>
      <c r="E269" s="1"/>
      <c r="F269" s="1"/>
      <c r="G269" s="1"/>
      <c r="H269" s="1"/>
      <c r="I269" s="1"/>
      <c r="J269" s="1"/>
      <c r="K269" s="1"/>
      <c r="L269" s="1"/>
    </row>
    <row r="270" ht="15" customHeight="1">
      <c r="A270" s="1"/>
      <c r="B270" s="17" t="s">
        <v>965</v>
      </c>
      <c r="C270" s="27" t="s">
        <v>959</v>
      </c>
      <c r="D270" s="1"/>
      <c r="E270" s="1"/>
      <c r="F270" s="1"/>
      <c r="G270" s="1"/>
      <c r="H270" s="1"/>
      <c r="I270" s="1"/>
      <c r="J270" s="1"/>
      <c r="K270" s="1"/>
      <c r="L270" s="1"/>
    </row>
    <row r="271" ht="15" customHeight="1">
      <c r="A271" s="1"/>
      <c r="B271" s="17" t="s">
        <v>966</v>
      </c>
      <c r="C271" s="27" t="s">
        <v>967</v>
      </c>
      <c r="D271" s="1"/>
      <c r="E271" s="1"/>
      <c r="F271" s="1"/>
      <c r="G271" s="1"/>
      <c r="H271" s="1"/>
      <c r="I271" s="1"/>
      <c r="J271" s="1"/>
      <c r="K271" s="1"/>
      <c r="L271" s="1"/>
    </row>
    <row r="272" ht="15" customHeight="1">
      <c r="A272" s="1"/>
      <c r="B272" s="17" t="s">
        <v>968</v>
      </c>
      <c r="C272" s="23" t="s">
        <v>959</v>
      </c>
      <c r="D272" s="1"/>
      <c r="E272" s="1"/>
      <c r="F272" s="1"/>
      <c r="G272" s="1"/>
      <c r="H272" s="1"/>
      <c r="I272" s="1"/>
      <c r="J272" s="1"/>
      <c r="K272" s="1"/>
      <c r="L272" s="1"/>
    </row>
    <row r="273" ht="15" customHeight="1">
      <c r="A273" s="1"/>
      <c r="B273" s="17" t="s">
        <v>969</v>
      </c>
      <c r="C273" s="23" t="s">
        <v>970</v>
      </c>
      <c r="D273" s="1"/>
      <c r="E273" s="1"/>
      <c r="F273" s="1"/>
      <c r="G273" s="1"/>
      <c r="H273" s="1"/>
      <c r="I273" s="1"/>
      <c r="J273" s="1"/>
      <c r="K273" s="1"/>
      <c r="L273" s="1"/>
    </row>
    <row r="274" ht="15" customHeight="1">
      <c r="A274" s="1"/>
      <c r="B274" s="17" t="s">
        <v>971</v>
      </c>
      <c r="C274" s="27" t="s">
        <v>972</v>
      </c>
      <c r="D274" s="1"/>
      <c r="E274" s="1"/>
      <c r="F274" s="1"/>
      <c r="G274" s="1"/>
      <c r="H274" s="1"/>
      <c r="I274" s="1"/>
      <c r="J274" s="1"/>
      <c r="K274" s="1"/>
      <c r="L274" s="1"/>
    </row>
    <row r="275" ht="15" customHeight="1">
      <c r="A275" s="1"/>
      <c r="B275" s="17" t="s">
        <v>973</v>
      </c>
      <c r="C275" s="23" t="s">
        <v>947</v>
      </c>
      <c r="D275" s="1"/>
      <c r="E275" s="1"/>
      <c r="F275" s="1"/>
      <c r="G275" s="1"/>
      <c r="H275" s="1"/>
      <c r="I275" s="1"/>
      <c r="J275" s="1"/>
      <c r="K275" s="1"/>
      <c r="L275" s="1"/>
    </row>
    <row r="276" ht="15" customHeight="1">
      <c r="A276" s="1"/>
      <c r="B276" s="17" t="s">
        <v>974</v>
      </c>
      <c r="C276" s="23" t="s">
        <v>10</v>
      </c>
      <c r="D276" s="1"/>
      <c r="E276" s="1"/>
      <c r="F276" s="1"/>
      <c r="G276" s="1"/>
      <c r="H276" s="1"/>
      <c r="I276" s="1"/>
      <c r="J276" s="1"/>
      <c r="K276" s="1"/>
      <c r="L276" s="1"/>
    </row>
    <row r="277" ht="15" customHeight="1">
      <c r="A277" s="1"/>
      <c r="B277" s="17" t="s">
        <v>975</v>
      </c>
      <c r="C277" s="23" t="s">
        <v>976</v>
      </c>
      <c r="D277" s="1"/>
      <c r="E277" s="1"/>
      <c r="F277" s="1"/>
      <c r="G277" s="1"/>
      <c r="H277" s="1"/>
      <c r="I277" s="1"/>
      <c r="J277" s="1"/>
      <c r="K277" s="1"/>
      <c r="L277" s="1"/>
    </row>
    <row r="278" ht="15" customHeight="1">
      <c r="A278" s="1"/>
      <c r="B278" s="17" t="s">
        <v>977</v>
      </c>
      <c r="C278" s="39">
        <v>97199</v>
      </c>
      <c r="D278" s="1"/>
      <c r="E278" s="1"/>
      <c r="F278" s="1"/>
      <c r="G278" s="1"/>
      <c r="H278" s="1"/>
      <c r="I278" s="1"/>
      <c r="J278" s="1"/>
      <c r="K278" s="1"/>
      <c r="L278" s="1"/>
    </row>
    <row r="279" ht="15" customHeight="1">
      <c r="A279" s="1"/>
      <c r="B279" s="17" t="s">
        <v>978</v>
      </c>
      <c r="C279" s="23" t="s">
        <v>959</v>
      </c>
      <c r="D279" s="1"/>
      <c r="E279" s="1"/>
      <c r="F279" s="1"/>
      <c r="G279" s="1"/>
      <c r="H279" s="1"/>
      <c r="I279" s="1"/>
      <c r="J279" s="1"/>
      <c r="K279" s="1"/>
      <c r="L279" s="1"/>
    </row>
    <row r="280" ht="15" customHeight="1">
      <c r="A280" s="1"/>
      <c r="B280" s="17" t="s">
        <v>979</v>
      </c>
      <c r="C280" s="23" t="s">
        <v>980</v>
      </c>
      <c r="D280" s="1"/>
      <c r="E280" s="1"/>
      <c r="F280" s="1"/>
      <c r="G280" s="1"/>
      <c r="H280" s="1"/>
      <c r="I280" s="1"/>
      <c r="J280" s="1"/>
      <c r="K280" s="1"/>
      <c r="L280" s="1"/>
    </row>
    <row r="281" ht="15" customHeight="1">
      <c r="A281" s="1"/>
      <c r="B281" s="17" t="s">
        <v>981</v>
      </c>
      <c r="C281" s="23" t="s">
        <v>950</v>
      </c>
      <c r="D281" s="1"/>
      <c r="E281" s="1"/>
      <c r="F281" s="1"/>
      <c r="G281" s="1"/>
      <c r="H281" s="1"/>
      <c r="I281" s="1"/>
      <c r="J281" s="1"/>
      <c r="K281" s="1"/>
      <c r="L281" s="1"/>
    </row>
    <row r="282" ht="15" customHeight="1">
      <c r="A282" s="1"/>
      <c r="B282" s="17" t="s">
        <v>982</v>
      </c>
      <c r="C282" s="78">
        <v>46295</v>
      </c>
      <c r="D282" s="1"/>
      <c r="E282" s="1"/>
      <c r="F282" s="1"/>
      <c r="G282" s="1"/>
      <c r="H282" s="1"/>
      <c r="I282" s="1"/>
      <c r="J282" s="1"/>
      <c r="K282" s="1"/>
      <c r="L282" s="1"/>
    </row>
    <row r="283" ht="15" customHeight="1">
      <c r="A283" s="1"/>
      <c r="B283" s="17" t="s">
        <v>983</v>
      </c>
      <c r="C283" s="78">
        <v>46324</v>
      </c>
      <c r="D283" s="1"/>
      <c r="E283" s="1"/>
      <c r="F283" s="1"/>
      <c r="G283" s="1"/>
      <c r="H283" s="1"/>
      <c r="I283" s="1"/>
      <c r="J283" s="1"/>
      <c r="K283" s="1"/>
      <c r="L283" s="1"/>
    </row>
    <row r="284" ht="15" customHeight="1">
      <c r="A284" s="1"/>
      <c r="B284" s="17" t="s">
        <v>984</v>
      </c>
      <c r="C284" s="27" t="s">
        <v>985</v>
      </c>
      <c r="D284" s="1"/>
      <c r="E284" s="1"/>
      <c r="F284" s="1"/>
      <c r="G284" s="1"/>
      <c r="H284" s="1"/>
      <c r="I284" s="1"/>
      <c r="J284" s="1"/>
      <c r="K284" s="1"/>
      <c r="L284" s="1"/>
    </row>
    <row r="285" ht="15" customHeight="1">
      <c r="A285" s="1"/>
      <c r="B285" s="17" t="s">
        <v>986</v>
      </c>
      <c r="C285" s="39">
        <v>19</v>
      </c>
      <c r="D285" s="1"/>
      <c r="E285" s="1"/>
      <c r="F285" s="1"/>
      <c r="G285" s="1"/>
      <c r="H285" s="1"/>
      <c r="I285" s="1"/>
      <c r="J285" s="1"/>
      <c r="K285" s="1"/>
      <c r="L285" s="1"/>
    </row>
    <row r="286" ht="15" customHeight="1">
      <c r="A286" s="1"/>
      <c r="B286" s="17" t="s">
        <v>987</v>
      </c>
      <c r="C286" s="39">
        <v>20</v>
      </c>
      <c r="D286" s="1"/>
      <c r="E286" s="1"/>
      <c r="F286" s="1"/>
      <c r="G286" s="1"/>
      <c r="H286" s="1"/>
      <c r="I286" s="1"/>
      <c r="J286" s="1"/>
      <c r="K286" s="1"/>
      <c r="L286" s="1"/>
    </row>
    <row r="287" ht="15" customHeight="1">
      <c r="A287" s="1"/>
      <c r="B287" s="17" t="s">
        <v>988</v>
      </c>
      <c r="C287" s="38"/>
      <c r="D287" s="1"/>
      <c r="E287" s="1"/>
      <c r="F287" s="1"/>
      <c r="G287" s="1"/>
      <c r="H287" s="1"/>
      <c r="I287" s="1"/>
      <c r="J287" s="1"/>
      <c r="K287" s="1"/>
      <c r="L287" s="1"/>
    </row>
    <row r="288" ht="15" customHeight="1">
      <c r="A288" s="1"/>
      <c r="B288" s="17" t="s">
        <v>989</v>
      </c>
      <c r="C288" s="41">
        <v>7.18</v>
      </c>
      <c r="D288" s="1"/>
      <c r="E288" s="1"/>
      <c r="F288" s="1"/>
      <c r="G288" s="1"/>
      <c r="H288" s="1"/>
      <c r="I288" s="1"/>
      <c r="J288" s="1"/>
      <c r="K288" s="1"/>
      <c r="L288" s="1"/>
    </row>
    <row r="289" ht="15" customHeight="1">
      <c r="A289" s="1"/>
      <c r="B289" s="17" t="s">
        <v>990</v>
      </c>
      <c r="C289" s="41">
        <v>7.22</v>
      </c>
      <c r="D289" s="1"/>
      <c r="E289" s="1"/>
      <c r="F289" s="1"/>
      <c r="G289" s="1"/>
      <c r="H289" s="1"/>
      <c r="I289" s="1"/>
      <c r="J289" s="1"/>
      <c r="K289" s="1"/>
      <c r="L289" s="1"/>
    </row>
    <row r="290" ht="15" customHeight="1">
      <c r="A290" s="1"/>
      <c r="B290" s="17" t="s">
        <v>991</v>
      </c>
      <c r="C290" s="41">
        <v>7.35</v>
      </c>
      <c r="D290" s="1"/>
      <c r="E290" s="1"/>
      <c r="F290" s="1"/>
      <c r="G290" s="1"/>
      <c r="H290" s="1"/>
      <c r="I290" s="1"/>
      <c r="J290" s="1"/>
      <c r="K290" s="1"/>
      <c r="L290" s="1"/>
    </row>
    <row r="291" ht="15" customHeight="1">
      <c r="A291" s="1"/>
      <c r="B291" s="17" t="s">
        <v>992</v>
      </c>
      <c r="C291" s="41">
        <v>6.93</v>
      </c>
      <c r="D291" s="1"/>
      <c r="E291" s="1"/>
      <c r="F291" s="1"/>
      <c r="G291" s="1"/>
      <c r="H291" s="1"/>
      <c r="I291" s="1"/>
      <c r="J291" s="1"/>
      <c r="K291" s="1"/>
      <c r="L291" s="1"/>
    </row>
    <row r="292" ht="15" customHeight="1">
      <c r="A292" s="1"/>
      <c r="B292" s="17" t="s">
        <v>993</v>
      </c>
      <c r="C292" s="41">
        <v>0.11</v>
      </c>
      <c r="D292" s="1"/>
      <c r="E292" s="1"/>
      <c r="F292" s="1"/>
      <c r="G292" s="1"/>
      <c r="H292" s="1"/>
      <c r="I292" s="1"/>
      <c r="J292" s="1"/>
      <c r="K292" s="1"/>
      <c r="L292" s="1"/>
    </row>
    <row r="293" ht="15" customHeight="1">
      <c r="A293" s="1"/>
      <c r="B293" s="17" t="s">
        <v>994</v>
      </c>
      <c r="C293" s="39">
        <v>19</v>
      </c>
      <c r="D293" s="1"/>
      <c r="E293" s="1"/>
      <c r="F293" s="1"/>
      <c r="G293" s="1"/>
      <c r="H293" s="1"/>
      <c r="I293" s="1"/>
      <c r="J293" s="1"/>
      <c r="K293" s="1"/>
      <c r="L293" s="1"/>
    </row>
    <row r="294" ht="15" customHeight="1">
      <c r="A294" s="1"/>
      <c r="B294" s="17" t="s">
        <v>995</v>
      </c>
      <c r="C294" s="27"/>
      <c r="D294" s="1"/>
      <c r="E294" s="1"/>
      <c r="F294" s="1"/>
      <c r="G294" s="1"/>
      <c r="H294" s="1"/>
      <c r="I294" s="1"/>
      <c r="J294" s="1"/>
      <c r="K294" s="1"/>
      <c r="L294" s="1"/>
    </row>
    <row r="295" ht="15" customHeight="1">
      <c r="A295" s="1"/>
      <c r="B295" s="17" t="s">
        <v>996</v>
      </c>
      <c r="C295" s="27"/>
      <c r="D295" s="1"/>
      <c r="E295" s="1"/>
      <c r="F295" s="1"/>
      <c r="G295" s="1"/>
      <c r="H295" s="1"/>
      <c r="I295" s="1"/>
      <c r="J295" s="1"/>
      <c r="K295" s="1"/>
      <c r="L295" s="1"/>
    </row>
    <row r="296" ht="15" customHeight="1">
      <c r="A296" s="1"/>
      <c r="B296" s="17" t="s">
        <v>997</v>
      </c>
      <c r="C296" s="27"/>
      <c r="D296" s="1"/>
      <c r="E296" s="1"/>
      <c r="F296" s="1"/>
      <c r="G296" s="1"/>
      <c r="H296" s="1"/>
      <c r="I296" s="1"/>
      <c r="J296" s="1"/>
      <c r="K296" s="1"/>
      <c r="L296" s="1"/>
    </row>
    <row r="297" ht="15" customHeight="1">
      <c r="A297" s="1"/>
      <c r="B297" s="17" t="s">
        <v>998</v>
      </c>
      <c r="C297" s="41">
        <v>7.2</v>
      </c>
      <c r="D297" s="1"/>
      <c r="E297" s="1"/>
      <c r="F297" s="1"/>
      <c r="G297" s="1"/>
      <c r="H297" s="1"/>
      <c r="I297" s="1"/>
      <c r="J297" s="1"/>
      <c r="K297" s="1"/>
      <c r="L297" s="1"/>
    </row>
    <row r="298" ht="15" customHeight="1">
      <c r="A298" s="1"/>
      <c r="B298" s="17" t="s">
        <v>999</v>
      </c>
      <c r="C298" s="41">
        <v>7.21</v>
      </c>
      <c r="D298" s="1"/>
      <c r="E298" s="1"/>
      <c r="F298" s="1"/>
      <c r="G298" s="1"/>
      <c r="H298" s="1"/>
      <c r="I298" s="1"/>
      <c r="J298" s="1"/>
      <c r="K298" s="1"/>
      <c r="L298" s="1"/>
    </row>
    <row r="299" ht="15" customHeight="1">
      <c r="A299" s="1"/>
      <c r="B299" s="17" t="s">
        <v>1000</v>
      </c>
      <c r="C299" s="41">
        <v>7.35</v>
      </c>
      <c r="D299" s="1"/>
      <c r="E299" s="1"/>
      <c r="F299" s="1"/>
      <c r="G299" s="1"/>
      <c r="H299" s="1"/>
      <c r="I299" s="1"/>
      <c r="J299" s="1"/>
      <c r="K299" s="1"/>
      <c r="L299" s="1"/>
    </row>
    <row r="300" ht="15" customHeight="1">
      <c r="A300" s="1"/>
      <c r="B300" s="17" t="s">
        <v>1001</v>
      </c>
      <c r="C300" s="41">
        <v>6.94</v>
      </c>
      <c r="D300" s="1"/>
      <c r="E300" s="1"/>
      <c r="F300" s="1"/>
      <c r="G300" s="1"/>
      <c r="H300" s="1"/>
      <c r="I300" s="1"/>
      <c r="J300" s="1"/>
      <c r="K300" s="1"/>
      <c r="L300" s="1"/>
    </row>
    <row r="301" ht="15" customHeight="1">
      <c r="A301" s="1"/>
      <c r="B301" s="17" t="s">
        <v>1002</v>
      </c>
      <c r="C301" s="41">
        <v>0.1</v>
      </c>
      <c r="D301" s="1"/>
      <c r="E301" s="1"/>
      <c r="F301" s="1"/>
      <c r="G301" s="1"/>
      <c r="H301" s="1"/>
      <c r="I301" s="1"/>
      <c r="J301" s="1"/>
      <c r="K301" s="1"/>
      <c r="L301" s="1"/>
    </row>
    <row r="302" ht="15" customHeight="1">
      <c r="A302" s="1"/>
      <c r="B302" s="17" t="s">
        <v>1003</v>
      </c>
      <c r="C302" s="39">
        <v>16</v>
      </c>
      <c r="D302" s="1"/>
      <c r="E302" s="1"/>
      <c r="F302" s="1"/>
      <c r="G302" s="1"/>
      <c r="H302" s="1"/>
      <c r="I302" s="1"/>
      <c r="J302" s="1"/>
      <c r="K302" s="1"/>
      <c r="L302" s="1"/>
    </row>
    <row r="303" ht="15" customHeight="1">
      <c r="A303" s="1"/>
      <c r="B303" s="17" t="s">
        <v>1004</v>
      </c>
      <c r="C303" s="27"/>
      <c r="D303" s="1"/>
      <c r="E303" s="1"/>
      <c r="F303" s="1"/>
      <c r="G303" s="1"/>
      <c r="H303" s="1"/>
      <c r="I303" s="1"/>
      <c r="J303" s="1"/>
      <c r="K303" s="1"/>
      <c r="L303" s="1"/>
    </row>
    <row r="304" ht="15" customHeight="1">
      <c r="A304" s="1"/>
      <c r="B304" s="17" t="s">
        <v>1005</v>
      </c>
      <c r="C304" s="27"/>
      <c r="D304" s="1"/>
      <c r="E304" s="1"/>
      <c r="F304" s="1"/>
      <c r="G304" s="1"/>
      <c r="H304" s="1"/>
      <c r="I304" s="1"/>
      <c r="J304" s="1"/>
      <c r="K304" s="1"/>
      <c r="L304" s="1"/>
    </row>
    <row r="305" ht="15" customHeight="1">
      <c r="A305" s="1"/>
      <c r="B305" s="17" t="s">
        <v>1006</v>
      </c>
      <c r="C305" s="27"/>
      <c r="D305" s="1"/>
      <c r="E305" s="1"/>
      <c r="F305" s="1"/>
      <c r="G305" s="1"/>
      <c r="H305" s="1"/>
      <c r="I305" s="1"/>
      <c r="J305" s="1"/>
      <c r="K305" s="1"/>
      <c r="L305" s="1"/>
    </row>
    <row r="306" ht="15" customHeight="1">
      <c r="A306" s="1"/>
      <c r="B306" s="17" t="s">
        <v>1007</v>
      </c>
      <c r="C306" s="33">
        <v>11123.84</v>
      </c>
      <c r="D306" s="1"/>
      <c r="E306" s="1"/>
      <c r="F306" s="1"/>
      <c r="G306" s="1"/>
      <c r="H306" s="1"/>
      <c r="I306" s="1"/>
      <c r="J306" s="1"/>
      <c r="K306" s="1"/>
      <c r="L306" s="1"/>
    </row>
    <row r="307" ht="15" customHeight="1">
      <c r="A307" s="1"/>
      <c r="B307" s="17" t="s">
        <v>1008</v>
      </c>
      <c r="C307" s="33">
        <v>11165.33</v>
      </c>
      <c r="D307" s="1"/>
      <c r="E307" s="1"/>
      <c r="F307" s="1"/>
      <c r="G307" s="1"/>
      <c r="H307" s="1"/>
      <c r="I307" s="1"/>
      <c r="J307" s="1"/>
      <c r="K307" s="1"/>
      <c r="L307" s="1"/>
    </row>
    <row r="308" ht="15" customHeight="1">
      <c r="A308" s="1"/>
      <c r="B308" s="17" t="s">
        <v>1009</v>
      </c>
      <c r="C308" s="33">
        <v>11379</v>
      </c>
      <c r="D308" s="1"/>
      <c r="E308" s="1"/>
      <c r="F308" s="1"/>
      <c r="G308" s="1"/>
      <c r="H308" s="1"/>
      <c r="I308" s="1"/>
      <c r="J308" s="1"/>
      <c r="K308" s="1"/>
      <c r="L308" s="1"/>
    </row>
    <row r="309" ht="15" customHeight="1">
      <c r="A309" s="1"/>
      <c r="B309" s="17" t="s">
        <v>1010</v>
      </c>
      <c r="C309" s="33">
        <v>10883</v>
      </c>
      <c r="D309" s="1"/>
      <c r="E309" s="1"/>
      <c r="F309" s="1"/>
      <c r="G309" s="1"/>
      <c r="H309" s="1"/>
      <c r="I309" s="1"/>
      <c r="J309" s="1"/>
      <c r="K309" s="1"/>
      <c r="L309" s="1"/>
    </row>
    <row r="310" ht="15" customHeight="1">
      <c r="A310" s="1"/>
      <c r="B310" s="17" t="s">
        <v>1011</v>
      </c>
      <c r="C310" s="33">
        <v>118.39</v>
      </c>
      <c r="D310" s="1"/>
      <c r="E310" s="1"/>
      <c r="F310" s="1"/>
      <c r="G310" s="1"/>
      <c r="H310" s="1"/>
      <c r="I310" s="1"/>
      <c r="J310" s="1"/>
      <c r="K310" s="1"/>
      <c r="L310" s="1"/>
    </row>
    <row r="311" ht="15" customHeight="1">
      <c r="A311" s="1"/>
      <c r="B311" s="17" t="s">
        <v>1012</v>
      </c>
      <c r="C311" s="39">
        <v>20</v>
      </c>
      <c r="D311" s="1"/>
      <c r="E311" s="1"/>
      <c r="F311" s="1"/>
      <c r="G311" s="1"/>
      <c r="H311" s="1"/>
      <c r="I311" s="1"/>
      <c r="J311" s="1"/>
      <c r="K311" s="1"/>
      <c r="L311" s="1"/>
    </row>
    <row r="312" ht="15" customHeight="1">
      <c r="A312" s="1"/>
      <c r="B312" s="17" t="s">
        <v>1013</v>
      </c>
      <c r="C312" s="23"/>
      <c r="D312" s="1"/>
      <c r="E312" s="1"/>
      <c r="F312" s="1"/>
      <c r="G312" s="1"/>
      <c r="H312" s="1"/>
      <c r="I312" s="1"/>
      <c r="J312" s="1"/>
      <c r="K312" s="1"/>
      <c r="L312" s="1"/>
    </row>
    <row r="313" ht="15" customHeight="1">
      <c r="A313" s="1"/>
      <c r="B313" s="17" t="s">
        <v>1014</v>
      </c>
      <c r="C313" s="33">
        <v>10839.92</v>
      </c>
      <c r="D313" s="1"/>
      <c r="E313" s="1"/>
      <c r="F313" s="1"/>
      <c r="G313" s="1"/>
      <c r="H313" s="1"/>
      <c r="I313" s="1"/>
      <c r="J313" s="1"/>
      <c r="K313" s="1"/>
      <c r="L313" s="1"/>
    </row>
    <row r="314" ht="15" customHeight="1">
      <c r="A314" s="1"/>
      <c r="B314" s="17" t="s">
        <v>1015</v>
      </c>
      <c r="C314" s="33">
        <v>11361.07</v>
      </c>
      <c r="D314" s="1"/>
      <c r="E314" s="1"/>
      <c r="F314" s="1"/>
      <c r="G314" s="1"/>
      <c r="H314" s="1"/>
      <c r="I314" s="1"/>
      <c r="J314" s="1"/>
      <c r="K314" s="1"/>
      <c r="L314" s="1"/>
    </row>
    <row r="315" ht="15" customHeight="1">
      <c r="A315" s="1"/>
      <c r="B315" s="17" t="s">
        <v>1016</v>
      </c>
      <c r="C315" s="33">
        <v>1598.1</v>
      </c>
      <c r="D315" s="1"/>
      <c r="E315" s="1"/>
      <c r="F315" s="1"/>
      <c r="G315" s="1"/>
      <c r="H315" s="1"/>
      <c r="I315" s="1"/>
      <c r="J315" s="1" t="s">
        <v>1017</v>
      </c>
      <c r="K315" s="1"/>
      <c r="L315" s="1"/>
    </row>
    <row r="316" ht="15" customHeight="1">
      <c r="A316" s="1"/>
      <c r="B316" s="17" t="s">
        <v>1018</v>
      </c>
      <c r="C316" s="33">
        <v>1202.95</v>
      </c>
      <c r="D316" s="1"/>
      <c r="E316" s="1"/>
      <c r="F316" s="1"/>
      <c r="G316" s="1"/>
      <c r="H316" s="1"/>
      <c r="I316" s="1"/>
      <c r="J316" s="1"/>
      <c r="K316" s="1"/>
      <c r="L316" s="1"/>
    </row>
    <row r="317" ht="15" customHeight="1">
      <c r="A317" s="1"/>
      <c r="B317" s="17" t="s">
        <v>1019</v>
      </c>
      <c r="C317" s="33">
        <v>1248.25</v>
      </c>
      <c r="D317" s="1"/>
      <c r="E317" s="1"/>
      <c r="F317" s="1"/>
      <c r="G317" s="1"/>
      <c r="H317" s="1"/>
      <c r="I317" s="1"/>
      <c r="J317" s="1"/>
      <c r="K317" s="1"/>
      <c r="L317" s="1"/>
    </row>
    <row r="318" ht="15" customHeight="1">
      <c r="A318" s="1"/>
      <c r="B318" s="17" t="s">
        <v>1020</v>
      </c>
      <c r="C318" s="33">
        <v>1246.56</v>
      </c>
      <c r="D318" s="1"/>
      <c r="E318" s="1"/>
      <c r="F318" s="1"/>
      <c r="G318" s="1"/>
      <c r="H318" s="1"/>
      <c r="I318" s="1"/>
      <c r="J318" s="1"/>
      <c r="K318" s="1"/>
      <c r="L318" s="1"/>
    </row>
    <row r="319" ht="15" customHeight="1">
      <c r="A319" s="1"/>
      <c r="B319" s="17" t="s">
        <v>1021</v>
      </c>
      <c r="C319" s="33">
        <v>1023.27</v>
      </c>
      <c r="D319" s="1"/>
      <c r="E319" s="1"/>
      <c r="F319" s="1"/>
      <c r="G319" s="1"/>
      <c r="H319" s="1"/>
      <c r="I319" s="1"/>
      <c r="J319" s="1"/>
      <c r="K319" s="1"/>
      <c r="L319" s="1"/>
    </row>
    <row r="320" ht="15" customHeight="1">
      <c r="A320" s="1"/>
      <c r="B320" s="17" t="s">
        <v>1022</v>
      </c>
      <c r="C320" s="33">
        <v>1023.14</v>
      </c>
      <c r="D320" s="1"/>
      <c r="E320" s="1"/>
      <c r="F320" s="1"/>
      <c r="G320" s="1"/>
      <c r="H320" s="1"/>
      <c r="I320" s="1"/>
      <c r="J320" s="1"/>
      <c r="K320" s="1"/>
      <c r="L320" s="1"/>
    </row>
    <row r="321" ht="15" customHeight="1">
      <c r="A321" s="1"/>
      <c r="B321" s="17" t="s">
        <v>1023</v>
      </c>
      <c r="C321" s="23"/>
      <c r="D321" s="1"/>
      <c r="E321" s="1"/>
      <c r="F321" s="1"/>
      <c r="G321" s="1"/>
      <c r="H321" s="1"/>
      <c r="I321" s="1"/>
      <c r="J321" s="1"/>
      <c r="K321" s="1"/>
      <c r="L321" s="1"/>
    </row>
    <row r="322" ht="15" customHeight="1">
      <c r="A322" s="1"/>
      <c r="B322" s="17" t="s">
        <v>1024</v>
      </c>
      <c r="C322" s="23"/>
      <c r="D322" s="1"/>
      <c r="E322" s="1"/>
      <c r="F322" s="1"/>
      <c r="G322" s="1"/>
      <c r="H322" s="1"/>
      <c r="I322" s="1"/>
      <c r="J322" s="1"/>
      <c r="K322" s="1"/>
      <c r="L322" s="1"/>
    </row>
    <row r="323" ht="15" customHeight="1">
      <c r="A323" s="1"/>
      <c r="B323" s="17" t="s">
        <v>1025</v>
      </c>
      <c r="C323" s="33">
        <v>395</v>
      </c>
      <c r="D323" s="1"/>
      <c r="E323" s="1"/>
      <c r="F323" s="1"/>
      <c r="G323" s="1"/>
      <c r="H323" s="1"/>
      <c r="I323" s="1"/>
      <c r="J323" s="1"/>
      <c r="K323" s="1"/>
      <c r="L323" s="1"/>
    </row>
    <row r="324" ht="15" customHeight="1">
      <c r="A324" s="1"/>
      <c r="B324" s="17" t="s">
        <v>1026</v>
      </c>
      <c r="C324" s="23"/>
      <c r="D324" s="1"/>
      <c r="E324" s="1"/>
      <c r="F324" s="1"/>
      <c r="G324" s="1"/>
      <c r="H324" s="1"/>
      <c r="I324" s="1"/>
      <c r="J324" s="1"/>
      <c r="K324" s="1"/>
      <c r="L324" s="1"/>
    </row>
    <row r="325" ht="15" customHeight="1">
      <c r="A325" s="1"/>
      <c r="B325" s="17" t="s">
        <v>1027</v>
      </c>
      <c r="C325" s="23"/>
      <c r="D325" s="1"/>
      <c r="E325" s="1"/>
      <c r="F325" s="1"/>
      <c r="G325" s="1"/>
      <c r="H325" s="1"/>
      <c r="I325" s="1"/>
      <c r="J325" s="1"/>
      <c r="K325" s="1"/>
      <c r="L325" s="1"/>
    </row>
    <row r="326" ht="15" customHeight="1">
      <c r="A326" s="1"/>
      <c r="B326" s="17" t="s">
        <v>1028</v>
      </c>
      <c r="C326" s="23"/>
      <c r="D326" s="1"/>
      <c r="E326" s="1"/>
      <c r="F326" s="1"/>
      <c r="G326" s="1"/>
      <c r="H326" s="1"/>
      <c r="I326" s="1"/>
      <c r="J326" s="1"/>
      <c r="K326" s="1"/>
      <c r="L326" s="1"/>
    </row>
    <row r="327" ht="15" customHeight="1">
      <c r="A327" s="1"/>
      <c r="B327" s="17" t="s">
        <v>1029</v>
      </c>
      <c r="C327" s="33">
        <v>-150.64</v>
      </c>
      <c r="D327" s="1"/>
      <c r="E327" s="1"/>
      <c r="F327" s="1"/>
      <c r="G327" s="1"/>
      <c r="H327" s="1"/>
      <c r="I327" s="1"/>
      <c r="J327" s="1"/>
      <c r="K327" s="1"/>
      <c r="L327" s="1"/>
    </row>
    <row r="328" ht="15" customHeight="1">
      <c r="A328" s="1"/>
      <c r="B328" s="17" t="s">
        <v>1030</v>
      </c>
      <c r="C328" s="33">
        <v>10854.36</v>
      </c>
      <c r="D328" s="1"/>
      <c r="E328" s="1"/>
      <c r="F328" s="1"/>
      <c r="G328" s="1"/>
      <c r="H328" s="1"/>
      <c r="I328" s="1"/>
      <c r="J328" s="1"/>
      <c r="K328" s="1"/>
      <c r="L328" s="1"/>
    </row>
    <row r="329" ht="15" customHeight="1">
      <c r="A329" s="1"/>
      <c r="B329" s="17" t="s">
        <v>1031</v>
      </c>
      <c r="C329" s="23"/>
      <c r="D329" s="1"/>
      <c r="E329" s="1"/>
      <c r="F329" s="1"/>
      <c r="G329" s="1"/>
      <c r="H329" s="1"/>
      <c r="I329" s="1"/>
      <c r="J329" s="1"/>
      <c r="K329" s="1"/>
      <c r="L329" s="1"/>
    </row>
    <row r="330" ht="15" customHeight="1">
      <c r="A330" s="1"/>
      <c r="B330" s="17" t="s">
        <v>1032</v>
      </c>
      <c r="C330" s="23"/>
      <c r="D330" s="1"/>
      <c r="E330" s="1"/>
      <c r="F330" s="1"/>
      <c r="G330" s="1"/>
      <c r="H330" s="1"/>
      <c r="I330" s="1"/>
      <c r="J330" s="1"/>
      <c r="K330" s="1"/>
      <c r="L330" s="1"/>
    </row>
    <row r="331" ht="15" customHeight="1">
      <c r="A331" s="1"/>
      <c r="B331" s="17" t="s">
        <v>1033</v>
      </c>
      <c r="C331" s="41">
        <v>619.08</v>
      </c>
      <c r="D331" s="1"/>
      <c r="E331" s="1"/>
      <c r="F331" s="1"/>
      <c r="G331" s="1"/>
      <c r="H331" s="1"/>
      <c r="I331" s="1"/>
      <c r="J331" s="1"/>
      <c r="K331" s="1"/>
      <c r="L331" s="1"/>
    </row>
    <row r="332" ht="15" customHeight="1">
      <c r="A332" s="1"/>
      <c r="B332" s="17" t="s">
        <v>1034</v>
      </c>
      <c r="C332" s="41">
        <v>602.5</v>
      </c>
      <c r="D332" s="1"/>
      <c r="E332" s="1"/>
      <c r="F332" s="1"/>
      <c r="G332" s="1"/>
      <c r="H332" s="1"/>
      <c r="I332" s="1"/>
      <c r="J332" s="1"/>
      <c r="K332" s="1"/>
      <c r="L332" s="1"/>
    </row>
    <row r="333" ht="15" customHeight="1">
      <c r="A333" s="1"/>
      <c r="B333" s="17" t="s">
        <v>1035</v>
      </c>
      <c r="C333" s="41">
        <v>815</v>
      </c>
      <c r="D333" s="1"/>
      <c r="E333" s="1"/>
      <c r="F333" s="1"/>
      <c r="G333" s="1"/>
      <c r="H333" s="1"/>
      <c r="I333" s="1"/>
      <c r="J333" s="1"/>
      <c r="K333" s="1"/>
      <c r="L333" s="1"/>
    </row>
    <row r="334" ht="15" customHeight="1">
      <c r="A334" s="1"/>
      <c r="B334" s="17" t="s">
        <v>1036</v>
      </c>
      <c r="C334" s="41">
        <v>419</v>
      </c>
      <c r="D334" s="1"/>
      <c r="E334" s="1"/>
      <c r="F334" s="1"/>
      <c r="G334" s="1"/>
      <c r="H334" s="1"/>
      <c r="I334" s="1"/>
      <c r="J334" s="1"/>
      <c r="K334" s="1"/>
      <c r="L334" s="1"/>
    </row>
    <row r="335" ht="15" customHeight="1">
      <c r="A335" s="1"/>
      <c r="B335" s="17" t="s">
        <v>1037</v>
      </c>
      <c r="C335" s="41">
        <v>89.57</v>
      </c>
      <c r="D335" s="1"/>
      <c r="E335" s="1"/>
      <c r="F335" s="1"/>
      <c r="G335" s="1"/>
      <c r="H335" s="1"/>
      <c r="I335" s="1"/>
      <c r="J335" s="1"/>
      <c r="K335" s="1"/>
      <c r="L335" s="1"/>
    </row>
    <row r="336" ht="15" customHeight="1">
      <c r="A336" s="1"/>
      <c r="B336" s="17" t="s">
        <v>1038</v>
      </c>
      <c r="C336" s="39">
        <v>24</v>
      </c>
      <c r="D336" s="1"/>
      <c r="E336" s="1"/>
      <c r="F336" s="1"/>
      <c r="G336" s="1"/>
      <c r="H336" s="1"/>
      <c r="I336" s="1"/>
      <c r="J336" s="1"/>
      <c r="K336" s="1"/>
      <c r="L336" s="1"/>
    </row>
    <row r="337" ht="15" customHeight="1">
      <c r="A337" s="1"/>
      <c r="B337" s="17" t="s">
        <v>1039</v>
      </c>
      <c r="C337" s="23" t="s">
        <v>1040</v>
      </c>
      <c r="D337" s="1"/>
      <c r="E337" s="1"/>
      <c r="F337" s="1"/>
      <c r="G337" s="1"/>
      <c r="H337" s="1"/>
      <c r="I337" s="1"/>
      <c r="J337" s="1"/>
      <c r="K337" s="1"/>
      <c r="L337" s="1"/>
    </row>
    <row r="338" ht="15" customHeight="1">
      <c r="A338" s="1"/>
      <c r="B338" s="17" t="s">
        <v>1041</v>
      </c>
      <c r="C338" s="33">
        <v>2.08</v>
      </c>
      <c r="D338" s="1"/>
      <c r="E338" s="1"/>
      <c r="F338" s="1"/>
      <c r="G338" s="1"/>
      <c r="H338" s="1"/>
      <c r="I338" s="1"/>
      <c r="J338" s="1"/>
      <c r="K338" s="1"/>
      <c r="L338" s="1"/>
    </row>
    <row r="339" ht="15" customHeight="1">
      <c r="A339" s="1"/>
      <c r="B339" s="17" t="s">
        <v>1042</v>
      </c>
      <c r="C339" s="41">
        <v>519.86</v>
      </c>
      <c r="D339" s="1"/>
      <c r="E339" s="1"/>
      <c r="F339" s="1"/>
      <c r="G339" s="1"/>
      <c r="H339" s="1"/>
      <c r="I339" s="1"/>
      <c r="J339" s="1"/>
      <c r="K339" s="1"/>
      <c r="L339" s="1"/>
    </row>
    <row r="340" ht="15" customHeight="1">
      <c r="A340" s="1"/>
      <c r="B340" s="17" t="s">
        <v>1043</v>
      </c>
      <c r="C340" s="23" t="s">
        <v>1044</v>
      </c>
      <c r="D340" s="1"/>
      <c r="E340" s="1"/>
      <c r="F340" s="1"/>
      <c r="G340" s="1"/>
      <c r="H340" s="1"/>
      <c r="I340" s="1"/>
      <c r="J340" s="1"/>
      <c r="K340" s="1"/>
      <c r="L340" s="1"/>
    </row>
    <row r="341" ht="15" customHeight="1">
      <c r="A341" s="1"/>
      <c r="B341" s="17" t="s">
        <v>1045</v>
      </c>
      <c r="C341" s="78">
        <v>46313</v>
      </c>
      <c r="D341" s="1"/>
      <c r="E341" s="1"/>
      <c r="F341" s="1"/>
      <c r="G341" s="1"/>
      <c r="H341" s="1"/>
      <c r="I341" s="1"/>
      <c r="J341" s="1"/>
      <c r="K341" s="1"/>
      <c r="L341" s="1"/>
    </row>
    <row r="342" ht="15" customHeight="1">
      <c r="A342" s="1"/>
      <c r="B342" s="17" t="s">
        <v>1046</v>
      </c>
      <c r="C342" s="23" t="s">
        <v>1047</v>
      </c>
      <c r="D342" s="1"/>
      <c r="E342" s="1"/>
      <c r="F342" s="1"/>
      <c r="G342" s="1"/>
      <c r="H342" s="1"/>
      <c r="I342" s="1"/>
      <c r="J342" s="1"/>
      <c r="K342" s="1"/>
      <c r="L342" s="1"/>
    </row>
    <row r="343" ht="1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2026-10-19T18:29:01Z</dcterms:created>
</cp:coreProperties>
</file>