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Income Statement" sheetId="3"/>
    <sheet r:id="rId4" name="Balance Sheet" sheetId="4"/>
    <sheet r:id="rId5" name="Cash Flow Statement" sheetId="5"/>
    <sheet r:id="rId6" name="Geo" sheetId="6"/>
    <sheet r:id="rId7" name="Share Count" sheetId="7"/>
    <sheet r:id="rId8" name="Guidance" sheetId="8"/>
    <sheet r:id="rId9" name="Sources" sheetId="9"/>
    <sheet r:id="rId10" name="Inputs" sheetId="10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4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Q4 results | crossed the 325M paid memberships milestone</t>
        </r>
      </text>
    </comment>
    <comment ref="H4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2025 highlights | Ad revenue rose more than 2.5x to over $1.5B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Reuters 26-Mar-2026 | Netflix raises subscription prices across all plans in US | $8.99 a month, compared with $7.99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Reuters 26-Mar-2026 | Netflix raises subscription prices across all plans in US | standard plan rose $2 per month to $19.99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Reuters 26-Mar-2026 | Netflix raises subscription prices across all plans in US | premium plan now costs $26.99 a month, up from $24.99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21,621,967</t>
        </r>
      </text>
    </comment>
    <comment ref="D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11,510,307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12,050,762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12,249,757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12,559,938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Q3 Results and Forecast | approximately $619 million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1,401,635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786,295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1,113,376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842,217</t>
        </r>
      </text>
    </comment>
    <comment ref="G3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823,838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1,647,506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853,584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890,300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959,696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1,007,675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862,675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457,931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567,802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602,609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498,850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366,821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175,294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234,395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262,077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175,685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90,529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36,457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45,473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2,852,166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51,661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829,637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562,494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349,220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1,264,295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667,172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6,015,764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2,546,916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2,418,521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5,282,791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3,401,414</t>
        </r>
      </text>
    </comment>
    <comment ref="H6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Twelve Months Ended December 31, 2025 | 10,981,201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$1.38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$0.59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$0.56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$1.23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$0.80</t>
        </r>
      </text>
    </comment>
    <comment ref="H8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Twelve Months Ended December 31, 2025 | $2.53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Q1 Results and Forecast | the $2.8B termination fee related to the Warner Bros. transaction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Q4 Results and Forecast | ~$60M of costs (booked in interest expense)</t>
        </r>
      </text>
    </comment>
    <comment ref="D116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3,699,521</t>
        </r>
      </text>
    </comment>
    <comment ref="E11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4,161,501</t>
        </r>
      </text>
    </comment>
    <comment ref="F116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3,823,112</t>
        </r>
      </text>
    </comment>
    <comment ref="G11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3,832,074</t>
        </r>
      </text>
    </comment>
    <comment ref="H11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15,301,517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5,119,884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5,767,364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5,263,147</t>
        </r>
      </text>
    </comment>
    <comment ref="G11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5,325,311</t>
        </r>
      </text>
    </comment>
    <comment ref="H11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21,038,464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642,926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976,204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688,370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713,265</t>
        </r>
      </text>
    </comment>
    <comment ref="H11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2,917,554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735,063</t>
        </r>
      </text>
    </comment>
    <comment ref="E12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776,505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822,823</t>
        </r>
      </text>
    </comment>
    <comment ref="G12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824,683</t>
        </r>
      </text>
    </comment>
    <comment ref="H12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2,925,295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417,353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453,674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421,462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441,213</t>
        </r>
      </text>
    </comment>
    <comment ref="H12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1,702,039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2,909,477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2,272,766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3,346,999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3,774,694</t>
        </r>
      </text>
    </comment>
    <comment ref="H12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10,417,614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184,830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192,603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184,172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182,649</t>
        </r>
      </text>
    </comment>
    <comment ref="H1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718,733</t>
        </r>
      </text>
    </comment>
    <comment ref="D124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21,693</t>
        </r>
      </text>
    </comment>
    <comment ref="E12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54,105</t>
        </r>
      </text>
    </comment>
    <comment ref="F124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50,899</t>
        </r>
      </text>
    </comment>
    <comment ref="G12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39,630</t>
        </r>
      </text>
    </comment>
    <comment ref="H12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266,776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339,445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265,661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323,375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506,262</t>
        </r>
      </text>
    </comment>
    <comment ref="H12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1,254,026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2,363,509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1,868,607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2,890,351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3,125,413</t>
        </r>
      </text>
    </comment>
    <comment ref="H12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8,711,631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437,898 (pre-split, ×10)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4,377,861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4,369,623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4,348,825</t>
        </r>
      </text>
    </comment>
    <comment ref="H12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4,392,608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$5.40</t>
        </r>
      </text>
    </comment>
    <comment ref="H12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$1.98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428,239 (pre-split, ×10)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4,277,159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Three Months Ended March 31, 2025 | 4,272,695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2025 | 4,252,112</t>
        </r>
      </text>
    </comment>
    <comment ref="H12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4,295,191</t>
        </r>
      </text>
    </comment>
    <comment ref="D13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Three Months Ended September 30, 2024 | $5.52</t>
        </r>
      </text>
    </comment>
    <comment ref="E13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2024 | $0.44</t>
        </r>
      </text>
    </comment>
    <comment ref="H13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2024 | $2.03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Six Months Ended June 30, 2025 | 10,588,458</t>
        </r>
      </text>
    </comment>
    <comment ref="D1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September 30, 2025 | 6,164,250</t>
        </r>
      </text>
    </comment>
    <comment ref="E1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Statements of Operations, Three Months Ended December 31, 2025 | 6,522,621</t>
        </r>
      </text>
    </comment>
    <comment ref="F1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March 31, 2026 | 5,888,238</t>
        </r>
      </text>
    </comment>
    <comment ref="G1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Statements of Operations, Three Months Ended June 30, 2026 | 6,036,965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ex991_q225.htm (Netflix Q2-25 shareholder letter, 8-K 17-Jul-2025) | Q4'24 (quarterly summary table) | $4.27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ex991_q225.htm (Netflix Q2-25 shareholder letter, 8-K 17-Jul-2025) | Three Months Ended March 31, 2025 | $6.61</t>
        </r>
      </text>
    </comment>
    <comment ref="G128" authorId="0">
      <text>
        <r>
          <rPr>
            <sz val="9"/>
            <color rgb="FF000000"/>
            <rFont val="Arial"/>
            <family val="2"/>
          </rPr>
          <t>ex991_q225.htm (Netflix Q2-25 shareholder letter, 8-K 17-Jul-2025) | Three Months Ended June 30, 2025 | $7.19</t>
        </r>
      </text>
    </comment>
    <comment ref="F130" authorId="0">
      <text>
        <r>
          <rPr>
            <sz val="9"/>
            <color rgb="FF000000"/>
            <rFont val="Arial"/>
            <family val="2"/>
          </rPr>
          <t>ex991_q225.htm (Netflix Q2-25 shareholder letter, 8-K 17-Jul-2025) | Three Months Ended March 31, 2025 | $6.76</t>
        </r>
      </text>
    </comment>
    <comment ref="G130" authorId="0">
      <text>
        <r>
          <rPr>
            <sz val="9"/>
            <color rgb="FF000000"/>
            <rFont val="Arial"/>
            <family val="2"/>
          </rPr>
          <t>ex991_q225.htm (Netflix Q2-25 shareholder letter, 8-K 17-Jul-2025) | Three Months Ended June 30, 2025 | $7.35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9,287,287</t>
        </r>
      </text>
    </comment>
    <comment ref="E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9,033,681</t>
        </r>
      </text>
    </comment>
    <comment ref="F10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12,259,772</t>
        </r>
      </text>
    </comment>
    <comment ref="G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9,099,232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37,105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28,678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28,678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28,678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3,638,543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3,957,832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4,782,532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4,725,393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32,639,879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32,778,392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33,376,295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33,837,573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1,837,889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2,004,350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2,147,829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2,398,848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7,494,132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7,794,060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8,420,808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8,360,717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4,102,640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4,084,854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4,052,278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3,866,522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793,233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900,612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894,681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814,551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3,111,311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3,220,869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4,441,986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3,172,611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1,724,675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1,775,730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1,743,448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1,797,456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0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998,865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999,185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2,483,758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1,591,973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1,579,476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1,626,498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1,625,600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14,463,020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13,463,971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13,361,331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11,825,548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3,193,948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2,957,128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2,770,108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2,712,343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7,080,325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7,286,410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7,478,495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7,670,503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20,270,631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22,372,658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23,681,974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28,387,657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719,256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580,382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235,031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97,117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39,863,597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42,282,118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47,564,909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50,966,323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54,934,835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55,596,993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61,015,914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58,450,441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nflx-20260630.htm (Form 10-Q, quarter ended 30-Jun-2026) | Note 4, As of December 31, 2025 | 5,369 + 144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nflx-20260630.htm (Form 10-Q, quarter ended 30-Jun-2026) | Note 4, As of June 30, 2026 | 3,411 + 143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Balance Sheets, As of September 30, 2025 | 20,940,900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Balance Sheets, As of December 31, 2025 | 24,039,228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Balance Sheets, As of March 31, 2026 | 24,139,431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Balance Sheets, As of June 30, 2026 | 25,106,705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7,385,470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4,653,935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5,057,212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4,846,917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4,927,523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625,305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24,262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9,795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45,216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181,794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7,655,186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4,002,744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4,764,236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4,217,900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4,311,309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160,080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87,326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85,983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98,575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100,530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152,839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80,986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134,624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140,405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131,312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83,785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1,707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9,730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10,110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8,813</t>
        </r>
      </text>
    </comment>
    <comment ref="C2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234,869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142,293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200,289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198,227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141,356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299,683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20,539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162,912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58,819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81,260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308,050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169,597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313,014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704,640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111,713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265,380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139,451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117,890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154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157,397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39,178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707,151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134,889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1,295,904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1,249,793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207,548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3,686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51,055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32,282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54,008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452,904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97,569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243,182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453,837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63,770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284,166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164,719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239,335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196,130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218,644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17,194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585,744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157,665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3,850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8,450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1,732,367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176,250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8,450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36,190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36,190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1,833,450</t>
        </r>
      </text>
    </comment>
    <comment ref="C7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520,668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70,215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76,082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49,310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59,980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5,190,723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1,856,885</t>
        </r>
      </text>
    </comment>
    <comment ref="E8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2,079,559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1,270,588</t>
        </r>
      </text>
    </comment>
    <comment ref="G8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4,714,403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33,984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6,196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5,985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29,230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6,631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6,305</t>
        </r>
      </text>
    </comment>
    <comment ref="D8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55,837</t>
        </r>
      </text>
    </comment>
    <comment ref="E8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67,948</t>
        </r>
      </text>
    </comment>
    <comment ref="F8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19,694</t>
        </r>
      </text>
    </comment>
    <comment ref="G8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8,573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437,617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21,721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29,377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49,838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19,628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7,807,337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4,016,396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4,429,402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3,549,657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3,835,813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16,223,617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126,863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158,674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128,277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155,889</t>
        </r>
      </text>
    </comment>
    <comment ref="H10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439,538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83,585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139,537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411,253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214,052</t>
        </r>
      </text>
    </comment>
    <comment ref="H10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779,135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80,914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79,539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80,067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80,013</t>
        </r>
      </text>
    </comment>
    <comment ref="H1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328,914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65,650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61,827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71,977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80,862</t>
        </r>
      </text>
    </comment>
    <comment ref="H11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272,588</t>
        </r>
      </text>
    </comment>
    <comment ref="D11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104,809</t>
        </r>
      </text>
    </comment>
    <comment ref="E11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52,855</t>
        </r>
      </text>
    </comment>
    <comment ref="F11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28,547</t>
        </r>
      </text>
    </comment>
    <comment ref="G11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55,238</t>
        </r>
      </text>
    </comment>
    <comment ref="H11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121,539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128,082</t>
        </r>
      </text>
    </comment>
    <comment ref="E11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130,927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114,730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120,139</t>
        </r>
      </text>
    </comment>
    <comment ref="H11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494,778</t>
        </r>
      </text>
    </comment>
    <comment ref="D114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200,982</t>
        </r>
      </text>
    </comment>
    <comment ref="E11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73,252</t>
        </r>
      </text>
    </comment>
    <comment ref="F114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163,928</t>
        </r>
      </text>
    </comment>
    <comment ref="G114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135,755</t>
        </r>
      </text>
    </comment>
    <comment ref="H114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590,698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54,956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41,866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131,367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176,683</t>
        </r>
      </text>
    </comment>
    <comment ref="H11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22,180</t>
        </r>
      </text>
    </comment>
    <comment ref="D116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30,597</t>
        </r>
      </text>
    </comment>
    <comment ref="E11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255,379</t>
        </r>
      </text>
    </comment>
    <comment ref="F116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276,426</t>
        </r>
      </text>
    </comment>
    <comment ref="G11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11,046</t>
        </r>
      </text>
    </comment>
    <comment ref="H11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121,353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179,011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124,591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306,413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267,235</t>
        </r>
      </text>
    </comment>
    <comment ref="H117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191,899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39,328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7,765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88,913</t>
        </r>
      </text>
    </comment>
    <comment ref="G11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118,635</t>
        </r>
      </text>
    </comment>
    <comment ref="H11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77,844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124,313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167,148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82,280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370,624</t>
        </r>
      </text>
    </comment>
    <comment ref="H11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446,351</t>
        </r>
      </text>
    </comment>
    <comment ref="D12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2,321,101</t>
        </r>
      </text>
    </comment>
    <comment ref="E12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1,536,894</t>
        </r>
      </text>
    </comment>
    <comment ref="F120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2,789,199</t>
        </r>
      </text>
    </comment>
    <comment ref="G12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2,423,258</t>
        </r>
      </text>
    </comment>
    <comment ref="H12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7,361,364</t>
        </r>
      </text>
    </comment>
    <comment ref="D121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143,244</t>
        </r>
      </text>
    </comment>
    <comment ref="E12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302,012</t>
        </r>
      </text>
    </comment>
    <comment ref="F121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351,602</t>
        </r>
      </text>
    </comment>
    <comment ref="G12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169,066</t>
        </r>
      </text>
    </comment>
    <comment ref="H12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832,887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1,700,000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963,748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3,536,396</t>
        </r>
      </text>
    </comment>
    <comment ref="G12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1,654,327</t>
        </r>
      </text>
    </comment>
    <comment ref="H12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6,263,746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2,024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2,553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27,870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6,114</t>
        </r>
      </text>
    </comment>
    <comment ref="H12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8,285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1,742,246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156,015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1,650</t>
        </r>
      </text>
    </comment>
    <comment ref="H12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1,742,246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769,954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962,413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36,190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1,794,460</t>
        </r>
      </text>
    </comment>
    <comment ref="H12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1,794,460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800,000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1,033,450</t>
        </r>
      </text>
    </comment>
    <comment ref="H12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400,000</t>
        </r>
      </text>
    </comment>
    <comment ref="D130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9,084</t>
        </r>
      </text>
    </comment>
    <comment ref="E13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14,409</t>
        </r>
      </text>
    </comment>
    <comment ref="F130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15,652</t>
        </r>
      </text>
    </comment>
    <comment ref="G13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21,957</t>
        </r>
      </text>
    </comment>
    <comment ref="H13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29,743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ex991_q325.htm (Netflix Q3-25 shareholder letter, 8-K 21-Oct-2025) | Cash Flows, Three Months Ended September 30, 2024 | 153,452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2024 | 351,270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Cash Flows, Three Months Ended March 31, 2025 | 150,146</t>
        </r>
      </text>
    </comment>
    <comment ref="G131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2025 | 287,471</t>
        </r>
      </text>
    </comment>
    <comment ref="H131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2024 | 416,331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Six Months Ended June 30, 2025 | 5,212,457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September 30, 2025 | 2,825,174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Three Months Ended December 31, 2025 | 2,111,642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March 31, 2026 | 5,290,205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Cash Flows, Three Months Ended June 30, 2026 | 1,743,812</t>
        </r>
      </text>
    </comment>
    <comment ref="H1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Cash Flows, Twelve Months Ended December 31, 2025 | 10,149,273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2" authorId="0">
      <text>
        <r>
          <rPr>
            <sz val="9"/>
            <color rgb="FF000000"/>
            <rFont val="Arial"/>
            <family val="2"/>
          </rPr>
          <t>nflx-20260630.htm (Form 10-Q, quarter ended 30-Jun-2026) | Note 2 revenues by region, six months ended June 30, 2025 | 9,546,101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Q3-25 As Reported | 5,071,781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Q4-25 As Reported | 5,339,270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Q1-26 As Reported | 5,245,298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Q2-26 As Reported | 5,431,667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nflx-20260630.htm (Form 10-Q, quarter ended 30-Jun-2026) | Note 12 | $ 8.9 billion (six months ended June 30, 2025)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nflx-20250930.htm (10-Q 3Q25) | Note 12 | $ 4.7 billion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nflx-20260331.htm (10-Q 1Q26) | Note 12 | $ 4.9 billion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nflx-20260630.htm (Form 10-Q, quarter ended 30-Jun-2026) | Note 12 | $ 5.1 billion</t>
        </r>
      </text>
    </comment>
    <comment ref="H18" authorId="0">
      <text>
        <r>
          <rPr>
            <sz val="9"/>
            <color rgb="FF000000"/>
            <rFont val="Arial"/>
            <family val="2"/>
          </rPr>
          <t>nflx-20251231 R22.htm (10-K FY25) | Note 12 | $18.5 billion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nflx-20250930.htm (10-Q 3Q25) | Note 12 | $ 4.0 billion (3Q24)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nflx-20260331.htm (10-Q 1Q26) | Note 12 | $ 4.3 billion (1Q25)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nflx-20260630.htm (Form 10-Q, quarter ended 30-Jun-2026) | Note 12 | $ 4.6 billion (2Q25)</t>
        </r>
      </text>
    </comment>
    <comment ref="H25" authorId="0">
      <text>
        <r>
          <rPr>
            <sz val="9"/>
            <color rgb="FF000000"/>
            <rFont val="Arial"/>
            <family val="2"/>
          </rPr>
          <t>nflx-20251231 R22.htm (10-K FY25) | Note 12 | $16.1 billion (FY24)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nflx-20250930.htm (10-Q 3Q25) | Note 12 | $ 13.6 billion (nine months 2025)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nflx-20250930.htm (10-Q 3Q25) | Note 12 | $ 11.9 billion (nine months 2024)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Constant currency table, Q1-24 + Q2-24 As Reported | 1H24 sum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Q3-24 As Reported | 4,322,476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Q4-24 As Reported | 4,517,018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Q1-25 As Reported | 4,617,098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Q2-25 As Reported | 4,929,003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nflx-20260630.htm (Form 10-Q, quarter ended 30-Jun-2026) | Note 2 revenues by region, six months ended June 30, 2025 | 6,942,851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Q3-25 As Reported | 3,699,052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Q4-25 As Reported | 3,872,743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Q1-26 As Reported | 3,998,419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Q2-26 As Reported | 4,033,515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Constant currency table, Q1-24 + Q2-24 As Reported | 1H24 sum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Q3-24 As Reported | 3,133,466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Q4-24 As Reported | 3,287,604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Q1-25 As Reported | 3,404,676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Q2-25 As Reported | 3,538,175</t>
        </r>
      </text>
    </comment>
    <comment ref="C83" authorId="0">
      <text>
        <r>
          <rPr>
            <sz val="9"/>
            <color rgb="FF000000"/>
            <rFont val="Arial"/>
            <family val="2"/>
          </rPr>
          <t>nflx-20260630.htm (Form 10-Q, quarter ended 30-Jun-2026) | Note 2 revenues by region, six months ended June 30, 2025 | 2,568,669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Q3-25 As Reported | 1,370,913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Q4-25 As Reported | 1,417,939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Q1-26 As Reported | 1,497,058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Q2-26 As Reported | 1,584,290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Constant currency table, Q1-24 + Q2-24 As Reported | 1H24 sum</t>
        </r>
      </text>
    </comment>
    <comment ref="D8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Q3-24 As Reported | 1,240,892</t>
        </r>
      </text>
    </comment>
    <comment ref="E89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Q4-24 As Reported | 1,229,771</t>
        </r>
      </text>
    </comment>
    <comment ref="F8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Q1-25 As Reported | 1,261,934</t>
        </r>
      </text>
    </comment>
    <comment ref="G89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Q2-25 As Reported | 1,306,735</t>
        </r>
      </text>
    </comment>
    <comment ref="C110" authorId="0">
      <text>
        <r>
          <rPr>
            <sz val="9"/>
            <color rgb="FF000000"/>
            <rFont val="Arial"/>
            <family val="2"/>
          </rPr>
          <t>nflx-20260630.htm (Form 10-Q, quarter ended 30-Jun-2026) | Note 2 revenues by region, six months ended June 30, 2025 | 2,564,346</t>
        </r>
      </text>
    </comment>
    <comment ref="D1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Q3-25 As Reported | 1,368,561</t>
        </r>
      </text>
    </comment>
    <comment ref="E110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Non-GAAP constant currency table, Q4-25 As Reported | 1,420,810</t>
        </r>
      </text>
    </comment>
    <comment ref="F1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Q1-26 As Reported | 1,508,982</t>
        </r>
      </text>
    </comment>
    <comment ref="G110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Non-GAAP constant currency table, Q2-26 As Reported | 1,510,466</t>
        </r>
      </text>
    </comment>
    <comment ref="C116" authorId="0">
      <text>
        <r>
          <rPr>
            <sz val="9"/>
            <color rgb="FF000000"/>
            <rFont val="Arial"/>
            <family val="2"/>
          </rPr>
          <t>ex991_q126.htm (Netflix Q1-26 shareholder letter, 8-K 16-Apr-2026) | Constant currency table, Q1-24 + Q2-24 As Reported | 1H24 sum</t>
        </r>
      </text>
    </comment>
    <comment ref="D11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Q3-24 As Reported | 1,127,869</t>
        </r>
      </text>
    </comment>
    <comment ref="E116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Constant currency table, Q4-24 As Reported | 1,212,120</t>
        </r>
      </text>
    </comment>
    <comment ref="F11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Q1-25 As Reported | 1,259,093</t>
        </r>
      </text>
    </comment>
    <comment ref="G116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Constant currency table, Q2-25 As Reported | 1,305,253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1" authorId="0">
      <text>
        <r>
          <rPr>
            <sz val="9"/>
            <color rgb="FF000000"/>
            <rFont val="Arial"/>
            <family val="2"/>
          </rPr>
          <t>nflx-20250930.htm (10-Q 3Q25) | Note 10 | repurchased 1,526,661 (pre-split; ×10 = 15,266,610)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nflx-20260630.htm (Form 10-Q, quarter ended 30-Jun-2026) | Note 10 | 66,431,786 (6M) less 52,934,688 (3M)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nflx-20260630.htm (Form 10-Q, quarter ended 30-Jun-2026) | Note 10 | 52,934,688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nflx-20250930.htm (10-Q 3Q25) | Note 10 | 6,765,397 shares, nine months (pre-split; ×10)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nflx-20251231.htm (10-K FY25) | Note 10 | 86,536,215 shares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nflx-20250930.htm (10-Q cover) | 423,732,334 (pre-split ×10)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nflx-20251231.htm (10-K cover) | 4,222,162,150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nflx-20260331 R1.htm (10-Q cover) | 4,212,794,271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nflx-20260630.htm (Form 10-Q, quarter ended 30-Jun-2026) cover | 4,163,939,676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nflx-20250930.htm | Balance sheet parenthetical | 32,760,541 shares (pre-split ×10)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nflx-20260630.htm (Form 10-Q, quarter ended 30-Jun-2026) | Balance sheet parenthetical | 346,541,145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nflx-20260630.htm (Form 10-Q, quarter ended 30-Jun-2026) | Balance sheet parenthetical | 413,373,678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Six Months Ended June 30, 2025 | 4,262,347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September 30, 2025 | 4,244,553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2025 | 4,229,221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March 31, 2026 | 4,222,787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2026 | 4,189,303</t>
        </r>
      </text>
    </comment>
    <comment ref="H32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2025 | 4,249,512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Six Months Ended June 30, 2025 | 4,359,167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September 30, 2025 | 4,340,392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Three Months Ended December 31, 2025 | 4,317,144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March 31, 2026 | 4,298,437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ex991_q226.htm (Netflix Q2-26 shareholder letter, 8-K 16-Jul-2026) | Three Months Ended June 30, 2026 | 4,261,300</t>
        </r>
      </text>
    </comment>
    <comment ref="H38" authorId="0">
      <text>
        <r>
          <rPr>
            <sz val="9"/>
            <color rgb="FF000000"/>
            <rFont val="Arial"/>
            <family val="2"/>
          </rPr>
          <t>ex991_q425.htm (Netflix Q4-25 shareholder letter, 8-K 20-Jan-2026) | Twelve Months Ended December 31, 2025 | 4,343,863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nflx-20260630.htm (Form 10-Q, quarter ended 30-Jun-2026) | Note 10 option activity | 123,891,603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nflx-20260630.htm (Form 10-Q, quarter ended 30-Jun-2026) | Note 10 option activity | $39.21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4" authorId="0">
      <text>
        <r>
          <rPr>
            <sz val="9"/>
            <color rgb="FF000000"/>
            <rFont val="Arial"/>
            <family val="2"/>
          </rPr>
          <t>NFLX_consensus.json | summary_row | "eps_normalized_mean": "0.82"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NFLX_consensus.json | summary_row | "revenue_mean": "12875.31"</t>
        </r>
      </text>
    </comment>
  </commentList>
</comments>
</file>

<file path=xl/sharedStrings.xml><?xml version="1.0" encoding="utf-8"?>
<sst xmlns="http://schemas.openxmlformats.org/spreadsheetml/2006/main" count="809" uniqueCount="809">
  <si>
    <t>Company Model — built by Shortcut</t>
  </si>
  <si>
    <t>Netflix, Inc. (NasdaqGS: NFLX)</t>
  </si>
  <si>
    <t>Cover — 3Q26 (quarter ending 30-Sep-2026) earnings model</t>
  </si>
  <si>
    <t>$ millions, except per share</t>
  </si>
  <si>
    <t>Headline period</t>
  </si>
  <si>
    <t>3Q26E — quarter ending 2026-09-30 (92 days); all headline figures below refer to this quarter</t>
  </si>
  <si>
    <t>Notes</t>
  </si>
  <si>
    <t>Company</t>
  </si>
  <si>
    <t>Netflix, Inc.</t>
  </si>
  <si>
    <t>Ticker / exchange</t>
  </si>
  <si>
    <t>NFLX — NasdaqGS (NasdaqGS:NFLX)</t>
  </si>
  <si>
    <t>Fiscal year end</t>
  </si>
  <si>
    <t>31-Dec (3Q26 = quarter ending 30-Sep-2026; supplied label 2026-09-30 matches issuer quarter end)</t>
  </si>
  <si>
    <t>Reporting currency</t>
  </si>
  <si>
    <t>USD; amounts in $ millions, shares in millions, EPS in $ per diluted common share (post 10-for-1 split)</t>
  </si>
  <si>
    <t>EPS basis</t>
  </si>
  <si>
    <t>CapIQ normalized diluted EPS per common share (USD); Netflix reports only GAAP EPS — no issuer non-GAAP EPS</t>
  </si>
  <si>
    <t>Information cutoff</t>
  </si>
  <si>
    <t>2026-10-18 21:34:46 UTC</t>
  </si>
  <si>
    <t>Expected report date</t>
  </si>
  <si>
    <t>2026-10-20, ~1:01 pm America/Los_Angeles (issuer release 14-Sep-2026)</t>
  </si>
  <si>
    <t>Author</t>
  </si>
  <si>
    <t>Shortcut (Company Model — built by Shortcut)</t>
  </si>
  <si>
    <t>3Q26E headline</t>
  </si>
  <si>
    <t>Shortcut estimate</t>
  </si>
  <si>
    <t>Consensus (CapIQ, 18-Oct-26)</t>
  </si>
  <si>
    <t>Variance</t>
  </si>
  <si>
    <t>Variance %</t>
  </si>
  <si>
    <t>Guidance midpoint</t>
  </si>
  <si>
    <t>Est. – guidance</t>
  </si>
  <si>
    <t>Consensus n</t>
  </si>
  <si>
    <t>Revenue ($m)</t>
  </si>
  <si>
    <t>Operating income ($m)</t>
  </si>
  <si>
    <t>Net income — normalized ($m)</t>
  </si>
  <si>
    <t>Frozen CapIQ NI excl. exceptionals 3,471.53 vs GAAP 3,453.74 (Δ17.79) implies small provider-side exclusions; model keeps zero 3Q26E exclusions (IS rows 88–97) — unresolved provider-basis uncertainty, not adjusted</t>
  </si>
  <si>
    <t>Net income — GAAP ($m)</t>
  </si>
  <si>
    <t>Normalized diluted EPS (scored)</t>
  </si>
  <si>
    <t>GAAP diluted EPS</t>
  </si>
  <si>
    <t>Overall model check</t>
  </si>
  <si>
    <t>PASS</t>
  </si>
  <si>
    <t>Includes 3Q26E identity checks that are zero by construction (CF rows 98–99, Geo row 155, Revenue summary rows 20/36); the independent forecast-column test is Balance Sheet!I38 (A–L–E). Historical columns test against reported data</t>
  </si>
  <si>
    <t>P(beat consensus EPS)</t>
  </si>
  <si>
    <t>Confidence</t>
  </si>
  <si>
    <t>medium</t>
  </si>
  <si>
    <t>Beat-probability calibration (playbook v2: size and issuer history)</t>
  </si>
  <si>
    <t>Market cap ($bn, 16-Oct-2026)</t>
  </si>
  <si>
    <t>StatMuse: 4,163,939,358 shares × $70.53 (S21); CapIQ market cap blank in export</t>
  </si>
  <si>
    <t>Size bucket</t>
  </si>
  <si>
    <t>Large (&gt; $10bn)</t>
  </si>
  <si>
    <t>S&amp;P 500 member</t>
  </si>
  <si>
    <t>Yes</t>
  </si>
  <si>
    <t>WhichIndex constituent list 8-Oct-2026 (S22)</t>
  </si>
  <si>
    <t>Cohort prior (large / S&amp;P 500)</t>
  </si>
  <si>
    <t>Frozen forecasting playbook (v2 experimental), item 7: prior 0.60 small / 0.70 mid / 0.78 large OR S&amp;P 500 — rounded experimental hypothesis, not a fitted or proven probability</t>
  </si>
  <si>
    <t>b = strict beats (six CapIQ pairs)</t>
  </si>
  <si>
    <t>Beats: 1Q25, 2Q25, 4Q25, 2Q26; misses: 3Q25 (Brazil charge), 1Q26 (CapIQ consensus 1.32 vs 1.23 actual)</t>
  </si>
  <si>
    <t>n = valid pairs</t>
  </si>
  <si>
    <t>No pair excluded: all on the same normalized diluted basis</t>
  </si>
  <si>
    <t>Pseudo-count</t>
  </si>
  <si>
    <t>Frozen playbook item 7: fixed 8 pseudo-observations — experimental regularization weight, not a fitted optimum</t>
  </si>
  <si>
    <t>Starting p = (k×prior + b)/(k + n)</t>
  </si>
  <si>
    <t>Quarter-specific adjustment</t>
  </si>
  <si>
    <t>Model EPS ~$0.827 sits only just above the $0.825 rounding threshold (~55% on model spread alone); consensus = guidance (no cushion); severance- and expense-timing risks vs Netflix habit of beating its own forecast by ~$0.02</t>
  </si>
  <si>
    <t>Final probability</t>
  </si>
  <si>
    <t>Mean EPS surprise ($, six pairs)</t>
  </si>
  <si>
    <t>Skewed by 1Q25 +$0.09 and 3Q25/1Q26 misses; not transferred into the forecast</t>
  </si>
  <si>
    <t>Newer consensus (recorded separately; frozen CapIQ snapshot remains the scoring baseline)</t>
  </si>
  <si>
    <t>Zacks consensus EPS (15-Oct)</t>
  </si>
  <si>
    <t>S23; revenue $12.87bn; EPS revised -0.7% over 30 days</t>
  </si>
  <si>
    <t>Pepperstone consensus EPS (16-Oct)</t>
  </si>
  <si>
    <t>S24; revenue $12.876bn</t>
  </si>
  <si>
    <t>Target-quarter actuals seen?</t>
  </si>
  <si>
    <t>No</t>
  </si>
  <si>
    <t>Revenue summary and drivers (single reportable segment: streaming)</t>
  </si>
  <si>
    <t>Period</t>
  </si>
  <si>
    <t>1H25A</t>
  </si>
  <si>
    <t>3Q25A</t>
  </si>
  <si>
    <t>4Q25A</t>
  </si>
  <si>
    <t>1Q26A</t>
  </si>
  <si>
    <t>2Q26A</t>
  </si>
  <si>
    <t>FY25A</t>
  </si>
  <si>
    <t>3Q26E</t>
  </si>
  <si>
    <t>Period end</t>
  </si>
  <si>
    <t>Days in period</t>
  </si>
  <si>
    <t>Revenue by reported segment</t>
  </si>
  <si>
    <t>Streaming revenue (single segment)</t>
  </si>
  <si>
    <t>Netflix operates as one operating segment (10-Q 2Q26 Note 12); segment revenue = total revenue</t>
  </si>
  <si>
    <t xml:space="preserve">  Prior-year revenue (memo)</t>
  </si>
  <si>
    <t xml:space="preserve">  % Y/Y</t>
  </si>
  <si>
    <t xml:space="preserve">  Q/Q change ($m)</t>
  </si>
  <si>
    <t xml:space="preserve">  % Q/Q</t>
  </si>
  <si>
    <t xml:space="preserve">  % of total revenue</t>
  </si>
  <si>
    <t>Total revenue</t>
  </si>
  <si>
    <t>Check: segments – total (= 0)</t>
  </si>
  <si>
    <t>3Q26E = 0 by construction (IS revenue links the Geo build): identity, not an independent test</t>
  </si>
  <si>
    <t>Growth decomposition (total company)</t>
  </si>
  <si>
    <t xml:space="preserve">  Total Y/Y growth (reported)</t>
  </si>
  <si>
    <t xml:space="preserve">  FX impact incl. hedging</t>
  </si>
  <si>
    <t xml:space="preserve">    Change vs prior quarter (bp)</t>
  </si>
  <si>
    <t xml:space="preserve">  M&amp;A / scope impact</t>
  </si>
  <si>
    <t>n/a</t>
  </si>
  <si>
    <t>Not disclosed by issuer: unavailable, not zero</t>
  </si>
  <si>
    <t xml:space="preserve">  Constant-currency growth</t>
  </si>
  <si>
    <t>FY25 F/X-neutral growth +17% per Q4-25 letter (text); not rebuilt from quarters</t>
  </si>
  <si>
    <t xml:space="preserve">  Organic growth</t>
  </si>
  <si>
    <t>Organic = (1+Y/Y)/((1+M&amp;A)×(1+FX))-1; M&amp;A not disclosed: unavailable</t>
  </si>
  <si>
    <t>Reported revenue reconciliation (components)</t>
  </si>
  <si>
    <t xml:space="preserve">  Constant-currency revenue</t>
  </si>
  <si>
    <t xml:space="preserve">  Less: constant-currency adj.</t>
  </si>
  <si>
    <t xml:space="preserve">  Less: hedging (gains) losses</t>
  </si>
  <si>
    <t>3Q26E hedging included in the constant-currency adjustment</t>
  </si>
  <si>
    <t xml:space="preserve">  Reported revenue</t>
  </si>
  <si>
    <t>Check: reconciliation (= 0)</t>
  </si>
  <si>
    <t>3Q26E = 0 by construction (components derived from the same regional build); historical columns tie to reported revenue</t>
  </si>
  <si>
    <t>Membership ladder (paid memberships, millions)</t>
  </si>
  <si>
    <t xml:space="preserve">  Paid memberships, opening</t>
  </si>
  <si>
    <t>n/d</t>
  </si>
  <si>
    <t>Not disclosed: Netflix discontinued quarterly membership reporting from 1Q25 (10-K FY25)</t>
  </si>
  <si>
    <t xml:space="preserve">  Gross additions</t>
  </si>
  <si>
    <t xml:space="preserve">  Churned memberships</t>
  </si>
  <si>
    <t xml:space="preserve">  Net additions</t>
  </si>
  <si>
    <t xml:space="preserve">  Paid memberships, closing</t>
  </si>
  <si>
    <t>Only datapoint: "over 325M" at end-2025 (lower bound). Third-party (Parrot via Bernstein, 1-Oct-26) ~335M end-3Q26 — not used as an input</t>
  </si>
  <si>
    <t xml:space="preserve">  Average paid memberships</t>
  </si>
  <si>
    <t>Not disclosed</t>
  </si>
  <si>
    <t xml:space="preserve">  Monthly churn rate %</t>
  </si>
  <si>
    <t>Not disclosed; Apptopia app-churn proxy +16.6% Y/Y in US for 3Q26 (directional only)</t>
  </si>
  <si>
    <t xml:space="preserve">  ARM ($ per membership per month)</t>
  </si>
  <si>
    <t>Discontinued from 1Q25 (10-K FY25)</t>
  </si>
  <si>
    <t>Advertising (disclosed annually only)</t>
  </si>
  <si>
    <t xml:space="preserve">  Advertising revenue</t>
  </si>
  <si>
    <t>FY25 "&gt;$1.5B" (lower bound); FY26 guided ~$3.0B (see Guidance). Quarterly ad revenue not disclosed; preview estimate ~$806m 3Q26 (IG, 12-Oct-26) not used</t>
  </si>
  <si>
    <t xml:space="preserve">    Total Y/Y growth</t>
  </si>
  <si>
    <t>FY25 ad revenue "rose more than 2.5x" (text only; FY24 amount not disclosed): numeric growth unavailable</t>
  </si>
  <si>
    <t xml:space="preserve">    FX impact</t>
  </si>
  <si>
    <t xml:space="preserve">    M&amp;A / scope impact</t>
  </si>
  <si>
    <t xml:space="preserve">    Organic growth</t>
  </si>
  <si>
    <t xml:space="preserve">    Advertising % of total revenue</t>
  </si>
  <si>
    <t>Lower bound: derived from the FY25 "&gt;$1.5B" floor (H49); not an exact share</t>
  </si>
  <si>
    <t>US pricing (monthly list price at period end, $)</t>
  </si>
  <si>
    <t xml:space="preserve">  US Standard with ads</t>
  </si>
  <si>
    <t>Price rise effective 26-Mar-2026 for new members, rolled to existing members in Q2; 3Q26E: no further US change announced before cutoff</t>
  </si>
  <si>
    <t xml:space="preserve">    % Y/Y</t>
  </si>
  <si>
    <t xml:space="preserve">    Q/Q change ($)</t>
  </si>
  <si>
    <t xml:space="preserve">    Prior-year price (memo)</t>
  </si>
  <si>
    <t>Jan-2025 US price rise: ads $6.99→$7.99, Standard $15.49→$17.99, Premium $22.99→$24.99 (CBS News 27-Mar-2026)</t>
  </si>
  <si>
    <t xml:space="preserve">  US Standard</t>
  </si>
  <si>
    <t xml:space="preserve">  US Premium</t>
  </si>
  <si>
    <t>Geography: four regions disclosed — see Geo tab; U.S. alone was $5.1bn of 2Q26 revenue (10-Q Note 12).</t>
  </si>
  <si>
    <t>Income statement (GAAP, as reported) and EPS bridge</t>
  </si>
  <si>
    <t>Income statement (GAAP)</t>
  </si>
  <si>
    <t>Revenues</t>
  </si>
  <si>
    <t>3Q26E links the regional build (Geo → Revenue summary)</t>
  </si>
  <si>
    <t>Cost of revenues build</t>
  </si>
  <si>
    <t xml:space="preserve">  Content amortization</t>
  </si>
  <si>
    <t>History linked from cash-flow statement (also disclosed in 10-Q Note 12 segment table); 3Q26E = 3Q25A × (1 + growth)</t>
  </si>
  <si>
    <t xml:space="preserve">    Q/Q change ($m)</t>
  </si>
  <si>
    <t xml:space="preserve">    Amortization % of revenue</t>
  </si>
  <si>
    <t xml:space="preserve">      Change Y/Y (bp)</t>
  </si>
  <si>
    <t xml:space="preserve">  Other cost of revenues (ex. Brazil)</t>
  </si>
  <si>
    <t>Derived: reported cost of revenues – content amortization – Brazil item (10-Q Note 12 discloses other cost of revenues incl. the item)</t>
  </si>
  <si>
    <t xml:space="preserve">  Brazil non-income tax matter</t>
  </si>
  <si>
    <t>One-off cumulative charge (2022-3Q25) booked in 3Q25 cost of revenues; none disclosed in other periods; 3Q26E assumption 0 (issuer: no material future impact)</t>
  </si>
  <si>
    <t>Cost of revenues</t>
  </si>
  <si>
    <t>Gross profit</t>
  </si>
  <si>
    <t>Derived; Netflix does not label a gross-profit line</t>
  </si>
  <si>
    <t xml:space="preserve">  Gross margin %</t>
  </si>
  <si>
    <t xml:space="preserve">    Change Y/Y (bp)</t>
  </si>
  <si>
    <t>Laps 3Q25 $619m Brazil charge (row 22): ex-charge, 3Q25 gross margin 51.8% → Y/Y +29bp underlying (memo only; reported basis unchanged)</t>
  </si>
  <si>
    <t>Sales and marketing</t>
  </si>
  <si>
    <t>Technology and development</t>
  </si>
  <si>
    <t>General and administrative</t>
  </si>
  <si>
    <t>Operating expenses</t>
  </si>
  <si>
    <t>Operating income</t>
  </si>
  <si>
    <t>Issuer-defined EBITDA: not applicable — Netflix does not report or define EBITDA (letter non-GAAP measures: F/X-neutral revenue, adj. operating profit/margin, FCF, net debt). Not forecast; CapIQ EBITDA consensus kept on Inputs!C51 only</t>
  </si>
  <si>
    <t xml:space="preserve">  Operating margin %</t>
  </si>
  <si>
    <t>Laps 3Q25 $619m Brazil charge (row 22): ex-charge, 3Q25 operating margin 33.6% → Y/Y -16bp underlying (memo only; reported basis unchanged)</t>
  </si>
  <si>
    <t>Interest expense</t>
  </si>
  <si>
    <t>Interest and other income</t>
  </si>
  <si>
    <t>1Q26 includes the $2.8bn WBD termination fee</t>
  </si>
  <si>
    <t xml:space="preserve">  Y/Y change ($m)</t>
  </si>
  <si>
    <t>$ change shown (sign changes make % growth meaningless)</t>
  </si>
  <si>
    <t>Income before income taxes</t>
  </si>
  <si>
    <t>Provision for income taxes</t>
  </si>
  <si>
    <t xml:space="preserve">  Effective tax rate %</t>
  </si>
  <si>
    <t>Net income (to common)</t>
  </si>
  <si>
    <t xml:space="preserve">  Net margin %</t>
  </si>
  <si>
    <t>Check: NI – reported (= 0)</t>
  </si>
  <si>
    <t xml:space="preserve">  Memo: net income as reported</t>
  </si>
  <si>
    <t>Shares and EPS</t>
  </si>
  <si>
    <t>Wtd. avg. shares — basic (m)</t>
  </si>
  <si>
    <t xml:space="preserve">  Q/Q change (m)</t>
  </si>
  <si>
    <t>Wtd. avg. shares — diluted (m)</t>
  </si>
  <si>
    <t>Basic EPS (calculated)</t>
  </si>
  <si>
    <t xml:space="preserve">  Q/Q change ($)</t>
  </si>
  <si>
    <t>Diluted EPS — GAAP</t>
  </si>
  <si>
    <t xml:space="preserve">  Memo: diluted EPS, reported</t>
  </si>
  <si>
    <t>Post 10-for-1 split (14-Nov-2025) basis</t>
  </si>
  <si>
    <t>Check: EPS = NI / diluted shares</t>
  </si>
  <si>
    <t>GAAP to normalized bridge (CapIQ "normalized diluted EPS" consensus basis)</t>
  </si>
  <si>
    <t>GAAP net income</t>
  </si>
  <si>
    <t xml:space="preserve">  Item: Brazil tax matter (pre-tax)</t>
  </si>
  <si>
    <t xml:space="preserve">  Item: WBD termination fee (pre-tax)</t>
  </si>
  <si>
    <t>Gain shown negative (would be deducted if excluded)</t>
  </si>
  <si>
    <t xml:space="preserve">  Item: WBD bridge costs (pre-tax)</t>
  </si>
  <si>
    <t xml:space="preserve">  Item: severance (pre-tax)</t>
  </si>
  <si>
    <t>~1,000-person layoff announced 14-Oct-2026 (after quarter end); charge assumed in 4Q26, not 3Q26 — key downside risk if accrued in 3Q26</t>
  </si>
  <si>
    <t xml:space="preserve">  CapIQ exclusion flag (1 = excluded)</t>
  </si>
  <si>
    <t>0: CapIQ normalized actuals equal GAAP in 3Q25 (0.59) and 1Q26 (1.23) per Inputs history, so these items are NOT excluded on the consensus basis</t>
  </si>
  <si>
    <t xml:space="preserve">  Tax rate applied to adjustments</t>
  </si>
  <si>
    <t xml:space="preserve">  Adj. 1: Brazil tax matter (after tax)</t>
  </si>
  <si>
    <t>FY25A rows 94–97 = sum of quarterly after-tax adjustments (C:E), like other FY25A flows; FY flag H92 / rate H93 are memo only</t>
  </si>
  <si>
    <t xml:space="preserve">  Adj. 2: WBD fee (after tax)</t>
  </si>
  <si>
    <t xml:space="preserve">  Adj. 3: WBD bridge costs (after tax)</t>
  </si>
  <si>
    <t xml:space="preserve">  Adj. 4: severance (after tax)</t>
  </si>
  <si>
    <t>Normalized net income</t>
  </si>
  <si>
    <t>Normalized diluted EPS</t>
  </si>
  <si>
    <t xml:space="preserve">  Memo: CapIQ normalized actual</t>
  </si>
  <si>
    <t>Check: normalized EPS vs CapIQ</t>
  </si>
  <si>
    <t>Forecast assumptions (3Q26E)</t>
  </si>
  <si>
    <t xml:space="preserve">  Content amortization growth Y/Y</t>
  </si>
  <si>
    <t>Issuer: amortization growth decelerates to mid-to-high single digits in 2H26, ~10% for FY26 (Q1-26/Q2-26 letters)</t>
  </si>
  <si>
    <t xml:space="preserve">  Other cost of revenues growth Y/Y</t>
  </si>
  <si>
    <t>2Q26 +15.6% Y/Y (10-Q Note 12); 3Q26 includes NFL week-1 game and two MLB events</t>
  </si>
  <si>
    <t xml:space="preserve">  Sales and marketing growth Y/Y</t>
  </si>
  <si>
    <t>1Q26 +22%, 2Q26 +16% Y/Y; ad-sales headcount growth</t>
  </si>
  <si>
    <t xml:space="preserve">  Tech &amp; development growth Y/Y</t>
  </si>
  <si>
    <t>1Q26 +17%, 2Q26 +22% Y/Y</t>
  </si>
  <si>
    <t xml:space="preserve">  G&amp;A growth Y/Y</t>
  </si>
  <si>
    <t>2Q26 +13% Y/Y; 1Q26 inflated by WBD deal costs</t>
  </si>
  <si>
    <t xml:space="preserve">  Interest expense ($m)</t>
  </si>
  <si>
    <t>2Q26 $175.7m + ~$10m on $1bn 5.25% notes issued 22-Jul-2026 while 4.375% 2026 notes remain outstanding to Nov-26 (8-K)</t>
  </si>
  <si>
    <t xml:space="preserve">  Interest and other income ($m)</t>
  </si>
  <si>
    <t>2Q26 $51.7m incl. $82m interest income; small FX remeasurement effects</t>
  </si>
  <si>
    <t xml:space="preserve">  Effective tax rate</t>
  </si>
  <si>
    <t>2Q26 16.4%; guidance-implied ~16.4%</t>
  </si>
  <si>
    <t xml:space="preserve">  Op. margin vs guidance (bp)</t>
  </si>
  <si>
    <t>Prior-year comparatives (memo, as reported; 3Q26E column links 3Q25A)</t>
  </si>
  <si>
    <t xml:space="preserve">  Revenues (link: Geo prior-year total)</t>
  </si>
  <si>
    <t>Single source: prior-year revenue held once on Geo (regional prior-year inputs)</t>
  </si>
  <si>
    <t>Py content amortization from cash-flow statements</t>
  </si>
  <si>
    <t xml:space="preserve">  Cost of revenues</t>
  </si>
  <si>
    <t xml:space="preserve">  Sales and marketing</t>
  </si>
  <si>
    <t xml:space="preserve">  Technology and development</t>
  </si>
  <si>
    <t xml:space="preserve">  General and administrative</t>
  </si>
  <si>
    <t xml:space="preserve">  Operating income</t>
  </si>
  <si>
    <t xml:space="preserve">  Interest expense</t>
  </si>
  <si>
    <t xml:space="preserve">  Interest and other income</t>
  </si>
  <si>
    <t xml:space="preserve">  Provision for income taxes</t>
  </si>
  <si>
    <t xml:space="preserve">  Net income</t>
  </si>
  <si>
    <t xml:space="preserve">  Diluted shares (m, split-adjusted)</t>
  </si>
  <si>
    <t>3Q24 per-share/share figures converted for the 10-for-1 split (÷10 EPS, ×10 shares)</t>
  </si>
  <si>
    <t xml:space="preserve">  Diluted EPS (split-adjusted)</t>
  </si>
  <si>
    <t>Split-adjusted (÷10) from issuer pre-split diluted EPS: 3Q24 $5.40 (S4), 4Q24 $4.27, 1Q25 $6.61, 2Q25 $7.19 (S5). FY24 1.98 = issuer post-split figure (S3); 2dp rounding retained — pre-split FY24 EPS not in preserved sources</t>
  </si>
  <si>
    <t xml:space="preserve">  Basic shares (m, split-adjusted)</t>
  </si>
  <si>
    <t xml:space="preserve">  Basic EPS (split-adjusted)</t>
  </si>
  <si>
    <t>Split-adjusted (÷10) from issuer pre-split basic EPS: 3Q24 $5.52 (S4), 1Q25 $6.76, 2Q25 $7.35 (S5). 4Q24 0.44 and FY24 2.03 = issuer post-split figures (S3); 2dp rounding retained — pre-split values not in preserved sources</t>
  </si>
  <si>
    <t xml:space="preserve">  Gross profit (derived)</t>
  </si>
  <si>
    <t xml:space="preserve">  Operating expenses (derived)</t>
  </si>
  <si>
    <t xml:space="preserve">  Income before taxes (derived)</t>
  </si>
  <si>
    <t xml:space="preserve">  Other cost of revenues (derived)</t>
  </si>
  <si>
    <t xml:space="preserve">  Memo: cost of revenues, reported</t>
  </si>
  <si>
    <t>Input feeding the derived other-cost-of-revenues row</t>
  </si>
  <si>
    <t>Balance sheet (as reported) and 3Q26E roll-forward</t>
  </si>
  <si>
    <t>Assets</t>
  </si>
  <si>
    <t>Cash and cash equivalents</t>
  </si>
  <si>
    <t>3Q26E = cash-flow ending cash – restricted cash; FY25A = 4Q25A balance (balances are not summed)</t>
  </si>
  <si>
    <t>Short-term investments</t>
  </si>
  <si>
    <t>Other current assets</t>
  </si>
  <si>
    <t>Total current assets</t>
  </si>
  <si>
    <t>Content assets, net</t>
  </si>
  <si>
    <t>3Q26E = prior + content additions – content amortization</t>
  </si>
  <si>
    <t>Property and equipment, net</t>
  </si>
  <si>
    <t>Other non-current assets</t>
  </si>
  <si>
    <t>Total assets</t>
  </si>
  <si>
    <t>Liabilities and stockholders' equity</t>
  </si>
  <si>
    <t>Current content liabilities</t>
  </si>
  <si>
    <t>Accounts payable</t>
  </si>
  <si>
    <t>Accrued expenses &amp; other liabilities</t>
  </si>
  <si>
    <t>Deferred revenue</t>
  </si>
  <si>
    <t>Short-term debt</t>
  </si>
  <si>
    <t>$1bn 4.375% notes due Nov-2026 still outstanding at 30-Sep-26 (repay in 4Q26)</t>
  </si>
  <si>
    <t>Total current liabilities</t>
  </si>
  <si>
    <t>Non-current content liabilities</t>
  </si>
  <si>
    <t>Long-term debt</t>
  </si>
  <si>
    <t>3Q26E adds $1bn 5.25% notes due 2036 issued 22-Jul-2026</t>
  </si>
  <si>
    <t>Other non-current liabilities</t>
  </si>
  <si>
    <t>Total liabilities</t>
  </si>
  <si>
    <t>Common stock</t>
  </si>
  <si>
    <t>Treasury stock at cost</t>
  </si>
  <si>
    <t>Accumulated OCI</t>
  </si>
  <si>
    <t>Retained earnings</t>
  </si>
  <si>
    <t>Total stockholders' equity</t>
  </si>
  <si>
    <t>Total liabilities and stockholders' equity</t>
  </si>
  <si>
    <t>Check: A – L – E (= 0)</t>
  </si>
  <si>
    <t>Independent 3Q26E check: balance sheet rolled forward from the cash-flow statement with no cash plug</t>
  </si>
  <si>
    <t>Check: assets vs reported (= 0)</t>
  </si>
  <si>
    <t>Memo</t>
  </si>
  <si>
    <t xml:space="preserve">  Total assets as reported</t>
  </si>
  <si>
    <t xml:space="preserve">  Restricted cash</t>
  </si>
  <si>
    <t>4Q25/2Q26 per 10-Q Note 4; 3Q25/1Q26 = cash-flow ending cash less balance-sheet cash; 3Q26E held flat</t>
  </si>
  <si>
    <t xml:space="preserve">  Cash incl. restricted cash</t>
  </si>
  <si>
    <t xml:space="preserve">  Total debt</t>
  </si>
  <si>
    <t xml:space="preserve">  Net debt (simplified)</t>
  </si>
  <si>
    <t>Simplified; issuer definition also adds back issuance costs/OID and hedge adjustments ($5,244m at 30-Jun-26)</t>
  </si>
  <si>
    <t xml:space="preserve">  Streaming content obligations</t>
  </si>
  <si>
    <t>3Q26E not forecast: unavailable</t>
  </si>
  <si>
    <t>Cash flow statement (as reported) and 3Q26E</t>
  </si>
  <si>
    <t>Operating activities</t>
  </si>
  <si>
    <t>Net income</t>
  </si>
  <si>
    <t xml:space="preserve">  Additions to content assets</t>
  </si>
  <si>
    <t>3Q25 $4,654m, 2Q26 $4,928m; FY26 cash content ~1.1x amortization (issuer)</t>
  </si>
  <si>
    <t xml:space="preserve">  Change in content liabilities</t>
  </si>
  <si>
    <t xml:space="preserve">    Y/Y change ($m)</t>
  </si>
  <si>
    <t xml:space="preserve">  Amortization of content assets</t>
  </si>
  <si>
    <t xml:space="preserve">    Memo: cash content spend</t>
  </si>
  <si>
    <t xml:space="preserve">    Cash content / amortization (x)</t>
  </si>
  <si>
    <t xml:space="preserve">  D&amp;A of PP&amp;E and intangibles</t>
  </si>
  <si>
    <t xml:space="preserve">  Stock-based compensation</t>
  </si>
  <si>
    <t xml:space="preserve">  FX remeasurement loss (gain) on debt</t>
  </si>
  <si>
    <t>Not forecast: set to 0 by assumption</t>
  </si>
  <si>
    <t xml:space="preserve">  Other non-cash items</t>
  </si>
  <si>
    <t xml:space="preserve">  Deferred income taxes</t>
  </si>
  <si>
    <t>Assumption 0</t>
  </si>
  <si>
    <t xml:space="preserve">  Change in other current assets</t>
  </si>
  <si>
    <t>Working-capital assumptions are judgemental; 3Q25 OCF $2,825m</t>
  </si>
  <si>
    <t xml:space="preserve">  Change in accounts payable</t>
  </si>
  <si>
    <t xml:space="preserve">  Change in accrued expenses &amp; other</t>
  </si>
  <si>
    <t xml:space="preserve">  Change in deferred revenue</t>
  </si>
  <si>
    <t xml:space="preserve">  Change in other non-current items</t>
  </si>
  <si>
    <t>Cash from operating activities</t>
  </si>
  <si>
    <t>Check: OCF – reported (= 0)</t>
  </si>
  <si>
    <t>Investing activities</t>
  </si>
  <si>
    <t xml:space="preserve">  Purchases of property &amp; equipment</t>
  </si>
  <si>
    <t>2Q26 $219m; capex trending up</t>
  </si>
  <si>
    <t xml:space="preserve">  Acquisitions</t>
  </si>
  <si>
    <t>None announced for 3Q26</t>
  </si>
  <si>
    <t xml:space="preserve">  Purchases of investments</t>
  </si>
  <si>
    <t xml:space="preserve">  Maturities/sales of investments</t>
  </si>
  <si>
    <t xml:space="preserve">  Other investing activities</t>
  </si>
  <si>
    <t>Cash from investing activities</t>
  </si>
  <si>
    <t>Financing activities</t>
  </si>
  <si>
    <t xml:space="preserve">  Proceeds from issuance of debt</t>
  </si>
  <si>
    <t>$1bn 5.25% senior notes due 2036 issued 22-Jul-2026 (8-K)</t>
  </si>
  <si>
    <t xml:space="preserve">  Repayments of debt</t>
  </si>
  <si>
    <t>4.375% 2026 notes mature Nov-2026 (4Q26)</t>
  </si>
  <si>
    <t xml:space="preserve">  Issuance of common stock</t>
  </si>
  <si>
    <t>2Q26 $60m</t>
  </si>
  <si>
    <t xml:space="preserve">  Repurchases of common stock</t>
  </si>
  <si>
    <t>3Q26E links the Share Count buyback assumption</t>
  </si>
  <si>
    <t xml:space="preserve">  Taxes paid on net share settlement</t>
  </si>
  <si>
    <t xml:space="preserve">  Other financing activities</t>
  </si>
  <si>
    <t>Cash from financing activities</t>
  </si>
  <si>
    <t>FX effect on cash</t>
  </si>
  <si>
    <t>Net change in cash (incl. restricted)</t>
  </si>
  <si>
    <t>Cash incl. restricted — beginning</t>
  </si>
  <si>
    <t>Cash incl. restricted — ending</t>
  </si>
  <si>
    <t>Check: CF cash – BS cash (= 0)</t>
  </si>
  <si>
    <t>3Q26E = 0 by construction (Balance Sheet cash I10 is derived from CF ending cash): identity, not an independent test; historical columns test reported balances</t>
  </si>
  <si>
    <t>Check: Δcash CF – Δcash BS (= 0)</t>
  </si>
  <si>
    <t>3Q26E = 0 by construction (same cash linkage): identity, not an independent test</t>
  </si>
  <si>
    <t>Free cash flow (issuer definition: operating cash flow – purchases of property and equipment)</t>
  </si>
  <si>
    <t>Free cash flow</t>
  </si>
  <si>
    <t xml:space="preserve">  FCF margin %</t>
  </si>
  <si>
    <t>Capital expenditures (positive)</t>
  </si>
  <si>
    <t xml:space="preserve">  Memo: prior-year additions to content assets</t>
  </si>
  <si>
    <t xml:space="preserve">  Memo: prior-year purchases of property &amp; equipment</t>
  </si>
  <si>
    <t xml:space="preserve">  Memo: prior-year dcl</t>
  </si>
  <si>
    <t xml:space="preserve">  Memo: prior-year da</t>
  </si>
  <si>
    <t xml:space="preserve">  Memo: prior-year sbc</t>
  </si>
  <si>
    <t xml:space="preserve">  Memo: prior-year fxd</t>
  </si>
  <si>
    <t xml:space="preserve">  Memo: prior-year onc</t>
  </si>
  <si>
    <t xml:space="preserve">  Memo: prior-year dtax</t>
  </si>
  <si>
    <t xml:space="preserve">  Memo: prior-year chg. oca</t>
  </si>
  <si>
    <t xml:space="preserve">  Memo: prior-year chg. ap</t>
  </si>
  <si>
    <t xml:space="preserve">  Memo: prior-year chg. acc</t>
  </si>
  <si>
    <t xml:space="preserve">  Memo: prior-year chg. dr</t>
  </si>
  <si>
    <t xml:space="preserve">  Memo: prior-year chg. oncal</t>
  </si>
  <si>
    <t xml:space="preserve">  Memo: prior-year operating cash flow</t>
  </si>
  <si>
    <t xml:space="preserve">  Memo: prior-year stock issuance</t>
  </si>
  <si>
    <t xml:space="preserve">  Memo: prior-year repurchases</t>
  </si>
  <si>
    <t xml:space="preserve">  Memo: prior-year net-share-settlement taxes</t>
  </si>
  <si>
    <t xml:space="preserve">  Memo: prior-year acquisitions</t>
  </si>
  <si>
    <t xml:space="preserve">  Memo: prior-year investment purchases</t>
  </si>
  <si>
    <t xml:space="preserve">  Memo: prior-year investment maturities</t>
  </si>
  <si>
    <t xml:space="preserve">  Memo: prior-year other investing</t>
  </si>
  <si>
    <t xml:space="preserve">  Memo: prior-year debt issuance</t>
  </si>
  <si>
    <t xml:space="preserve">  Memo: prior-year debt repayments</t>
  </si>
  <si>
    <t xml:space="preserve">  Memo: prior-year other financing</t>
  </si>
  <si>
    <t xml:space="preserve">  Memo: prior-year FX effect on cash</t>
  </si>
  <si>
    <t xml:space="preserve">  Memo: OCF as reported</t>
  </si>
  <si>
    <t>Revenue by geography (four regions disclosed)</t>
  </si>
  <si>
    <t>Regional revenue build — reported, constant currency and hedging (issuer non-GAAP reconciliation)</t>
  </si>
  <si>
    <t>United States &amp; Canada (UCAN)</t>
  </si>
  <si>
    <t>UCAN revenue (reported)</t>
  </si>
  <si>
    <t>FY25A = 1H25A + 3Q25A + 4Q25A; 3Q26E = prior-year revenue × (1 + constant-currency growth) × (1 + FX impact)</t>
  </si>
  <si>
    <t>3Q25A Q/Q uses 2Q25A (prior-year memo in 2Q26A column)</t>
  </si>
  <si>
    <t xml:space="preserve">    Change in mix Y/Y (bp)</t>
  </si>
  <si>
    <t xml:space="preserve">  of which: United States (rounded)</t>
  </si>
  <si>
    <t>Issuer discloses total U.S. revenue only rounded to $0.1bn; 4Q25 = FY25 – 9M25; 3Q26E not forecast separately (n/a)</t>
  </si>
  <si>
    <t>Indicative only: computed from U.S. revenue rounded to $0.1bn (±$50m per figure); growth affected by rounding</t>
  </si>
  <si>
    <t xml:space="preserve">    Total Y/Y growth (reported)</t>
  </si>
  <si>
    <t>Indicative only: rounded U.S. revenue (see row 19)</t>
  </si>
  <si>
    <t>U.S. revenue is USD-denominated: no translation effect by construction (UCAN hedging effects are immaterial and not split by country)</t>
  </si>
  <si>
    <t>Not disclosed: unavailable, not zero</t>
  </si>
  <si>
    <t>Requires M&amp;A impact (not disclosed): unavailable</t>
  </si>
  <si>
    <t xml:space="preserve">    Prior-year U.S. revenue (memo)</t>
  </si>
  <si>
    <t xml:space="preserve">    Memo: U.S. revenue, nine months YTD</t>
  </si>
  <si>
    <t xml:space="preserve">    Memo: prior-year nine months YTD</t>
  </si>
  <si>
    <t xml:space="preserve">  of which: Canada (UCAN – U.S.)</t>
  </si>
  <si>
    <t>Derived remainder; precision limited by rounded U.S. disclosure</t>
  </si>
  <si>
    <t>Indicative only, not meaningful: Canada = UCAN – rounded U.S. revenue; ±$50m rounding per U.S. figure (e.g., 4Q25 Y/Y could be ~+6% to +83%)</t>
  </si>
  <si>
    <t>Indicative only: derived from rounded U.S. revenue</t>
  </si>
  <si>
    <t>Indicative only (see row 29)</t>
  </si>
  <si>
    <t>CAD translation effect not disclosed separately: unavailable</t>
  </si>
  <si>
    <t>Not disclosed: unavailable</t>
  </si>
  <si>
    <t>Requires FX and M&amp;A impacts (not disclosed): unavailable</t>
  </si>
  <si>
    <t>1H24 = Q1-24 + Q2-24 as reported in the Q1-25/Q2-25 prior-year columns; FY24 = 1H24 + 3Q24 + 4Q24</t>
  </si>
  <si>
    <t xml:space="preserve">  Constant-currency adjustment</t>
  </si>
  <si>
    <t>3Q26E: combined FX + hedging adjustment implied by the assumptions (hedging not separately forecast). 1H25/FY25 constant-currency reconciliation not disclosed on a quarterly-summable basis: unavailable</t>
  </si>
  <si>
    <t xml:space="preserve">  Hedging (gains) losses in revenue</t>
  </si>
  <si>
    <t>3Q26E: included in the constant-currency adjustment row above (not separately forecast)</t>
  </si>
  <si>
    <t xml:space="preserve">  Prior-year hedging (memo)</t>
  </si>
  <si>
    <t xml:space="preserve">  Prior-year revenue less hedging</t>
  </si>
  <si>
    <t xml:space="preserve">  Growth decomposition</t>
  </si>
  <si>
    <t xml:space="preserve">    FX impact incl. hedging</t>
  </si>
  <si>
    <t>Derived: (1+reported Y/Y)/(1+constant-currency Y/Y)-1; 1H25/FY25 unavailable (no summable constant-currency data)</t>
  </si>
  <si>
    <t xml:space="preserve">      Change vs prior quarter (bp)</t>
  </si>
  <si>
    <t>Not disclosed by issuer (InterPositive acquisition 1Q26 not quantified in revenue): unavailable, not zero</t>
  </si>
  <si>
    <t xml:space="preserve">    Constant-currency growth</t>
  </si>
  <si>
    <t>Issuer non-GAAP F/X neutral growth = constant-currency revenue / prior-year revenue less hedging - 1</t>
  </si>
  <si>
    <t>Organic = (1+Y/Y)/((1+M&amp;A)×(1+FX))-1 requires M&amp;A impact, which is not disclosed: unavailable</t>
  </si>
  <si>
    <t xml:space="preserve">  Forecast drivers (3Q26E)</t>
  </si>
  <si>
    <t xml:space="preserve">    Const.-currency growth (assump.)</t>
  </si>
  <si>
    <t>UCAN: Q2-26 FX-neutral +10% with only partial-quarter effect of the Mar-26 US price rise; held at 10% given tougher comp (3Q25 +17%) and Apptopia US churn +16.6% Y/Y</t>
  </si>
  <si>
    <t xml:space="preserve">      Change vs 2Q26A (bp)</t>
  </si>
  <si>
    <t xml:space="preserve">    FX impact (assumption)</t>
  </si>
  <si>
    <t>CAD ~2% weaker Y/Y; Canada small share of UCAN; no material hedging</t>
  </si>
  <si>
    <t>Europe, Middle East &amp; Africa (EMEA)</t>
  </si>
  <si>
    <t>EMEA revenue (reported)</t>
  </si>
  <si>
    <t>EMEA: FX-neutral decelerated 15%→12%→11% over 3Q25-2Q26; 9.5% assumed for 3Q26</t>
  </si>
  <si>
    <t>Lapping $113.6m 3Q25 hedging loss adds ~3pt; EUR avg ~1.4% weaker Y/Y offsets ~1pt</t>
  </si>
  <si>
    <t>Latin America (LATAM)</t>
  </si>
  <si>
    <t>LATAM revenue (reported)</t>
  </si>
  <si>
    <t>LATAM: FX-neutral 20%→18%→16%; 14% assumed (Parrot via Bernstein: softer LATAM net adds)</t>
  </si>
  <si>
    <t>BRL and MXN ~5% stronger Y/Y on average, ARS weaker; lapping $26.3m 3Q25 hedge loss</t>
  </si>
  <si>
    <t>Asia-Pacific (APAC)</t>
  </si>
  <si>
    <t>APAC revenue (reported)</t>
  </si>
  <si>
    <t>APAC: FX-neutral 20%→19%→18%; 15% assumed (Japan WBC boost in 1H26 fades); APAC strongest region per Parrot</t>
  </si>
  <si>
    <t>JPY ~6% weaker Y/Y on average despite 31-Jul intervention; KRW/AUD firmer; Q2-26 FX was -1.7pt</t>
  </si>
  <si>
    <t>Total company</t>
  </si>
  <si>
    <t>Total revenue (sum of regions)</t>
  </si>
  <si>
    <t>Q3-26 guidance: +12% reported, +11% F/X neutral (Q2-26 letter)</t>
  </si>
  <si>
    <t>Unavailable: M&amp;A impact not disclosed</t>
  </si>
  <si>
    <t>Check: regions – IS revenue (= 0)</t>
  </si>
  <si>
    <t>3Q26E = 0 by construction (IS revenue links to this regional build): identity, not an independent test; historical columns test reported revenue</t>
  </si>
  <si>
    <t>Share count, buybacks and forecast diluted shares (millions; post 10-for-1 split)</t>
  </si>
  <si>
    <t>Shares outstanding</t>
  </si>
  <si>
    <t>Shares outstanding, beginning</t>
  </si>
  <si>
    <t xml:space="preserve">  Less: shares repurchased</t>
  </si>
  <si>
    <t>1H25 = 9M25 cumulative (D15) – 3Q25; 3Q25 = 1,526,661 pre-split × 10; 4Q25 = FY25 – 9M25 cumulative repurchases; FY25 = 1H25 + 3Q25 + 4Q25 (= E15); 3Q26E = buyback $ / assumed average price</t>
  </si>
  <si>
    <t>Prior-year quarterly repurchased share counts not held in the model (history n/a); 3Q26E vs 3Q25A</t>
  </si>
  <si>
    <t xml:space="preserve">    Q/Q change (m)</t>
  </si>
  <si>
    <t xml:space="preserve">  Plus: shares issued (net)</t>
  </si>
  <si>
    <t>History derived (end – beginning + repurchased); 3Q26E assumption ~2m (1H26 exercised 7.8m options)</t>
  </si>
  <si>
    <t xml:space="preserve">  Memo: cumulative shares repurchased YTD</t>
  </si>
  <si>
    <t>Split-adjusted (10-for-1, Nov-2025)</t>
  </si>
  <si>
    <t xml:space="preserve">    Y/Y change (m)</t>
  </si>
  <si>
    <t>3Q25A issued shares not derivable (30-Jun-25 share count not held): change shown as n/a where unavailable</t>
  </si>
  <si>
    <t>Shares outstanding, end</t>
  </si>
  <si>
    <t xml:space="preserve">  Memo: treasury shares held</t>
  </si>
  <si>
    <t>Buybacks</t>
  </si>
  <si>
    <t>Repurchases ($m)</t>
  </si>
  <si>
    <t>3Q26E assumption: $3.0bn (Q2-26 $4.7bn record; $27.1bn authorization left; $1bn new notes; Q3 FCF ~$3bn)</t>
  </si>
  <si>
    <t>Avg. repurchase price ($/sh)</t>
  </si>
  <si>
    <t>3Q26E assumption: ~$74 average 3Q26 share price (Jul-16 close $74.35, Aug-24 ~$80, Sep-30 close $69.58)</t>
  </si>
  <si>
    <t>Prior-year average buyback prices not held (history n/a); 3Q26E vs 3Q25A</t>
  </si>
  <si>
    <t>Stock issuance proceeds ($m)</t>
  </si>
  <si>
    <t>Weighted-average shares (EPS denominators)</t>
  </si>
  <si>
    <t>Wtd. avg. shares — basic</t>
  </si>
  <si>
    <t>FY25A is the reported annual weighted average (an average, not a sum of quarters)</t>
  </si>
  <si>
    <t>Prior-year basic shares from the Income Statement prior-year memo; 3Q26E vs 3Q25A</t>
  </si>
  <si>
    <t>Dilutive effect of stock awards</t>
  </si>
  <si>
    <t>3Q26E = treasury-method option dilution (memo below) + RSU/tranche add-on assumption</t>
  </si>
  <si>
    <t xml:space="preserve">  Y/Y change (m)</t>
  </si>
  <si>
    <t>Prior-year dilution = prior-year diluted – basic shares (Income Statement memo)</t>
  </si>
  <si>
    <t>Wtd. avg. shares — diluted</t>
  </si>
  <si>
    <t xml:space="preserve">  Buyback/issuance timing factor</t>
  </si>
  <si>
    <t>Assumes ratable execution through the quarter</t>
  </si>
  <si>
    <t>Forecast EPS share count</t>
  </si>
  <si>
    <t>Diluted shares behind 3Q26E EPS</t>
  </si>
  <si>
    <t xml:space="preserve">  Memo: options outstanding (m)</t>
  </si>
  <si>
    <t xml:space="preserve">  Memo: avg. exercise price ($)</t>
  </si>
  <si>
    <t xml:space="preserve">  Memo: treasury-method dilution (m)</t>
  </si>
  <si>
    <t xml:space="preserve">  RSU / tranche add-on (assumption, m)</t>
  </si>
  <si>
    <t>Judgmental add-on, retained (not recalibrated): sets 3Q26E dilution ≈ 63.0m (I46 + 4.75m). At $89.06 (G26), G44×(1−G45/G26) ≈ 69.35m vs 72.0m 2Q26 actual (G35) → ~2.65m residual; prior '~67m' calibration does not reproduce. Unresolved; 2.65m add-on → EPS $0.8272 (+$0.0004)</t>
  </si>
  <si>
    <t>Company guidance log (issuer forecasts in shareholder letters)</t>
  </si>
  <si>
    <t>Guidance given (issuer "actual internal forecast"; single-point unless a range is stated)</t>
  </si>
  <si>
    <t>Metric</t>
  </si>
  <si>
    <t>Date given</t>
  </si>
  <si>
    <t>Low</t>
  </si>
  <si>
    <t>High</t>
  </si>
  <si>
    <t>Midpoint</t>
  </si>
  <si>
    <t>Actual</t>
  </si>
  <si>
    <t>Actual – midpoint</t>
  </si>
  <si>
    <t>Beat / miss  ·  source</t>
  </si>
  <si>
    <t>Revenue</t>
  </si>
  <si>
    <t>2025-07-17</t>
  </si>
  <si>
    <t>3Q25</t>
  </si>
  <si>
    <t>Miss  ·  S5</t>
  </si>
  <si>
    <t>Operating margin (variance in bp)</t>
  </si>
  <si>
    <t>Diluted EPS (split-adj.; $6.87 ÷ 10)</t>
  </si>
  <si>
    <t>2025-10-21</t>
  </si>
  <si>
    <t>4Q25</t>
  </si>
  <si>
    <t>Beat  ·  S4</t>
  </si>
  <si>
    <t>Diluted EPS (split-adj.; $5.45 ÷ 10)</t>
  </si>
  <si>
    <t>FY25</t>
  </si>
  <si>
    <t>2026-01-20</t>
  </si>
  <si>
    <t>1Q26</t>
  </si>
  <si>
    <t>Beat  ·  S3</t>
  </si>
  <si>
    <t>Diluted EPS</t>
  </si>
  <si>
    <t>FY26</t>
  </si>
  <si>
    <t>Pending (reports 20-Oct-2026)  ·  S3</t>
  </si>
  <si>
    <t>Operating margin (1-Jan-26 F/X)</t>
  </si>
  <si>
    <t>2026-04-16</t>
  </si>
  <si>
    <t>2Q26</t>
  </si>
  <si>
    <t>Miss  ·  S2</t>
  </si>
  <si>
    <t>Beat  ·  S2</t>
  </si>
  <si>
    <t>Revenue (reiterated)</t>
  </si>
  <si>
    <t>Pending (reports 20-Oct-2026)  ·  S2</t>
  </si>
  <si>
    <t>2026-07-16</t>
  </si>
  <si>
    <t>3Q26</t>
  </si>
  <si>
    <t>Pending (reports 20-Oct-2026)  ·  S1</t>
  </si>
  <si>
    <t>Operating margin</t>
  </si>
  <si>
    <t>Revenue (narrowed)</t>
  </si>
  <si>
    <t>Free cash flow (~)</t>
  </si>
  <si>
    <t>Advertising revenue (~)</t>
  </si>
  <si>
    <t>Content amortization growth (~)</t>
  </si>
  <si>
    <t>Track record vs guidance midpoint (four completed quarters, 3Q25–2Q26)</t>
  </si>
  <si>
    <t>Average revenue surprise vs midpoint ($m)</t>
  </si>
  <si>
    <t>Average operating-income surprise vs midpoint ($m)</t>
  </si>
  <si>
    <t>3Q25 includes the unguided $619m Brazil charge; 1Q26 EPS includes the $2.8bn fee</t>
  </si>
  <si>
    <t>Median operating-income surprise vs midpoint ($m)</t>
  </si>
  <si>
    <t>Quarters with EPS above guidance (of 4)</t>
  </si>
  <si>
    <t>3Q26E Shortcut estimate vs EPS guidance midpoint ($)</t>
  </si>
  <si>
    <t>Sources (all published before the 18-Oct-2026 21:34 UTC information cutoff)</t>
  </si>
  <si>
    <t>ID</t>
  </si>
  <si>
    <t>Publication date</t>
  </si>
  <si>
    <t>Publisher</t>
  </si>
  <si>
    <t>URL or file</t>
  </si>
  <si>
    <t>What it feeds</t>
  </si>
  <si>
    <t>S1</t>
  </si>
  <si>
    <t>Netflix, Inc. (SEC 8-K Ex. 99.1)</t>
  </si>
  <si>
    <t>https://www.sec.gov/Archives/edgar/data/1065280/000106528026000211/ex991_q226.htm</t>
  </si>
  <si>
    <t>Q2-26 letter: 2Q26/1Q26/2Q25/1H25 statements, regional constant-currency tables, 3Q26 &amp; FY26 guidance</t>
  </si>
  <si>
    <t>S2</t>
  </si>
  <si>
    <t>https://www.sec.gov/Archives/edgar/data/1065280/000106528026000137/ex991_q126.htm</t>
  </si>
  <si>
    <t>Q1-26 letter: 1Q26 statements, 1Q25 comparatives, 2Q26 guidance, WBD termination fee</t>
  </si>
  <si>
    <t>S3</t>
  </si>
  <si>
    <t>https://www.sec.gov/Archives/edgar/data/1065280/000106528026000033/ex991_q425.htm</t>
  </si>
  <si>
    <t>Q4-25 letter: 4Q25, 3Q25 and FY25 statements, 4Q24/FY24 comparatives, 1Q26 &amp; FY26 guidance, 325M members, ads &gt;$1.5B</t>
  </si>
  <si>
    <t>S4</t>
  </si>
  <si>
    <t>https://www.sec.gov/Archives/edgar/data/1065280/000106528025000404/ex991_q325.htm</t>
  </si>
  <si>
    <t>Q3-25 letter: 30-Sep-25 balance sheet, 3Q24 comparatives, Brazil tax item, 4Q25 &amp; FY25 guidance</t>
  </si>
  <si>
    <t>S5</t>
  </si>
  <si>
    <t>https://www.sec.gov/Archives/edgar/data/1065280/000106528025000322/ex991_q225.htm</t>
  </si>
  <si>
    <t>Q2-25 letter: 3Q25 guidance</t>
  </si>
  <si>
    <t>S6</t>
  </si>
  <si>
    <t>2026-07-17</t>
  </si>
  <si>
    <t>Netflix, Inc. (SEC Form 10-Q)</t>
  </si>
  <si>
    <t>https://www.sec.gov/Archives/edgar/data/1065280/000106528026000212/nflx-20260630.htm</t>
  </si>
  <si>
    <t>1H25 regional revenue, segment note, restricted cash, buybacks, options, shares outstanding</t>
  </si>
  <si>
    <t>S7</t>
  </si>
  <si>
    <t>2026-04-17</t>
  </si>
  <si>
    <t>Netflix, Inc. (SEC Form 10-Q XBRL R1)</t>
  </si>
  <si>
    <t>https://www.sec.gov/Archives/edgar/data/1065280/000106528026000138/R1.htm</t>
  </si>
  <si>
    <t>Shares outstanding 31-Mar-2026</t>
  </si>
  <si>
    <t>S8</t>
  </si>
  <si>
    <t>2025-10-22</t>
  </si>
  <si>
    <t>Netflix, Inc. (SEC Form 10-Q) / StockTitan summary</t>
  </si>
  <si>
    <t>https://www.sec.gov/Archives/edgar/data/1065280/000106528025000406/nflx-20250930.htm</t>
  </si>
  <si>
    <t>Shares outstanding and treasury shares 30-Sep-2025; 3Q25 buyback shares</t>
  </si>
  <si>
    <t>S9</t>
  </si>
  <si>
    <t>2026-01-23</t>
  </si>
  <si>
    <t>Netflix, Inc. (SEC Form 10-K)</t>
  </si>
  <si>
    <t>https://www.sec.gov/Archives/edgar/data/1065280/000106528026000034/nflx-20251231.htm</t>
  </si>
  <si>
    <t>Shares outstanding 31-Dec-2025; membership metrics discontinued</t>
  </si>
  <si>
    <t>S10</t>
  </si>
  <si>
    <t>2026-09-14</t>
  </si>
  <si>
    <t>Netflix, Inc. (IR press release)</t>
  </si>
  <si>
    <t>https://ir.netflix.net/investor-news-and-events/financial-releases/press-release-details/2026/Netflix-to-Announce-Third-Quarter-2026-Financial-Results/default.aspx</t>
  </si>
  <si>
    <t>Report date 20-Oct-2026 ~1:01pm PT (calendar check: target results not yet released)</t>
  </si>
  <si>
    <t>S11</t>
  </si>
  <si>
    <t>2026-07-22</t>
  </si>
  <si>
    <t>Netflix, Inc. (SEC 8-K)</t>
  </si>
  <si>
    <t>https://www.sec.gov/Archives/edgar/data/1065280/000119312526312575/d171951d8k.htm</t>
  </si>
  <si>
    <t>$1bn 5.25% notes due 2036 → interest expense, long-term debt, financing cash flow</t>
  </si>
  <si>
    <t>S12</t>
  </si>
  <si>
    <t>2026-10-14</t>
  </si>
  <si>
    <t>CNBC</t>
  </si>
  <si>
    <t>https://www.cnbc.com/2026/10/14/netflix-layoffs.html</t>
  </si>
  <si>
    <t>~1,000-person layoff memo (post quarter-end); severance assumed 4Q26</t>
  </si>
  <si>
    <t>S13</t>
  </si>
  <si>
    <t>2026-10-15</t>
  </si>
  <si>
    <t>Netflix (About Netflix)</t>
  </si>
  <si>
    <t>https://about.netflix.com/en/news/peter-rice-named-netflix-chief-content-officer</t>
  </si>
  <si>
    <t>Chief content officer change (qualitative)</t>
  </si>
  <si>
    <t>S14</t>
  </si>
  <si>
    <t>2026-03-26</t>
  </si>
  <si>
    <t>Reuters</t>
  </si>
  <si>
    <t>https://www.reuters.com/business/media-telecom/netflix-raises-subscription-prices-across-all-plans-us-2026-03-26/</t>
  </si>
  <si>
    <t>US price list (Revenue summary pricing rows)</t>
  </si>
  <si>
    <t>S15</t>
  </si>
  <si>
    <t>2026-03-27</t>
  </si>
  <si>
    <t>CBS News</t>
  </si>
  <si>
    <t>https://www.cbsnews.com/news/netflix-price-increase-2026-subscription-fees/</t>
  </si>
  <si>
    <t>Prior-year (Jan-2025) US prices</t>
  </si>
  <si>
    <t>S16</t>
  </si>
  <si>
    <t>2026-08-10</t>
  </si>
  <si>
    <t>https://about.netflix.com/news/netflix-gets-closer-closes-2026-us-upfront</t>
  </si>
  <si>
    <t>US upfront closed, ad commitments nearly doubled (supports ads guidance)</t>
  </si>
  <si>
    <t>S17</t>
  </si>
  <si>
    <t>2026-10-13</t>
  </si>
  <si>
    <t>Apptopia</t>
  </si>
  <si>
    <t>https://apptopia.com/en/insights/netflix-us-engagement-got-worse-in-q326/</t>
  </si>
  <si>
    <t>US app churn +16.6% Y/Y in 3Q26 (UCAN growth assumption)</t>
  </si>
  <si>
    <t>S18</t>
  </si>
  <si>
    <t>2026-10-01</t>
  </si>
  <si>
    <t>Hilo Research summary of Bernstein/Parrot</t>
  </si>
  <si>
    <t>https://www.xxquant.com/en/institution/institutional-research/91b893a3cdbdfe1b60fcc18a575f3809</t>
  </si>
  <si>
    <t>~3M 3Q26 net adds, softer UCAN/EMEA/LATAM (directional)</t>
  </si>
  <si>
    <t>S19</t>
  </si>
  <si>
    <t>DataPorium / Fed G.5</t>
  </si>
  <si>
    <t>https://dataporium.tech/articles/us-dollar-q3-2026-yen-intervention-currencies</t>
  </si>
  <si>
    <t>Broad dollar flat in 3Q26; yen +3.3%, MXN -3.5% (FX assumptions)</t>
  </si>
  <si>
    <t>S20</t>
  </si>
  <si>
    <t>St. Louis Fed ALFRED G.5</t>
  </si>
  <si>
    <t>https://alfred.stlouisfed.org/release?rd=2026-10-01&amp;rid=15</t>
  </si>
  <si>
    <t>Sep-2026 monthly average FX (EUR 1.1505, JPY 156.4, BRL 5.14, MXN 17.27)</t>
  </si>
  <si>
    <t>S21</t>
  </si>
  <si>
    <t>2026-10-16</t>
  </si>
  <si>
    <t>StatMuse Money</t>
  </si>
  <si>
    <t>https://www.statmuse.com/money/ask/netflix-market-cap-2026</t>
  </si>
  <si>
    <t>Market cap $293.7bn on 16-Oct-2026 (4.164bn shares × $70.53) → size bucket</t>
  </si>
  <si>
    <t>S22</t>
  </si>
  <si>
    <t>2026-10-08</t>
  </si>
  <si>
    <t>WhichIndex (S&amp;P 500 constituents)</t>
  </si>
  <si>
    <t>https://whichindex.com/companies/netflix/</t>
  </si>
  <si>
    <t>S&amp;P 500 membership (weight 0.44%, 8-Oct-2026)</t>
  </si>
  <si>
    <t>S23</t>
  </si>
  <si>
    <t>Zacks via Yahoo Finance</t>
  </si>
  <si>
    <t>https://finance.yahoo.com/markets/stocks/articles/ahead-netflix-nflx-q3-earnings-121516048.html</t>
  </si>
  <si>
    <t>Newer consensus record: EPS $0.82, revenue $12.87bn, -0.7% 30-day EPS revision</t>
  </si>
  <si>
    <t>S24</t>
  </si>
  <si>
    <t>Pepperstone</t>
  </si>
  <si>
    <t>https://pepperstone.com/en/insights/market-analysis/equities/netflix-q3-earnings-preview-can-ad-growth-take-the-baton-and-fuel-the-next-leg-higher</t>
  </si>
  <si>
    <t>Newer consensus record: EPS $0.831, revenue $12.876bn</t>
  </si>
  <si>
    <t>S25</t>
  </si>
  <si>
    <t>https://www.reuters.com/business/media-telecom/netflix-third-quarter-earnings-forecast-falls-shy-wall-street-expectations-2026-07-16/</t>
  </si>
  <si>
    <t>3Q26 guidance below then-consensus ($13.0bn / $0.84)</t>
  </si>
  <si>
    <t>S26</t>
  </si>
  <si>
    <t>2026-10-18</t>
  </si>
  <si>
    <t>S&amp;P Capital IQ (attached file)</t>
  </si>
  <si>
    <t>NFLX_consensus.json</t>
  </si>
  <si>
    <t>Frozen consensus (EPS 0.82, revenue 12,875.31, NI, EBIT), n_est, guidance fields → Inputs, Cover</t>
  </si>
  <si>
    <t>S27</t>
  </si>
  <si>
    <t>NFLX_history.csv</t>
  </si>
  <si>
    <t>Six-quarter actual vs consensus history → Inputs, beat-rate calibration, normalized-EPS check</t>
  </si>
  <si>
    <t>Tab coverage notes</t>
  </si>
  <si>
    <t>Segment tabs omitted: Netflix operates as one operating segment (Form 10-Q for the quarter ended 30-Jun-2026, Note 12); drivers are on Revenue summary.</t>
  </si>
  <si>
    <t>Geo tab included: four regions (UCAN, EMEA, LATAM, APAC) disclosed in the 10-Q revenue note and shareholder-letter constant-currency tables.</t>
  </si>
  <si>
    <t>Membership ladder, ARM and quarterly ad revenue are not disclosed (discontinued 2025 per FY25 Form 10-K): shown as n/d, never zero.</t>
  </si>
  <si>
    <t>Web sources retrieved 19-Oct-2026 (UTC), after the 18-Oct-2026 21:34:46 UTC cutoff — a documented limitation, not leakage: column C is the publication date (all on or before 18-Oct-2026), not the retrieval date; no frozen page snapshots exist. Post-cutoff items (e.g., 19-Oct prediction-market odds) excluded.</t>
  </si>
  <si>
    <t>Target-quarter (3Q26) actual results were not seen: Netflix reports on 20-Oct-2026 (S10).</t>
  </si>
  <si>
    <t>Column 1H25A is a memo period (six months to 30-Jun-2025) used only so FY25A flow rows reconcile to quarters (FY25A = 1H25A + 3Q25A + 4Q25A).</t>
  </si>
  <si>
    <t>Inputs — attached S&amp;P Capital IQ files (raw, unedited)</t>
  </si>
  <si>
    <t>A. CapIQ summary row (NFLX_consensus.json → summary_row), all fields, blanks preserved</t>
  </si>
  <si>
    <t>Field</t>
  </si>
  <si>
    <t>Raw value</t>
  </si>
  <si>
    <t>ticker</t>
  </si>
  <si>
    <t>NFLX</t>
  </si>
  <si>
    <t>company_name</t>
  </si>
  <si>
    <t>exchange_ticker</t>
  </si>
  <si>
    <t>NasdaqGS:NFLX</t>
  </si>
  <si>
    <t>capiq_company_id</t>
  </si>
  <si>
    <t>32012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</si>
  <si>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</si>
  <si>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</si>
  <si>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</si>
  <si>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</si>
  <si>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</si>
  <si>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</si>
  <si>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</si>
  <si>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2026-09-30</t>
  </si>
  <si>
    <t>expected_report_date</t>
  </si>
  <si>
    <t>2026-10-20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</si>
  <si>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</si>
  <si>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</si>
  <si>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</si>
  <si>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</si>
  <si>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</si>
  <si>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</si>
  <si>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</si>
  <si>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</si>
  <si>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</si>
  <si>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</si>
  <si>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</si>
  <si>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</si>
  <si>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</si>
  <si>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</si>
  <si>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</si>
  <si>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</si>
  <si>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</si>
  <si>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</si>
  <si>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</si>
  <si>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</si>
  <si>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</si>
  <si>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</si>
  <si>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</si>
  <si>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</si>
  <si>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</si>
  <si>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</si>
  <si>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</si>
  <si>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</si>
  <si>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</si>
  <si>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</si>
  <si>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</si>
  <si>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</si>
  <si>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</si>
  <si>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Provider (CapIQ) EBITDA consensus, recorded only. Issuer-defined EBITDA: not applicable / not reported by Netflix (non-GAAP measures: F/X-neutral revenue, adj. operating profit/margin, FCF, net debt; S1–S3)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</si>
  <si>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</si>
  <si>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</si>
  <si>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</si>
  <si>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</si>
  <si>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</si>
  <si>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</si>
  <si>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</si>
  <si>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</si>
  <si>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</si>
  <si>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</si>
  <si>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</si>
  <si>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</si>
  <si>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</si>
  <si>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</si>
  <si>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</si>
  <si>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</si>
  <si>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</si>
  <si>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</si>
  <si>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</si>
  <si>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</si>
  <si>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</si>
  <si>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</si>
  <si>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</si>
  <si>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</si>
  <si>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</si>
  <si>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</si>
  <si>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124.86/65.08</t>
  </si>
  <si>
    <t>estimates_captured_at</t>
  </si>
  <si>
    <t>notes</t>
  </si>
  <si>
    <t>per-share figures are post-split; EPS and price are on the current split-adjusted basis</t>
  </si>
  <si>
    <t>B. CapIQ history (NFLX_history.csv), all six rows, raw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</si>
  <si>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</si>
  <si>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</si>
  <si>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</si>
  <si>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</si>
  <si>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</si>
  <si>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</si>
  <si>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</si>
  <si>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</si>
  <si>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2025-03-31</t>
  </si>
  <si>
    <t>2025-04-17</t>
  </si>
  <si>
    <t>2025-06-30</t>
  </si>
  <si>
    <t>2025-09-30</t>
  </si>
  <si>
    <t>2025-12-31</t>
  </si>
  <si>
    <t>2026-03-31</t>
  </si>
  <si>
    <t>2026-06-30</t>
  </si>
  <si>
    <t>C. Consensus file top-level fields (NFLX_consensus.json)</t>
  </si>
  <si>
    <t>source</t>
  </si>
  <si>
    <t>S&amp;P Capital IQ</t>
  </si>
  <si>
    <t>company</t>
  </si>
  <si>
    <t>fiscal_period</t>
  </si>
  <si>
    <t>as_of_date</t>
  </si>
  <si>
    <t>analyst_count</t>
  </si>
  <si>
    <t>consensus_eps</t>
  </si>
  <si>
    <t>Normalized diluted EPS per ordinary/common share, USD; verify issuer adjustments and share identity</t>
  </si>
  <si>
    <t>consensus_revenue_m</t>
  </si>
  <si>
    <t>currency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</si>
  <si>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</si>
  <si>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</si>
  <si>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</si>
  <si>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</si>
  <si>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</si>
  <si>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</si>
  <si>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</si>
  <si>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</si>
  <si>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</si>
  <si>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</si>
  <si>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</si>
  <si>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</si>
  <si>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</si>
  <si>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D. Input file evidence</t>
  </si>
  <si>
    <t>NFLX_history.csv SHA256</t>
  </si>
  <si>
    <t>d8a563e3128ad189cd29e439fe5890dd21c379c5da51cf87e32093500ed20d68</t>
  </si>
  <si>
    <t>NFLX_consensus.json SHA256</t>
  </si>
  <si>
    <t>db1cdcc9b826feb4c5946fad3f9ab4dfe643c76e4a17ec1ff61610989184e395</t>
  </si>
  <si>
    <t>NFLX_history.csv rows × columns</t>
  </si>
  <si>
    <t>6 data rows × 8 columns</t>
  </si>
  <si>
    <t>Target-quarter (3Q26) actuals present in inputs?</t>
  </si>
  <si>
    <t>No — history ends 2026-06-30; target actuals 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</si>
</sst>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861" formatCode="0.0%_);(0.0%);–_)"/>
    <numFmt numFmtId="5862" formatCode="#,##0.0_);(#,##0.0);–_)"/>
    <numFmt numFmtId="5863" formatCode="$0.00"/>
    <numFmt numFmtId="5866" formatCode="yyyy-mm-dd"/>
    <numFmt numFmtId="5869" formatCode="0.0%"/>
    <numFmt numFmtId="5883" formatCode="#,##0_);(#,##0);–_)"/>
    <numFmt numFmtId="5896" formatCode="0.0x"/>
    <numFmt numFmtId="5961" formatCode="$0.00_);($0.00)"/>
    <numFmt numFmtId="5968" formatCode="&quot;≥&quot;0.0%_);(0.0%);–_)"/>
    <numFmt numFmtId="5969" formatCode="&quot;≥&quot;#,##0.0_);(#,##0.0);–_)"/>
  </numFmts>
  <fonts count="17">
    <font>
      <b val="0"/>
      <i val="0"/>
      <sz val="11"/>
      <color auto="1"/>
      <name val="Calibri"/>
    </font>
    <font>
      <b val="0"/>
      <i val="0"/>
      <sz val="10"/>
      <color rgb="FF000000"/>
      <name val="Arial"/>
    </font>
    <font>
      <b/>
      <i val="0"/>
      <sz val="10"/>
      <color rgb="FF000000"/>
      <name val="Arial"/>
    </font>
    <font>
      <b val="0"/>
      <i val="0"/>
      <sz val="10"/>
      <color rgb="FF006100"/>
      <name val="Arial"/>
    </font>
    <font>
      <b val="0"/>
      <i/>
      <sz val="10"/>
      <color rgb="FF000000"/>
      <name val="Arial"/>
    </font>
    <font>
      <b/>
      <i val="0"/>
      <sz val="10"/>
      <color rgb="FF006100"/>
      <name val="Arial"/>
    </font>
    <font>
      <b val="0"/>
      <i/>
      <sz val="10"/>
      <color rgb="FF595959"/>
      <name val="Arial"/>
    </font>
    <font>
      <b val="0"/>
      <i val="0"/>
      <sz val="10"/>
      <color rgb="FF0000FF"/>
      <name val="Arial"/>
    </font>
    <font>
      <b/>
      <i/>
      <sz val="10"/>
      <color rgb="FF000000"/>
      <name val="Arial"/>
    </font>
    <font>
      <b/>
      <i val="0"/>
      <sz val="14"/>
      <color rgb="FF000000"/>
      <name val="Arial"/>
    </font>
    <font>
      <b/>
      <i val="0"/>
      <sz val="10"/>
      <color rgb="FF0000FF"/>
      <name val="Arial"/>
    </font>
    <font>
      <b/>
      <i val="0"/>
      <sz val="12"/>
      <color rgb="FF000000"/>
      <name val="Arial"/>
    </font>
    <font>
      <b val="0"/>
      <i/>
      <sz val="10"/>
      <color rgb="FF0000FF"/>
      <name val="Arial"/>
    </font>
    <font>
      <b val="0"/>
      <i val="0"/>
      <sz val="10"/>
      <color auto="1"/>
      <name val="Arial"/>
    </font>
    <font>
      <b val="0"/>
      <i/>
      <sz val="10"/>
      <color rgb="FF006100"/>
      <name val="Arial"/>
    </font>
    <font>
      <b val="0"/>
      <i/>
      <sz val="11"/>
      <color rgb="FF595959"/>
      <name val="Calibri"/>
    </font>
    <font>
      <b val="0"/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AF1FB"/>
      </patternFill>
    </fill>
  </fills>
  <borders count="9">
    <border>
      <left/>
      <right/>
      <top/>
      <bottom/>
    </border>
    <border>
      <left/>
      <right/>
      <top/>
      <bottom/>
      <diagonal/>
    </border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1"/>
  </cellStyleXfs>
  <cellXfs count="89">
    <xf numFmtId="0" fontId="0" fillId="0" borderId="1" xfId="0"/>
    <xf numFmtId="0" fontId="9" fillId="0" borderId="1" xfId="0"/>
    <xf numFmtId="0" fontId="11" fillId="0" borderId="1" xfId="0"/>
    <xf numFmtId="0" fontId="2" fillId="0" borderId="1" xfId="0"/>
    <xf numFmtId="0" fontId="4" fillId="0" borderId="1" xfId="0"/>
    <xf numFmtId="0" fontId="2" fillId="2" borderId="6" xfId="0"/>
    <xf numFmtId="0" fontId="2" fillId="2" borderId="6" xfId="0">
      <alignment horizontal="left" vertical="bottom"/>
    </xf>
    <xf numFmtId="0" fontId="2" fillId="2" borderId="6" xfId="0">
      <alignment horizontal="right" vertical="bottom"/>
    </xf>
    <xf numFmtId="0" fontId="1" fillId="0" borderId="1" xfId="0">
      <alignment horizontal="right" vertical="bottom"/>
    </xf>
    <xf numFmtId="0" fontId="1" fillId="0" borderId="1" xfId="0"/>
    <xf numFmtId="0" fontId="2" fillId="0" borderId="7" xfId="0"/>
    <xf numFmtId="0" fontId="1" fillId="0" borderId="7" xfId="0">
      <alignment horizontal="right" vertical="bottom"/>
    </xf>
    <xf numFmtId="0" fontId="1" fillId="0" borderId="7" xfId="0"/>
    <xf numFmtId="0" fontId="2" fillId="2" borderId="8" xfId="0">
      <alignment horizontal="left" vertical="bottom" wrapText="1"/>
    </xf>
    <xf numFmtId="0" fontId="2" fillId="2" borderId="8" xfId="0">
      <alignment horizontal="right" vertical="bottom" wrapText="1"/>
    </xf>
    <xf numFmtId="5862" fontId="3" fillId="0" borderId="1" xfId="0">
      <alignment horizontal="right" vertical="bottom"/>
    </xf>
    <xf numFmtId="5862" fontId="1" fillId="0" borderId="1" xfId="0">
      <alignment horizontal="right" vertical="bottom"/>
    </xf>
    <xf numFmtId="5861" fontId="4" fillId="0" borderId="1" xfId="0">
      <alignment horizontal="right" vertical="bottom"/>
    </xf>
    <xf numFmtId="1" fontId="3" fillId="0" borderId="1" xfId="0">
      <alignment horizontal="right" vertical="bottom"/>
    </xf>
    <xf numFmtId="0" fontId="6" fillId="0" borderId="1" xfId="0">
      <alignment vertical="bottom" wrapText="1"/>
    </xf>
    <xf numFmtId="5961" fontId="5" fillId="0" borderId="1" xfId="0">
      <alignment horizontal="right" vertical="bottom"/>
    </xf>
    <xf numFmtId="5961" fontId="3" fillId="0" borderId="1" xfId="0">
      <alignment horizontal="right" vertical="bottom"/>
    </xf>
    <xf numFmtId="5961" fontId="1" fillId="0" borderId="1" xfId="0">
      <alignment horizontal="right" vertical="bottom"/>
    </xf>
    <xf numFmtId="0" fontId="5" fillId="0" borderId="1" xfId="0">
      <alignment horizontal="right" vertical="bottom"/>
    </xf>
    <xf numFmtId="5869" fontId="8" fillId="0" borderId="1" xfId="0">
      <alignment horizontal="right" vertical="bottom"/>
    </xf>
    <xf numFmtId="0" fontId="10" fillId="0" borderId="1" xfId="0">
      <alignment horizontal="right" vertical="bottom"/>
    </xf>
    <xf numFmtId="5862" fontId="7" fillId="0" borderId="1" xfId="0">
      <alignment horizontal="right" vertical="bottom"/>
    </xf>
    <xf numFmtId="49" fontId="1" fillId="0" borderId="1" xfId="0">
      <alignment horizontal="right" vertical="bottom"/>
    </xf>
    <xf numFmtId="0" fontId="6" fillId="0" borderId="1" xfId="0"/>
    <xf numFmtId="5861" fontId="12" fillId="0" borderId="1" xfId="0">
      <alignment horizontal="right" vertical="bottom"/>
    </xf>
    <xf numFmtId="1" fontId="7" fillId="0" borderId="1" xfId="0">
      <alignment horizontal="right" vertical="bottom"/>
    </xf>
    <xf numFmtId="5961" fontId="7" fillId="0" borderId="1" xfId="0">
      <alignment horizontal="right" vertical="bottom"/>
    </xf>
    <xf numFmtId="0" fontId="13" fillId="0" borderId="1" xfId="0"/>
    <xf numFmtId="0" fontId="2" fillId="2" borderId="1" xfId="0"/>
    <xf numFmtId="5866" fontId="1" fillId="2" borderId="1" xfId="0">
      <alignment horizontal="right" vertical="bottom"/>
    </xf>
    <xf numFmtId="0" fontId="1" fillId="2" borderId="1" xfId="0"/>
    <xf numFmtId="0" fontId="2" fillId="2" borderId="7" xfId="0"/>
    <xf numFmtId="1" fontId="1" fillId="2" borderId="7" xfId="0">
      <alignment horizontal="right" vertical="bottom"/>
    </xf>
    <xf numFmtId="0" fontId="1" fillId="2" borderId="7" xfId="0"/>
    <xf numFmtId="0" fontId="1" fillId="3" borderId="1" xfId="0"/>
    <xf numFmtId="5862" fontId="5" fillId="0" borderId="6" xfId="0">
      <alignment horizontal="right" vertical="bottom"/>
    </xf>
    <xf numFmtId="5862" fontId="5" fillId="3" borderId="6" xfId="0">
      <alignment horizontal="right" vertical="bottom"/>
    </xf>
    <xf numFmtId="5862" fontId="3" fillId="3" borderId="1" xfId="0">
      <alignment horizontal="right" vertical="bottom"/>
    </xf>
    <xf numFmtId="5861" fontId="4" fillId="3" borderId="1" xfId="0">
      <alignment horizontal="right" vertical="bottom"/>
    </xf>
    <xf numFmtId="5862" fontId="14" fillId="0" borderId="1" xfId="0">
      <alignment horizontal="right" vertical="bottom"/>
    </xf>
    <xf numFmtId="5862" fontId="4" fillId="0" borderId="1" xfId="0">
      <alignment horizontal="right" vertical="bottom"/>
    </xf>
    <xf numFmtId="5862" fontId="4" fillId="3" borderId="1" xfId="0">
      <alignment horizontal="right" vertical="bottom"/>
    </xf>
    <xf numFmtId="5861" fontId="14" fillId="0" borderId="1" xfId="0">
      <alignment horizontal="right" vertical="bottom"/>
    </xf>
    <xf numFmtId="5862" fontId="2" fillId="0" borderId="1" xfId="0">
      <alignment horizontal="right" vertical="bottom"/>
    </xf>
    <xf numFmtId="5862" fontId="2" fillId="3" borderId="1" xfId="0">
      <alignment horizontal="right" vertical="bottom"/>
    </xf>
    <xf numFmtId="5861" fontId="14" fillId="3" borderId="1" xfId="0">
      <alignment horizontal="right" vertical="bottom"/>
    </xf>
    <xf numFmtId="5883" fontId="4" fillId="0" borderId="1" xfId="0">
      <alignment horizontal="right" vertical="bottom"/>
    </xf>
    <xf numFmtId="5883" fontId="4" fillId="3" borderId="1" xfId="0">
      <alignment horizontal="right" vertical="bottom"/>
    </xf>
    <xf numFmtId="49" fontId="4" fillId="0" borderId="1" xfId="0">
      <alignment horizontal="right" vertical="bottom"/>
    </xf>
    <xf numFmtId="49" fontId="4" fillId="3" borderId="1" xfId="0">
      <alignment horizontal="right" vertical="bottom"/>
    </xf>
    <xf numFmtId="0" fontId="1" fillId="0" borderId="6" xfId="0"/>
    <xf numFmtId="5862" fontId="2" fillId="0" borderId="6" xfId="0">
      <alignment horizontal="right" vertical="bottom"/>
    </xf>
    <xf numFmtId="5862" fontId="2" fillId="3" borderId="6" xfId="0">
      <alignment horizontal="right" vertical="bottom"/>
    </xf>
    <xf numFmtId="49" fontId="1" fillId="3" borderId="1" xfId="0">
      <alignment horizontal="right" vertical="bottom"/>
    </xf>
    <xf numFmtId="5969" fontId="7" fillId="0" borderId="1" xfId="0">
      <alignment horizontal="right" vertical="bottom"/>
    </xf>
    <xf numFmtId="5969" fontId="1" fillId="0" borderId="1" xfId="0">
      <alignment horizontal="right" vertical="bottom"/>
    </xf>
    <xf numFmtId="5862" fontId="1" fillId="3" borderId="1" xfId="0">
      <alignment horizontal="right" vertical="bottom"/>
    </xf>
    <xf numFmtId="5968" fontId="4" fillId="0" borderId="1" xfId="0">
      <alignment horizontal="right" vertical="bottom"/>
    </xf>
    <xf numFmtId="5961" fontId="1" fillId="3" borderId="1" xfId="0">
      <alignment horizontal="right" vertical="bottom"/>
    </xf>
    <xf numFmtId="5961" fontId="4" fillId="0" borderId="1" xfId="0">
      <alignment horizontal="right" vertical="bottom"/>
    </xf>
    <xf numFmtId="5961" fontId="4" fillId="3" borderId="1" xfId="0">
      <alignment horizontal="right" vertical="bottom"/>
    </xf>
    <xf numFmtId="5862" fontId="10" fillId="0" borderId="6" xfId="0">
      <alignment horizontal="right" vertical="bottom"/>
    </xf>
    <xf numFmtId="5862" fontId="7" fillId="3" borderId="1" xfId="0">
      <alignment horizontal="right" vertical="bottom"/>
    </xf>
    <xf numFmtId="5961" fontId="2" fillId="0" borderId="6" xfId="0">
      <alignment horizontal="right" vertical="bottom"/>
    </xf>
    <xf numFmtId="5961" fontId="2" fillId="3" borderId="6" xfId="0">
      <alignment horizontal="right" vertical="bottom"/>
    </xf>
    <xf numFmtId="0" fontId="2" fillId="0" borderId="1" xfId="0">
      <alignment horizontal="right" vertical="bottom"/>
    </xf>
    <xf numFmtId="1" fontId="7" fillId="3" borderId="1" xfId="0">
      <alignment horizontal="right" vertical="bottom"/>
    </xf>
    <xf numFmtId="5861" fontId="12" fillId="3" borderId="1" xfId="0">
      <alignment horizontal="right" vertical="bottom"/>
    </xf>
    <xf numFmtId="5883" fontId="14" fillId="3" borderId="1" xfId="0">
      <alignment horizontal="right" vertical="bottom"/>
    </xf>
    <xf numFmtId="5896" fontId="4" fillId="0" borderId="1" xfId="0">
      <alignment horizontal="right" vertical="bottom"/>
    </xf>
    <xf numFmtId="5896" fontId="4" fillId="3" borderId="1" xfId="0">
      <alignment horizontal="right" vertical="bottom"/>
    </xf>
    <xf numFmtId="5862" fontId="5" fillId="0" borderId="1" xfId="0">
      <alignment horizontal="right" vertical="bottom"/>
    </xf>
    <xf numFmtId="5862" fontId="5" fillId="3" borderId="1" xfId="0">
      <alignment horizontal="right" vertical="bottom"/>
    </xf>
    <xf numFmtId="5862" fontId="10" fillId="0" borderId="1" xfId="0">
      <alignment horizontal="right" vertical="bottom"/>
    </xf>
    <xf numFmtId="5961" fontId="7" fillId="3" borderId="1" xfId="0">
      <alignment horizontal="right" vertical="bottom"/>
    </xf>
    <xf numFmtId="5862" fontId="14" fillId="3" borderId="1" xfId="0">
      <alignment horizontal="right" vertical="bottom"/>
    </xf>
    <xf numFmtId="5862" fontId="6" fillId="0" borderId="1" xfId="0"/>
    <xf numFmtId="5861" fontId="6" fillId="0" borderId="1" xfId="0"/>
    <xf numFmtId="5863" fontId="6" fillId="0" borderId="1" xfId="0"/>
    <xf numFmtId="1" fontId="1" fillId="0" borderId="1" xfId="0">
      <alignment horizontal="right" vertical="bottom"/>
    </xf>
    <xf numFmtId="0" fontId="1" fillId="0" borderId="1" xfId="0">
      <alignment vertical="top"/>
    </xf>
    <xf numFmtId="0" fontId="1" fillId="0" borderId="1" xfId="0">
      <alignment horizontal="right" vertical="top"/>
    </xf>
    <xf numFmtId="0" fontId="1" fillId="0" borderId="1" xfId="0">
      <alignment vertical="top" wrapText="1"/>
    </xf>
    <xf numFmtId="0" fontId="7" fillId="0" borderId="1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theme" Target="theme/theme1.xml"/><Relationship Id="rId1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1</xdr:col>
      <xdr:colOff>590550</xdr:colOff>
      <xdr:row>0</xdr:row>
      <xdr:rowOff>590550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156633" y="19050"/>
          <a:ext cx="571500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BB71728-2B98-7768-6F78-CDEBCEAB3223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style="32" width="2.00390625" customWidth="1"/>
    <col min="2" max="2" style="32" width="32.00390625" customWidth="1"/>
    <col min="3" max="9" style="32" width="12.00390625" customWidth="1"/>
    <col min="10" max="10" style="32" width="60.00390625" customWidth="1"/>
  </cols>
  <sheetData>
    <row r="1" ht="48" customHeight="1">
      <c r="C1" s="1" t="s">
        <v>0</v>
      </c>
    </row>
    <row r="2" ht="15" customHeight="1">
      <c r="B2" s="2" t="s">
        <v>1</v>
      </c>
    </row>
    <row r="3" ht="15" customHeight="1">
      <c r="B3" s="3" t="s">
        <v>2</v>
      </c>
    </row>
    <row r="4" ht="15" customHeight="1">
      <c r="B4" s="4" t="s">
        <v>3</v>
      </c>
    </row>
    <row r="5" ht="15" customHeight="1">
      <c r="B5" s="5" t="s">
        <v>4</v>
      </c>
      <c r="C5" s="6" t="s">
        <v>5</v>
      </c>
      <c r="D5" s="7"/>
      <c r="E5" s="7"/>
      <c r="F5" s="7"/>
      <c r="G5" s="7"/>
      <c r="H5" s="7"/>
      <c r="I5" s="7"/>
      <c r="J5" s="5" t="s">
        <v>6</v>
      </c>
    </row>
    <row r="6" ht="15" customHeight="1">
      <c r="B6" s="3"/>
      <c r="C6" s="8"/>
      <c r="D6" s="8"/>
      <c r="E6" s="8"/>
      <c r="F6" s="8"/>
      <c r="G6" s="8"/>
      <c r="H6" s="8"/>
      <c r="I6" s="8"/>
      <c r="J6" s="9"/>
    </row>
    <row r="7" ht="15" customHeight="1">
      <c r="B7" s="10"/>
      <c r="C7" s="11"/>
      <c r="D7" s="11"/>
      <c r="E7" s="11"/>
      <c r="F7" s="11"/>
      <c r="G7" s="11"/>
      <c r="H7" s="11"/>
      <c r="I7" s="11"/>
      <c r="J7" s="12"/>
    </row>
    <row r="9" ht="15" customHeight="1">
      <c r="B9" s="3" t="s">
        <v>7</v>
      </c>
      <c r="C9" s="9" t="s">
        <v>8</v>
      </c>
    </row>
    <row r="10" ht="15" customHeight="1">
      <c r="B10" s="3" t="s">
        <v>9</v>
      </c>
      <c r="C10" s="9" t="s">
        <v>10</v>
      </c>
    </row>
    <row r="11" ht="15" customHeight="1">
      <c r="B11" s="3" t="s">
        <v>11</v>
      </c>
      <c r="C11" s="9" t="s">
        <v>12</v>
      </c>
    </row>
    <row r="12" ht="15" customHeight="1">
      <c r="B12" s="3" t="s">
        <v>13</v>
      </c>
      <c r="C12" s="9" t="s">
        <v>14</v>
      </c>
    </row>
    <row r="13" ht="15" customHeight="1">
      <c r="B13" s="3" t="s">
        <v>15</v>
      </c>
      <c r="C13" s="9" t="s">
        <v>16</v>
      </c>
    </row>
    <row r="14" ht="15" customHeight="1">
      <c r="B14" s="3" t="s">
        <v>17</v>
      </c>
      <c r="C14" s="9" t="s">
        <v>18</v>
      </c>
    </row>
    <row r="15" ht="15" customHeight="1">
      <c r="B15" s="3" t="s">
        <v>19</v>
      </c>
      <c r="C15" s="9" t="s">
        <v>20</v>
      </c>
    </row>
    <row r="16" ht="15" customHeight="1">
      <c r="B16" s="3" t="s">
        <v>21</v>
      </c>
      <c r="C16" s="9" t="s">
        <v>22</v>
      </c>
    </row>
    <row r="18" ht="41.25" customHeight="1">
      <c r="B18" s="13" t="s">
        <v>23</v>
      </c>
      <c r="C18" s="14" t="s">
        <v>24</v>
      </c>
      <c r="D18" s="14" t="s">
        <v>25</v>
      </c>
      <c r="E18" s="14" t="s">
        <v>26</v>
      </c>
      <c r="F18" s="14" t="s">
        <v>27</v>
      </c>
      <c r="G18" s="14" t="s">
        <v>28</v>
      </c>
      <c r="H18" s="14" t="s">
        <v>29</v>
      </c>
      <c r="I18" s="14" t="s">
        <v>30</v>
      </c>
    </row>
    <row r="19" ht="15" customHeight="1">
      <c r="B19" s="9" t="s">
        <v>31</v>
      </c>
      <c r="C19" s="15">
        <f>'Income Statement'!I10</f>
        <v>12871.38726377</v>
      </c>
      <c r="D19" s="15">
        <f>Inputs!$C$42</f>
        <v>12875.31</v>
      </c>
      <c r="E19" s="16">
        <f t="shared" si="0" ref="E19:E24">C19-D19</f>
        <v>-3.922736229998918</v>
      </c>
      <c r="F19" s="17">
        <f t="shared" si="1" ref="F19:F24">E19/D19</f>
        <v>-0.00030467120636310256</v>
      </c>
      <c r="G19" s="15">
        <f>Guidance!G36</f>
        <v>12860</v>
      </c>
      <c r="H19" s="16">
        <f t="shared" si="2" ref="H19:H24">C19-G19</f>
        <v>11.387263770000573</v>
      </c>
      <c r="I19" s="18">
        <f>Inputs!$C$47</f>
        <v>37</v>
      </c>
    </row>
    <row r="20" ht="15" customHeight="1">
      <c r="B20" s="9" t="s">
        <v>32</v>
      </c>
      <c r="C20" s="15">
        <f>'Income Statement'!I43</f>
        <v>4304.528158770001</v>
      </c>
      <c r="D20" s="15">
        <f>Inputs!$C$52</f>
        <v>4265.41</v>
      </c>
      <c r="E20" s="16">
        <f t="shared" si="0"/>
        <v>39.11815877000117</v>
      </c>
      <c r="F20" s="17">
        <f t="shared" si="1"/>
        <v>0.00917101961358959</v>
      </c>
      <c r="G20" s="15">
        <f>Guidance!G37</f>
        <v>4268</v>
      </c>
      <c r="H20" s="16">
        <f t="shared" si="2"/>
        <v>36.52815877000103</v>
      </c>
    </row>
    <row r="21" ht="54" customHeight="1">
      <c r="B21" s="9" t="s">
        <v>33</v>
      </c>
      <c r="C21" s="15">
        <f>'Income Statement'!I98</f>
        <v>3479.0510125729506</v>
      </c>
      <c r="D21" s="15">
        <f>Inputs!$C$55</f>
        <v>3471.53</v>
      </c>
      <c r="E21" s="16">
        <f t="shared" si="0"/>
        <v>7.52101257295044</v>
      </c>
      <c r="F21" s="17">
        <f t="shared" si="1"/>
        <v>0.0021664835311665</v>
      </c>
      <c r="G21" s="15">
        <f>Guidance!G39</f>
        <v>3452</v>
      </c>
      <c r="H21" s="16">
        <f t="shared" si="2"/>
        <v>27.05101257295064</v>
      </c>
      <c r="J21" s="19" t="s">
        <v>34</v>
      </c>
    </row>
    <row r="22" ht="15" customHeight="1">
      <c r="B22" s="9" t="s">
        <v>35</v>
      </c>
      <c r="C22" s="15">
        <f>'Income Statement'!I62</f>
        <v>3479.0510125729506</v>
      </c>
      <c r="D22" s="15">
        <f>Inputs!$C$56</f>
        <v>3453.74</v>
      </c>
      <c r="E22" s="16">
        <f t="shared" si="0"/>
        <v>25.311012572950858</v>
      </c>
      <c r="F22" s="17">
        <f t="shared" si="1"/>
        <v>0.007328580777056426</v>
      </c>
      <c r="G22" s="15">
        <f>Guidance!G39</f>
        <v>3452</v>
      </c>
      <c r="H22" s="16">
        <f t="shared" si="2"/>
        <v>27.05101257295064</v>
      </c>
    </row>
    <row r="23" ht="15" customHeight="1">
      <c r="B23" s="3" t="s">
        <v>36</v>
      </c>
      <c r="C23" s="20">
        <f>'Income Statement'!I99</f>
        <v>0.8268364630201227</v>
      </c>
      <c r="D23" s="21">
        <f>Inputs!$C$24</f>
        <v>0.82</v>
      </c>
      <c r="E23" s="22">
        <f t="shared" si="0"/>
        <v>0.006836463020122752</v>
      </c>
      <c r="F23" s="17">
        <f t="shared" si="1"/>
        <v>0.008337150024539941</v>
      </c>
      <c r="G23" s="21">
        <f>Guidance!G40</f>
        <v>0.82</v>
      </c>
      <c r="H23" s="22">
        <f t="shared" si="2"/>
        <v>0.006836463020122752</v>
      </c>
      <c r="I23" s="18">
        <f>Inputs!$C$29</f>
        <v>35</v>
      </c>
    </row>
    <row r="24" ht="15" customHeight="1">
      <c r="B24" s="9" t="s">
        <v>37</v>
      </c>
      <c r="C24" s="21">
        <f>'Income Statement'!I80</f>
        <v>0.8268364630201227</v>
      </c>
      <c r="D24" s="21">
        <f>Inputs!$C$33</f>
        <v>0.82</v>
      </c>
      <c r="E24" s="22">
        <f t="shared" si="0"/>
        <v>0.006836463020122752</v>
      </c>
      <c r="F24" s="17">
        <f t="shared" si="1"/>
        <v>0.008337150024539941</v>
      </c>
      <c r="G24" s="21">
        <f>Guidance!G40</f>
        <v>0.82</v>
      </c>
      <c r="H24" s="22">
        <f t="shared" si="2"/>
        <v>0.006836463020122752</v>
      </c>
      <c r="I24" s="18">
        <f>Inputs!$C$38</f>
        <v>35</v>
      </c>
    </row>
    <row r="25" ht="66.75" customHeight="1">
      <c r="B25" s="3" t="s">
        <v>38</v>
      </c>
      <c r="C25" s="23" t="str">
        <f>IF(AND(SUMSQ(Geo!C155:I155)=0,SUMSQ('Revenue summary'!C20:I20)=0,SUMSQ('Revenue summary'!C36:I36)=0,SUMSQ('Income Statement'!C67:I67)=0,COUNTIF('Income Statement'!C84:I84,FALSE)=0,COUNTIF('Income Statement'!C101:I101,FALSE)=0,SUMSQ('Balance Sheet'!C38:I38)=0,SUMSQ('Balance Sheet'!C39:I39)=0,SUMSQ('Cash Flow Statement'!C54:I54)=0,SUMSQ('Cash Flow Statement'!C98:I98)=0,SUMSQ('Cash Flow Statement'!C99:I99)=0,ABS(C19-'Income Statement'!I10)+ABS(C23-'Income Statement'!I99)+ABS(C22-'Income Statement'!I62)&lt;0.000001),"PASS","FAIL")</f>
        <v>PASS</v>
      </c>
      <c r="J25" s="19" t="s">
        <v>40</v>
      </c>
    </row>
    <row r="26" ht="15" customHeight="1">
      <c r="B26" s="3" t="s">
        <v>41</v>
      </c>
      <c r="C26" s="24">
        <f>C39</f>
        <v>0.6014285714285714</v>
      </c>
    </row>
    <row r="27" ht="15" customHeight="1">
      <c r="B27" s="3" t="s">
        <v>42</v>
      </c>
      <c r="C27" s="25" t="s">
        <v>43</v>
      </c>
    </row>
    <row r="29" ht="15" customHeight="1">
      <c r="B29" s="3" t="s">
        <v>44</v>
      </c>
    </row>
    <row r="30" ht="28.5" customHeight="1">
      <c r="B30" s="9" t="s">
        <v>45</v>
      </c>
      <c r="C30" s="26">
        <v>293.68</v>
      </c>
      <c r="J30" s="19" t="s">
        <v>46</v>
      </c>
    </row>
    <row r="31" ht="15" customHeight="1">
      <c r="B31" s="9" t="s">
        <v>47</v>
      </c>
      <c r="C31" s="27" t="s">
        <v>48</v>
      </c>
    </row>
    <row r="32" ht="15" customHeight="1">
      <c r="B32" s="9" t="s">
        <v>49</v>
      </c>
      <c r="C32" s="27" t="s">
        <v>50</v>
      </c>
      <c r="J32" s="28" t="s">
        <v>51</v>
      </c>
    </row>
    <row r="33" ht="54" customHeight="1">
      <c r="B33" s="9" t="s">
        <v>52</v>
      </c>
      <c r="C33" s="29">
        <v>0.78</v>
      </c>
      <c r="J33" s="19" t="s">
        <v>53</v>
      </c>
    </row>
    <row r="34" ht="28.5" customHeight="1">
      <c r="B34" s="9" t="s">
        <v>54</v>
      </c>
      <c r="C34" s="18">
        <f>SUMPRODUCT(--(Inputs!E82:E87&gt;Inputs!D82:D87))</f>
        <v>4</v>
      </c>
      <c r="J34" s="19" t="s">
        <v>55</v>
      </c>
    </row>
    <row r="35" ht="15" customHeight="1">
      <c r="B35" s="9" t="s">
        <v>56</v>
      </c>
      <c r="C35" s="18">
        <f>COUNT(Inputs!E82:E87)</f>
        <v>6</v>
      </c>
      <c r="J35" s="28" t="s">
        <v>57</v>
      </c>
    </row>
    <row r="36" ht="28.5" customHeight="1">
      <c r="B36" s="9" t="s">
        <v>58</v>
      </c>
      <c r="C36" s="30">
        <v>8</v>
      </c>
      <c r="J36" s="19" t="s">
        <v>59</v>
      </c>
    </row>
    <row r="37" ht="15" customHeight="1">
      <c r="B37" s="9" t="s">
        <v>60</v>
      </c>
      <c r="C37" s="17">
        <f>(C36*C33+C34)/(C36+C35)</f>
        <v>0.7314285714285714</v>
      </c>
    </row>
    <row r="38" ht="54" customHeight="1">
      <c r="B38" s="9" t="s">
        <v>61</v>
      </c>
      <c r="C38" s="29">
        <v>-0.13</v>
      </c>
      <c r="J38" s="19" t="s">
        <v>62</v>
      </c>
    </row>
    <row r="39" ht="15" customHeight="1">
      <c r="B39" s="9" t="s">
        <v>63</v>
      </c>
      <c r="C39" s="17">
        <f>C37+C38</f>
        <v>0.6014285714285714</v>
      </c>
    </row>
    <row r="40" ht="28.5" customHeight="1">
      <c r="B40" s="9" t="s">
        <v>64</v>
      </c>
      <c r="C40" s="21">
        <f>AVERAGE(Inputs!E82:E87)-AVERAGE(Inputs!D82:D87)</f>
        <v>-0.013333333333333308</v>
      </c>
      <c r="J40" s="19" t="s">
        <v>65</v>
      </c>
    </row>
    <row r="42" ht="15" customHeight="1">
      <c r="B42" s="3" t="s">
        <v>66</v>
      </c>
    </row>
    <row r="43" ht="15" customHeight="1">
      <c r="B43" s="9" t="s">
        <v>67</v>
      </c>
      <c r="C43" s="31">
        <v>0.82</v>
      </c>
      <c r="J43" s="28" t="s">
        <v>68</v>
      </c>
    </row>
    <row r="44" ht="15" customHeight="1">
      <c r="B44" s="9" t="s">
        <v>69</v>
      </c>
      <c r="C44" s="31">
        <v>0.831</v>
      </c>
      <c r="J44" s="28" t="s">
        <v>70</v>
      </c>
    </row>
    <row r="46" ht="15" customHeight="1">
      <c r="B46" s="3" t="s">
        <v>71</v>
      </c>
      <c r="C46" s="8" t="s">
        <v>72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AFCAA88-06F8-1F9D-B798-25EFBA987CD5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73</v>
      </c>
    </row>
    <row r="4" ht="15" customHeight="1">
      <c r="B4" s="4" t="s">
        <v>3</v>
      </c>
    </row>
    <row r="5" ht="15" customHeight="1">
      <c r="B5" s="5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80</v>
      </c>
      <c r="I5" s="7" t="s">
        <v>81</v>
      </c>
      <c r="J5" s="5" t="s">
        <v>6</v>
      </c>
    </row>
    <row r="6" ht="15" customHeight="1">
      <c r="B6" s="33" t="s">
        <v>82</v>
      </c>
      <c r="C6" s="34">
        <v>45838</v>
      </c>
      <c r="D6" s="34">
        <v>45930</v>
      </c>
      <c r="E6" s="34">
        <v>46022</v>
      </c>
      <c r="F6" s="34">
        <v>46112</v>
      </c>
      <c r="G6" s="34">
        <v>46203</v>
      </c>
      <c r="H6" s="34">
        <v>46022</v>
      </c>
      <c r="I6" s="34">
        <v>46295</v>
      </c>
      <c r="J6" s="35"/>
    </row>
    <row r="7" ht="15" customHeight="1">
      <c r="B7" s="36" t="s">
        <v>83</v>
      </c>
      <c r="C7" s="37">
        <v>181</v>
      </c>
      <c r="D7" s="37">
        <v>92</v>
      </c>
      <c r="E7" s="37">
        <v>92</v>
      </c>
      <c r="F7" s="37">
        <v>90</v>
      </c>
      <c r="G7" s="37">
        <v>91</v>
      </c>
      <c r="H7" s="37">
        <v>365</v>
      </c>
      <c r="I7" s="37">
        <v>92</v>
      </c>
      <c r="J7" s="38"/>
    </row>
    <row r="9" ht="15" customHeight="1">
      <c r="B9" s="3" t="s">
        <v>84</v>
      </c>
      <c r="I9" s="39"/>
    </row>
    <row r="10" ht="28.5" customHeight="1">
      <c r="B10" s="3" t="s">
        <v>85</v>
      </c>
      <c r="C10" s="40">
        <f>Geo!C137</f>
        <v>21621.967</v>
      </c>
      <c r="D10" s="40">
        <f>Geo!D137</f>
        <v>11510.307</v>
      </c>
      <c r="E10" s="40">
        <f>Geo!E137</f>
        <v>12050.762</v>
      </c>
      <c r="F10" s="40">
        <f>Geo!F137</f>
        <v>12249.757000000001</v>
      </c>
      <c r="G10" s="40">
        <f>Geo!G137</f>
        <v>12559.938000000002</v>
      </c>
      <c r="H10" s="40">
        <f>Geo!H137</f>
        <v>45183.03600000001</v>
      </c>
      <c r="I10" s="41">
        <f>Geo!I137</f>
        <v>12871.38726377</v>
      </c>
      <c r="J10" s="19" t="s">
        <v>86</v>
      </c>
    </row>
    <row r="11" ht="15" customHeight="1">
      <c r="B11" s="9" t="s">
        <v>87</v>
      </c>
      <c r="C11" s="15">
        <f>Geo!C141</f>
        <v>18929.75</v>
      </c>
      <c r="D11" s="15">
        <f>Geo!D141</f>
        <v>9824.703</v>
      </c>
      <c r="E11" s="15">
        <f>Geo!E141</f>
        <v>10246.512999999999</v>
      </c>
      <c r="F11" s="15">
        <f>Geo!F141</f>
        <v>10542.801</v>
      </c>
      <c r="G11" s="15">
        <f>Geo!G141</f>
        <v>11079.166000000001</v>
      </c>
      <c r="H11" s="15">
        <f>Geo!H141</f>
        <v>39000.966</v>
      </c>
      <c r="I11" s="42">
        <f>Geo!I141</f>
        <v>11510.307</v>
      </c>
    </row>
    <row r="12" ht="15" customHeight="1">
      <c r="B12" s="4" t="s">
        <v>88</v>
      </c>
      <c r="C12" s="17">
        <f t="shared" si="0" ref="C12:I12">C10/C11-1</f>
        <v>0.1422214767759744</v>
      </c>
      <c r="D12" s="17">
        <f t="shared" si="0"/>
        <v>0.1715679344200025</v>
      </c>
      <c r="E12" s="17">
        <f t="shared" si="0"/>
        <v>0.1760841956673458</v>
      </c>
      <c r="F12" s="17">
        <f t="shared" si="0"/>
        <v>0.16190725785301296</v>
      </c>
      <c r="G12" s="17">
        <f t="shared" si="0"/>
        <v>0.13365374252899542</v>
      </c>
      <c r="H12" s="17">
        <f t="shared" si="0"/>
        <v>0.15851068919677536</v>
      </c>
      <c r="I12" s="43">
        <f t="shared" si="0"/>
        <v>0.1182488237516166</v>
      </c>
    </row>
    <row r="13" ht="15" customHeight="1">
      <c r="B13" s="4" t="s">
        <v>89</v>
      </c>
      <c r="D13" s="44">
        <f>D10-Geo!G141</f>
        <v>431.1409999999996</v>
      </c>
      <c r="E13" s="45">
        <f t="shared" si="1" ref="E13:G13">E10-D10</f>
        <v>540.4549999999999</v>
      </c>
      <c r="F13" s="45">
        <f t="shared" si="1"/>
        <v>198.9950000000008</v>
      </c>
      <c r="G13" s="45">
        <f t="shared" si="1"/>
        <v>310.1810000000005</v>
      </c>
      <c r="I13" s="46">
        <f>I10-G10</f>
        <v>311.44926376999865</v>
      </c>
    </row>
    <row r="14" ht="15" customHeight="1">
      <c r="B14" s="4" t="s">
        <v>90</v>
      </c>
      <c r="D14" s="47">
        <f>D10/Geo!G141-1</f>
        <v>0.038914571728593916</v>
      </c>
      <c r="E14" s="17">
        <f t="shared" si="2" ref="E14:G14">E10/D10-1</f>
        <v>0.0469540039201386</v>
      </c>
      <c r="F14" s="17">
        <f t="shared" si="2"/>
        <v>0.016513063655227755</v>
      </c>
      <c r="G14" s="17">
        <f t="shared" si="2"/>
        <v>0.025321400253082604</v>
      </c>
      <c r="I14" s="43">
        <f>I10/G10-1</f>
        <v>0.024797038311016983</v>
      </c>
    </row>
    <row r="15" ht="15" customHeight="1">
      <c r="B15" s="4" t="s">
        <v>91</v>
      </c>
      <c r="C15" s="17">
        <f t="shared" si="3" ref="C15:I15">C10/C16</f>
        <v>1</v>
      </c>
      <c r="D15" s="17">
        <f t="shared" si="3"/>
        <v>1</v>
      </c>
      <c r="E15" s="17">
        <f t="shared" si="3"/>
        <v>1</v>
      </c>
      <c r="F15" s="17">
        <f t="shared" si="3"/>
        <v>1.0000000000000002</v>
      </c>
      <c r="G15" s="17">
        <f t="shared" si="3"/>
        <v>1.0000000000000002</v>
      </c>
      <c r="H15" s="17">
        <f t="shared" si="3"/>
        <v>1</v>
      </c>
      <c r="I15" s="43">
        <f t="shared" si="3"/>
        <v>1</v>
      </c>
    </row>
    <row r="16" ht="15" customHeight="1">
      <c r="B16" s="3" t="s">
        <v>92</v>
      </c>
      <c r="C16" s="40">
        <f>'Income Statement'!C10</f>
        <v>21621.967</v>
      </c>
      <c r="D16" s="40">
        <f>'Income Statement'!D10</f>
        <v>11510.307</v>
      </c>
      <c r="E16" s="40">
        <f>'Income Statement'!E10</f>
        <v>12050.762</v>
      </c>
      <c r="F16" s="40">
        <f>'Income Statement'!F10</f>
        <v>12249.757</v>
      </c>
      <c r="G16" s="40">
        <f>'Income Statement'!G10</f>
        <v>12559.938</v>
      </c>
      <c r="H16" s="40">
        <f>'Income Statement'!H10</f>
        <v>45183.03600000001</v>
      </c>
      <c r="I16" s="41">
        <f>'Income Statement'!I10</f>
        <v>12871.38726377</v>
      </c>
    </row>
    <row r="17" ht="15" customHeight="1">
      <c r="B17" s="4" t="s">
        <v>88</v>
      </c>
      <c r="C17" s="17">
        <f t="shared" si="4" ref="C17:I17">C16/C11-1</f>
        <v>0.1422214767759744</v>
      </c>
      <c r="D17" s="17">
        <f t="shared" si="4"/>
        <v>0.1715679344200025</v>
      </c>
      <c r="E17" s="17">
        <f t="shared" si="4"/>
        <v>0.1760841956673458</v>
      </c>
      <c r="F17" s="17">
        <f t="shared" si="4"/>
        <v>0.16190725785301274</v>
      </c>
      <c r="G17" s="17">
        <f t="shared" si="4"/>
        <v>0.13365374252899542</v>
      </c>
      <c r="H17" s="17">
        <f t="shared" si="4"/>
        <v>0.15851068919677536</v>
      </c>
      <c r="I17" s="43">
        <f t="shared" si="4"/>
        <v>0.1182488237516166</v>
      </c>
    </row>
    <row r="18" ht="15" customHeight="1">
      <c r="B18" s="4" t="s">
        <v>90</v>
      </c>
      <c r="D18" s="47">
        <f>D16/Geo!G141-1</f>
        <v>0.038914571728593916</v>
      </c>
      <c r="E18" s="17">
        <f t="shared" si="5" ref="E18:G18">E16/D16-1</f>
        <v>0.0469540039201386</v>
      </c>
      <c r="F18" s="17">
        <f t="shared" si="5"/>
        <v>0.016513063655227755</v>
      </c>
      <c r="G18" s="17">
        <f t="shared" si="5"/>
        <v>0.025321400253082604</v>
      </c>
      <c r="I18" s="43">
        <f>I16/G16-1</f>
        <v>0.024797038311017205</v>
      </c>
    </row>
    <row r="19" ht="15" customHeight="1">
      <c r="B19" s="4" t="s">
        <v>91</v>
      </c>
      <c r="C19" s="17">
        <f t="shared" si="6" ref="C19:I19">C16/C16</f>
        <v>1</v>
      </c>
      <c r="D19" s="17">
        <f t="shared" si="6"/>
        <v>1</v>
      </c>
      <c r="E19" s="17">
        <f t="shared" si="6"/>
        <v>1</v>
      </c>
      <c r="F19" s="17">
        <f t="shared" si="6"/>
        <v>1</v>
      </c>
      <c r="G19" s="17">
        <f t="shared" si="6"/>
        <v>1</v>
      </c>
      <c r="H19" s="17">
        <f t="shared" si="6"/>
        <v>1</v>
      </c>
      <c r="I19" s="43">
        <f t="shared" si="6"/>
        <v>1</v>
      </c>
    </row>
    <row r="20" ht="28.5" customHeight="1">
      <c r="B20" s="3" t="s">
        <v>93</v>
      </c>
      <c r="C20" s="48">
        <f t="shared" si="7" ref="C20:I20">ROUND(C10-C16,3)</f>
        <v>0</v>
      </c>
      <c r="D20" s="48">
        <f t="shared" si="7"/>
        <v>0</v>
      </c>
      <c r="E20" s="48">
        <f t="shared" si="7"/>
        <v>0</v>
      </c>
      <c r="F20" s="48">
        <f t="shared" si="7"/>
        <v>0</v>
      </c>
      <c r="G20" s="48">
        <f t="shared" si="7"/>
        <v>0</v>
      </c>
      <c r="H20" s="48">
        <f t="shared" si="7"/>
        <v>0</v>
      </c>
      <c r="I20" s="49">
        <f t="shared" si="7"/>
        <v>0</v>
      </c>
      <c r="J20" s="19" t="s">
        <v>94</v>
      </c>
    </row>
    <row r="21" ht="15" customHeight="1">
      <c r="I21" s="39"/>
    </row>
    <row r="22" ht="15" customHeight="1">
      <c r="B22" s="3" t="s">
        <v>95</v>
      </c>
      <c r="I22" s="39"/>
    </row>
    <row r="23" ht="15" customHeight="1">
      <c r="B23" s="4" t="s">
        <v>96</v>
      </c>
      <c r="C23" s="17">
        <f t="shared" si="8" ref="C23:I23">C12</f>
        <v>0.1422214767759744</v>
      </c>
      <c r="D23" s="17">
        <f t="shared" si="8"/>
        <v>0.1715679344200025</v>
      </c>
      <c r="E23" s="17">
        <f t="shared" si="8"/>
        <v>0.1760841956673458</v>
      </c>
      <c r="F23" s="17">
        <f t="shared" si="8"/>
        <v>0.16190725785301296</v>
      </c>
      <c r="G23" s="17">
        <f t="shared" si="8"/>
        <v>0.13365374252899542</v>
      </c>
      <c r="H23" s="17">
        <f t="shared" si="8"/>
        <v>0.15851068919677536</v>
      </c>
      <c r="I23" s="43">
        <f t="shared" si="8"/>
        <v>0.1182488237516166</v>
      </c>
    </row>
    <row r="24" ht="15" customHeight="1">
      <c r="B24" s="4" t="s">
        <v>97</v>
      </c>
      <c r="D24" s="47">
        <f>Geo!D148</f>
        <v>-0.0023485109687813033</v>
      </c>
      <c r="E24" s="47">
        <f>Geo!E148</f>
        <v>0.0012781651741056166</v>
      </c>
      <c r="F24" s="47">
        <f>Geo!F148</f>
        <v>0.018284215772522705</v>
      </c>
      <c r="G24" s="47">
        <f>Geo!G148</f>
        <v>0.01358750650080176</v>
      </c>
      <c r="I24" s="50">
        <f>Geo!I148</f>
        <v>0.00833350562487123</v>
      </c>
    </row>
    <row r="25" ht="15" customHeight="1">
      <c r="B25" s="4" t="s">
        <v>98</v>
      </c>
      <c r="E25" s="51">
        <f t="shared" si="9" ref="E25:G28">(E24-D24)*10000</f>
        <v>36.2667614288692</v>
      </c>
      <c r="F25" s="51">
        <f t="shared" si="9"/>
        <v>170.06050598417087</v>
      </c>
      <c r="G25" s="51">
        <f t="shared" si="9"/>
        <v>-46.96709271720945</v>
      </c>
      <c r="I25" s="52">
        <f t="shared" si="10" ref="I25:I28">(I24-G24)*10000</f>
        <v>-52.54000875930531</v>
      </c>
    </row>
    <row r="26" ht="15" customHeight="1">
      <c r="B26" s="4" t="s">
        <v>99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4" t="s">
        <v>100</v>
      </c>
      <c r="J26" s="28" t="s">
        <v>101</v>
      </c>
    </row>
    <row r="27" ht="28.5" customHeight="1">
      <c r="B27" s="4" t="s">
        <v>102</v>
      </c>
      <c r="D27" s="47">
        <f>Geo!D151</f>
        <v>0.17432585156332236</v>
      </c>
      <c r="E27" s="47">
        <f>Geo!E151</f>
        <v>0.1745828847299835</v>
      </c>
      <c r="F27" s="47">
        <f>Geo!F151</f>
        <v>0.1410441602215453</v>
      </c>
      <c r="G27" s="47">
        <f>Geo!G151</f>
        <v>0.11845670478190584</v>
      </c>
      <c r="I27" s="50">
        <f>Geo!I151</f>
        <v>0.10900690844209349</v>
      </c>
      <c r="J27" s="19" t="s">
        <v>103</v>
      </c>
    </row>
    <row r="28" ht="15" customHeight="1">
      <c r="B28" s="4" t="s">
        <v>98</v>
      </c>
      <c r="E28" s="51">
        <f t="shared" si="9"/>
        <v>2.5703316666114695</v>
      </c>
      <c r="F28" s="51">
        <f t="shared" si="9"/>
        <v>-335.387245084382</v>
      </c>
      <c r="G28" s="51">
        <f t="shared" si="9"/>
        <v>-225.8745543963947</v>
      </c>
      <c r="I28" s="52">
        <f t="shared" si="10"/>
        <v>-94.49796339812355</v>
      </c>
    </row>
    <row r="29" ht="15" customHeight="1">
      <c r="B29" s="4" t="s">
        <v>104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4" t="s">
        <v>100</v>
      </c>
      <c r="J29" s="28" t="s">
        <v>105</v>
      </c>
    </row>
    <row r="30" ht="15" customHeight="1">
      <c r="I30" s="39"/>
    </row>
    <row r="31" ht="15" customHeight="1">
      <c r="B31" s="3" t="s">
        <v>106</v>
      </c>
      <c r="I31" s="39"/>
    </row>
    <row r="32" ht="15" customHeight="1">
      <c r="B32" s="9" t="s">
        <v>107</v>
      </c>
      <c r="D32" s="15">
        <f>Geo!D144</f>
        <v>11480.819</v>
      </c>
      <c r="E32" s="15">
        <f>Geo!E144</f>
        <v>11972.225</v>
      </c>
      <c r="F32" s="15">
        <f>Geo!F144</f>
        <v>11841.761999999999</v>
      </c>
      <c r="G32" s="15">
        <f>Geo!G144</f>
        <v>12433.381</v>
      </c>
      <c r="I32" s="42">
        <f>Geo!I144</f>
        <v>12908.47666</v>
      </c>
    </row>
    <row r="33" ht="15" customHeight="1">
      <c r="B33" s="9" t="s">
        <v>108</v>
      </c>
      <c r="D33" s="15">
        <f>Geo!D142</f>
        <v>-158.853</v>
      </c>
      <c r="E33" s="15">
        <f>Geo!E142</f>
        <v>-167.726</v>
      </c>
      <c r="F33" s="15">
        <f>Geo!F142</f>
        <v>-540.512</v>
      </c>
      <c r="G33" s="15">
        <f>Geo!G142</f>
        <v>-174.187</v>
      </c>
      <c r="I33" s="42">
        <f>Geo!I142</f>
        <v>37.089396230000375</v>
      </c>
    </row>
    <row r="34" ht="15" customHeight="1">
      <c r="B34" s="9" t="s">
        <v>109</v>
      </c>
      <c r="D34" s="15">
        <f>Geo!D143</f>
        <v>129.365</v>
      </c>
      <c r="E34" s="15">
        <f>Geo!E143</f>
        <v>89.18900000000001</v>
      </c>
      <c r="F34" s="15">
        <f>Geo!F143</f>
        <v>132.517</v>
      </c>
      <c r="G34" s="15">
        <f>Geo!G143</f>
        <v>47.63</v>
      </c>
      <c r="I34" s="39"/>
      <c r="J34" s="28" t="s">
        <v>110</v>
      </c>
    </row>
    <row r="35" ht="15" customHeight="1">
      <c r="B35" s="3" t="s">
        <v>111</v>
      </c>
      <c r="C35" s="55"/>
      <c r="D35" s="56">
        <f t="shared" si="11" ref="D35:G35">D32-D33-D34</f>
        <v>11510.306999999999</v>
      </c>
      <c r="E35" s="56">
        <f t="shared" si="11"/>
        <v>12050.762</v>
      </c>
      <c r="F35" s="56">
        <f t="shared" si="11"/>
        <v>12249.757</v>
      </c>
      <c r="G35" s="56">
        <f t="shared" si="11"/>
        <v>12559.938</v>
      </c>
      <c r="H35" s="55"/>
      <c r="I35" s="57">
        <f>I32-I33</f>
        <v>12871.38726377</v>
      </c>
    </row>
    <row r="36" ht="41.25" customHeight="1">
      <c r="B36" s="3" t="s">
        <v>112</v>
      </c>
      <c r="D36" s="48">
        <f t="shared" si="12" ref="D36:I36">ROUND(D35-D16,3)</f>
        <v>0</v>
      </c>
      <c r="E36" s="48">
        <f t="shared" si="12"/>
        <v>0</v>
      </c>
      <c r="F36" s="48">
        <f t="shared" si="12"/>
        <v>0</v>
      </c>
      <c r="G36" s="48">
        <f t="shared" si="12"/>
        <v>0</v>
      </c>
      <c r="I36" s="49">
        <f t="shared" si="12"/>
        <v>0</v>
      </c>
      <c r="J36" s="19" t="s">
        <v>113</v>
      </c>
    </row>
    <row r="37" ht="15" customHeight="1">
      <c r="I37" s="39"/>
    </row>
    <row r="38" ht="15" customHeight="1">
      <c r="B38" s="3" t="s">
        <v>114</v>
      </c>
      <c r="I38" s="39"/>
    </row>
    <row r="39" ht="28.5" customHeight="1">
      <c r="B39" s="9" t="s">
        <v>115</v>
      </c>
      <c r="C39" s="27" t="s">
        <v>116</v>
      </c>
      <c r="D39" s="27" t="s">
        <v>116</v>
      </c>
      <c r="E39" s="27" t="s">
        <v>116</v>
      </c>
      <c r="F39" s="27" t="s">
        <v>116</v>
      </c>
      <c r="G39" s="27" t="s">
        <v>116</v>
      </c>
      <c r="H39" s="27" t="s">
        <v>116</v>
      </c>
      <c r="I39" s="58" t="s">
        <v>116</v>
      </c>
      <c r="J39" s="19" t="s">
        <v>117</v>
      </c>
    </row>
    <row r="40" ht="28.5" customHeight="1">
      <c r="B40" s="9" t="s">
        <v>118</v>
      </c>
      <c r="C40" s="27" t="s">
        <v>116</v>
      </c>
      <c r="D40" s="27" t="s">
        <v>116</v>
      </c>
      <c r="E40" s="27" t="s">
        <v>116</v>
      </c>
      <c r="F40" s="27" t="s">
        <v>116</v>
      </c>
      <c r="G40" s="27" t="s">
        <v>116</v>
      </c>
      <c r="H40" s="27" t="s">
        <v>116</v>
      </c>
      <c r="I40" s="58" t="s">
        <v>116</v>
      </c>
      <c r="J40" s="19" t="s">
        <v>117</v>
      </c>
    </row>
    <row r="41" ht="28.5" customHeight="1">
      <c r="B41" s="9" t="s">
        <v>119</v>
      </c>
      <c r="C41" s="27" t="s">
        <v>116</v>
      </c>
      <c r="D41" s="27" t="s">
        <v>116</v>
      </c>
      <c r="E41" s="27" t="s">
        <v>116</v>
      </c>
      <c r="F41" s="27" t="s">
        <v>116</v>
      </c>
      <c r="G41" s="27" t="s">
        <v>116</v>
      </c>
      <c r="H41" s="27" t="s">
        <v>116</v>
      </c>
      <c r="I41" s="58" t="s">
        <v>116</v>
      </c>
      <c r="J41" s="19" t="s">
        <v>117</v>
      </c>
    </row>
    <row r="42" ht="28.5" customHeight="1">
      <c r="B42" s="9" t="s">
        <v>120</v>
      </c>
      <c r="C42" s="27" t="s">
        <v>116</v>
      </c>
      <c r="D42" s="27" t="s">
        <v>116</v>
      </c>
      <c r="E42" s="27" t="s">
        <v>116</v>
      </c>
      <c r="F42" s="27" t="s">
        <v>116</v>
      </c>
      <c r="G42" s="27" t="s">
        <v>116</v>
      </c>
      <c r="H42" s="27" t="s">
        <v>116</v>
      </c>
      <c r="I42" s="58" t="s">
        <v>116</v>
      </c>
      <c r="J42" s="19" t="s">
        <v>117</v>
      </c>
    </row>
    <row r="43" ht="41.25" customHeight="1">
      <c r="B43" s="9" t="s">
        <v>121</v>
      </c>
      <c r="C43" s="16" t="s">
        <v>116</v>
      </c>
      <c r="D43" s="16" t="s">
        <v>116</v>
      </c>
      <c r="E43" s="59">
        <v>325</v>
      </c>
      <c r="F43" s="16" t="s">
        <v>116</v>
      </c>
      <c r="G43" s="16" t="s">
        <v>116</v>
      </c>
      <c r="H43" s="60">
        <f t="shared" si="13" ref="H43:H68">E43</f>
        <v>325</v>
      </c>
      <c r="I43" s="61" t="s">
        <v>116</v>
      </c>
      <c r="J43" s="19" t="s">
        <v>122</v>
      </c>
    </row>
    <row r="44" ht="15" customHeight="1">
      <c r="B44" s="9" t="s">
        <v>123</v>
      </c>
      <c r="C44" s="27" t="s">
        <v>116</v>
      </c>
      <c r="D44" s="27" t="s">
        <v>116</v>
      </c>
      <c r="E44" s="27" t="s">
        <v>116</v>
      </c>
      <c r="F44" s="27" t="s">
        <v>116</v>
      </c>
      <c r="G44" s="27" t="s">
        <v>116</v>
      </c>
      <c r="H44" s="27" t="s">
        <v>116</v>
      </c>
      <c r="I44" s="58" t="s">
        <v>116</v>
      </c>
      <c r="J44" s="28" t="s">
        <v>124</v>
      </c>
    </row>
    <row r="45" ht="28.5" customHeight="1">
      <c r="B45" s="9" t="s">
        <v>125</v>
      </c>
      <c r="C45" s="27" t="s">
        <v>116</v>
      </c>
      <c r="D45" s="27" t="s">
        <v>116</v>
      </c>
      <c r="E45" s="27" t="s">
        <v>116</v>
      </c>
      <c r="F45" s="27" t="s">
        <v>116</v>
      </c>
      <c r="G45" s="27" t="s">
        <v>116</v>
      </c>
      <c r="H45" s="27" t="s">
        <v>116</v>
      </c>
      <c r="I45" s="58" t="s">
        <v>116</v>
      </c>
      <c r="J45" s="19" t="s">
        <v>126</v>
      </c>
    </row>
    <row r="46" ht="15" customHeight="1">
      <c r="B46" s="9" t="s">
        <v>127</v>
      </c>
      <c r="C46" s="27" t="s">
        <v>116</v>
      </c>
      <c r="D46" s="27" t="s">
        <v>116</v>
      </c>
      <c r="E46" s="27" t="s">
        <v>116</v>
      </c>
      <c r="F46" s="27" t="s">
        <v>116</v>
      </c>
      <c r="G46" s="27" t="s">
        <v>116</v>
      </c>
      <c r="H46" s="27" t="s">
        <v>116</v>
      </c>
      <c r="I46" s="58" t="s">
        <v>116</v>
      </c>
      <c r="J46" s="28" t="s">
        <v>128</v>
      </c>
    </row>
    <row r="47" ht="15" customHeight="1">
      <c r="I47" s="39"/>
    </row>
    <row r="48" ht="15" customHeight="1">
      <c r="B48" s="3" t="s">
        <v>129</v>
      </c>
      <c r="I48" s="39"/>
    </row>
    <row r="49" ht="41.25" customHeight="1">
      <c r="B49" s="9" t="s">
        <v>130</v>
      </c>
      <c r="C49" s="16" t="s">
        <v>116</v>
      </c>
      <c r="D49" s="16" t="s">
        <v>116</v>
      </c>
      <c r="E49" s="16" t="s">
        <v>116</v>
      </c>
      <c r="F49" s="16" t="s">
        <v>116</v>
      </c>
      <c r="G49" s="16" t="s">
        <v>116</v>
      </c>
      <c r="H49" s="59">
        <v>1500</v>
      </c>
      <c r="I49" s="61" t="s">
        <v>116</v>
      </c>
      <c r="J49" s="19" t="s">
        <v>131</v>
      </c>
    </row>
    <row r="50" ht="28.5" customHeight="1">
      <c r="B50" s="4" t="s">
        <v>132</v>
      </c>
      <c r="C50" s="53" t="s">
        <v>116</v>
      </c>
      <c r="D50" s="53" t="s">
        <v>116</v>
      </c>
      <c r="E50" s="53" t="s">
        <v>116</v>
      </c>
      <c r="F50" s="53" t="s">
        <v>116</v>
      </c>
      <c r="G50" s="53" t="s">
        <v>116</v>
      </c>
      <c r="H50" s="53" t="s">
        <v>116</v>
      </c>
      <c r="I50" s="54" t="s">
        <v>116</v>
      </c>
      <c r="J50" s="19" t="s">
        <v>133</v>
      </c>
    </row>
    <row r="51" ht="15" customHeight="1">
      <c r="B51" s="4" t="s">
        <v>134</v>
      </c>
      <c r="C51" s="53" t="s">
        <v>116</v>
      </c>
      <c r="D51" s="53" t="s">
        <v>116</v>
      </c>
      <c r="E51" s="53" t="s">
        <v>116</v>
      </c>
      <c r="F51" s="53" t="s">
        <v>116</v>
      </c>
      <c r="G51" s="53" t="s">
        <v>116</v>
      </c>
      <c r="H51" s="53" t="s">
        <v>116</v>
      </c>
      <c r="I51" s="54" t="s">
        <v>116</v>
      </c>
      <c r="J51" s="28" t="s">
        <v>124</v>
      </c>
    </row>
    <row r="52" ht="15" customHeight="1">
      <c r="B52" s="4" t="s">
        <v>135</v>
      </c>
      <c r="C52" s="53" t="s">
        <v>116</v>
      </c>
      <c r="D52" s="53" t="s">
        <v>116</v>
      </c>
      <c r="E52" s="53" t="s">
        <v>116</v>
      </c>
      <c r="F52" s="53" t="s">
        <v>116</v>
      </c>
      <c r="G52" s="53" t="s">
        <v>116</v>
      </c>
      <c r="H52" s="53" t="s">
        <v>116</v>
      </c>
      <c r="I52" s="54" t="s">
        <v>116</v>
      </c>
      <c r="J52" s="28" t="s">
        <v>124</v>
      </c>
    </row>
    <row r="53" ht="15" customHeight="1">
      <c r="B53" s="4" t="s">
        <v>136</v>
      </c>
      <c r="C53" s="53" t="s">
        <v>116</v>
      </c>
      <c r="D53" s="53" t="s">
        <v>116</v>
      </c>
      <c r="E53" s="53" t="s">
        <v>116</v>
      </c>
      <c r="F53" s="53" t="s">
        <v>116</v>
      </c>
      <c r="G53" s="53" t="s">
        <v>116</v>
      </c>
      <c r="H53" s="53" t="s">
        <v>116</v>
      </c>
      <c r="I53" s="54" t="s">
        <v>116</v>
      </c>
      <c r="J53" s="28" t="s">
        <v>124</v>
      </c>
    </row>
    <row r="54" ht="28.5" customHeight="1">
      <c r="B54" s="4" t="s">
        <v>137</v>
      </c>
      <c r="H54" s="62">
        <f>H49/H16</f>
        <v>0.033198300353256466</v>
      </c>
      <c r="I54" s="39"/>
      <c r="J54" s="19" t="s">
        <v>138</v>
      </c>
    </row>
    <row r="55" ht="15" customHeight="1">
      <c r="I55" s="39"/>
    </row>
    <row r="56" ht="15" customHeight="1">
      <c r="B56" s="3" t="s">
        <v>139</v>
      </c>
      <c r="I56" s="39"/>
    </row>
    <row r="57" ht="41.25" customHeight="1">
      <c r="B57" s="9" t="s">
        <v>140</v>
      </c>
      <c r="C57" s="31">
        <v>7.99</v>
      </c>
      <c r="D57" s="31">
        <v>7.99</v>
      </c>
      <c r="E57" s="31">
        <v>7.99</v>
      </c>
      <c r="F57" s="31">
        <v>8.99</v>
      </c>
      <c r="G57" s="31">
        <v>8.99</v>
      </c>
      <c r="H57" s="22">
        <f t="shared" si="13"/>
        <v>7.99</v>
      </c>
      <c r="I57" s="63">
        <f t="shared" si="16" ref="I57:I65">G57</f>
        <v>8.99</v>
      </c>
      <c r="J57" s="19" t="s">
        <v>141</v>
      </c>
    </row>
    <row r="58" ht="15" customHeight="1">
      <c r="B58" s="4" t="s">
        <v>142</v>
      </c>
      <c r="C58" s="17">
        <f t="shared" si="14" ref="C58:I66">C57/C60-1</f>
        <v>0.14306151645207432</v>
      </c>
      <c r="D58" s="17">
        <f t="shared" si="14"/>
        <v>0.14306151645207432</v>
      </c>
      <c r="E58" s="17">
        <f t="shared" si="14"/>
        <v>0.14306151645207432</v>
      </c>
      <c r="F58" s="17">
        <f t="shared" si="14"/>
        <v>0.12515644555694627</v>
      </c>
      <c r="G58" s="17">
        <f t="shared" si="14"/>
        <v>0.12515644555694627</v>
      </c>
      <c r="H58" s="17">
        <f t="shared" si="14"/>
        <v>0.14306151645207432</v>
      </c>
      <c r="I58" s="43">
        <f t="shared" si="14"/>
        <v>0.12515644555694627</v>
      </c>
    </row>
    <row r="59" ht="15" customHeight="1">
      <c r="B59" s="4" t="s">
        <v>143</v>
      </c>
      <c r="D59" s="64">
        <f t="shared" si="17" ref="D59:D67">D57-G60</f>
        <v>0</v>
      </c>
      <c r="E59" s="64">
        <f t="shared" si="15" ref="E59:G67">E57-D57</f>
        <v>0</v>
      </c>
      <c r="F59" s="64">
        <f t="shared" si="15"/>
        <v>1</v>
      </c>
      <c r="G59" s="64">
        <f t="shared" si="15"/>
        <v>0</v>
      </c>
      <c r="I59" s="65">
        <f t="shared" si="18" ref="I59:I67">I57-G57</f>
        <v>0</v>
      </c>
    </row>
    <row r="60" ht="28.5" customHeight="1">
      <c r="B60" s="9" t="s">
        <v>144</v>
      </c>
      <c r="C60" s="31">
        <v>6.99</v>
      </c>
      <c r="D60" s="31">
        <v>6.99</v>
      </c>
      <c r="E60" s="31">
        <v>6.99</v>
      </c>
      <c r="F60" s="31">
        <v>7.99</v>
      </c>
      <c r="G60" s="22">
        <f t="shared" si="19" ref="G60:G68">C57</f>
        <v>7.99</v>
      </c>
      <c r="H60" s="22">
        <f t="shared" si="13"/>
        <v>6.99</v>
      </c>
      <c r="I60" s="63">
        <f t="shared" si="20" ref="I60:I68">D57</f>
        <v>7.99</v>
      </c>
      <c r="J60" s="19" t="s">
        <v>145</v>
      </c>
    </row>
    <row r="61" ht="41.25" customHeight="1">
      <c r="B61" s="9" t="s">
        <v>146</v>
      </c>
      <c r="C61" s="31">
        <v>17.99</v>
      </c>
      <c r="D61" s="31">
        <v>17.99</v>
      </c>
      <c r="E61" s="31">
        <v>17.99</v>
      </c>
      <c r="F61" s="31">
        <v>19.99</v>
      </c>
      <c r="G61" s="31">
        <v>19.99</v>
      </c>
      <c r="H61" s="22">
        <f t="shared" si="13"/>
        <v>17.99</v>
      </c>
      <c r="I61" s="63">
        <f t="shared" si="16"/>
        <v>19.99</v>
      </c>
      <c r="J61" s="19" t="s">
        <v>141</v>
      </c>
    </row>
    <row r="62" ht="15" customHeight="1">
      <c r="B62" s="4" t="s">
        <v>142</v>
      </c>
      <c r="C62" s="17">
        <f t="shared" si="14"/>
        <v>0.16139444803098768</v>
      </c>
      <c r="D62" s="17">
        <f t="shared" si="14"/>
        <v>0.16139444803098768</v>
      </c>
      <c r="E62" s="17">
        <f t="shared" si="14"/>
        <v>0.16139444803098768</v>
      </c>
      <c r="F62" s="17">
        <f t="shared" si="14"/>
        <v>0.11117287381878826</v>
      </c>
      <c r="G62" s="17">
        <f t="shared" si="14"/>
        <v>0.11117287381878826</v>
      </c>
      <c r="H62" s="17">
        <f t="shared" si="14"/>
        <v>0.16139444803098768</v>
      </c>
      <c r="I62" s="43">
        <f t="shared" si="14"/>
        <v>0.11117287381878826</v>
      </c>
    </row>
    <row r="63" ht="15" customHeight="1">
      <c r="B63" s="4" t="s">
        <v>143</v>
      </c>
      <c r="D63" s="64">
        <f t="shared" si="17"/>
        <v>0</v>
      </c>
      <c r="E63" s="64">
        <f t="shared" si="15"/>
        <v>0</v>
      </c>
      <c r="F63" s="64">
        <f t="shared" si="15"/>
        <v>2</v>
      </c>
      <c r="G63" s="64">
        <f t="shared" si="15"/>
        <v>0</v>
      </c>
      <c r="I63" s="65">
        <f t="shared" si="18"/>
        <v>0</v>
      </c>
    </row>
    <row r="64" ht="28.5" customHeight="1">
      <c r="B64" s="9" t="s">
        <v>144</v>
      </c>
      <c r="C64" s="31">
        <v>15.49</v>
      </c>
      <c r="D64" s="31">
        <v>15.49</v>
      </c>
      <c r="E64" s="31">
        <v>15.49</v>
      </c>
      <c r="F64" s="31">
        <v>17.99</v>
      </c>
      <c r="G64" s="22">
        <f t="shared" si="19"/>
        <v>17.99</v>
      </c>
      <c r="H64" s="22">
        <f t="shared" si="13"/>
        <v>15.49</v>
      </c>
      <c r="I64" s="63">
        <f t="shared" si="20"/>
        <v>17.99</v>
      </c>
      <c r="J64" s="19" t="s">
        <v>145</v>
      </c>
    </row>
    <row r="65" ht="41.25" customHeight="1">
      <c r="B65" s="9" t="s">
        <v>147</v>
      </c>
      <c r="C65" s="31">
        <v>24.99</v>
      </c>
      <c r="D65" s="31">
        <v>24.99</v>
      </c>
      <c r="E65" s="31">
        <v>24.99</v>
      </c>
      <c r="F65" s="31">
        <v>26.99</v>
      </c>
      <c r="G65" s="31">
        <v>26.99</v>
      </c>
      <c r="H65" s="22">
        <f t="shared" si="13"/>
        <v>24.99</v>
      </c>
      <c r="I65" s="63">
        <f t="shared" si="16"/>
        <v>26.99</v>
      </c>
      <c r="J65" s="19" t="s">
        <v>141</v>
      </c>
    </row>
    <row r="66" ht="15" customHeight="1">
      <c r="B66" s="4" t="s">
        <v>142</v>
      </c>
      <c r="C66" s="17">
        <f t="shared" si="14"/>
        <v>0.08699434536755102</v>
      </c>
      <c r="D66" s="17">
        <f t="shared" si="14"/>
        <v>0.08699434536755102</v>
      </c>
      <c r="E66" s="17">
        <f t="shared" si="14"/>
        <v>0.08699434536755102</v>
      </c>
      <c r="F66" s="17">
        <f t="shared" si="14"/>
        <v>0.08003201280512195</v>
      </c>
      <c r="G66" s="17">
        <f t="shared" si="14"/>
        <v>0.08003201280512195</v>
      </c>
      <c r="H66" s="17">
        <f t="shared" si="14"/>
        <v>0.08699434536755102</v>
      </c>
      <c r="I66" s="43">
        <f t="shared" si="14"/>
        <v>0.08003201280512195</v>
      </c>
    </row>
    <row r="67" ht="15" customHeight="1">
      <c r="B67" s="4" t="s">
        <v>143</v>
      </c>
      <c r="D67" s="64">
        <f t="shared" si="17"/>
        <v>0</v>
      </c>
      <c r="E67" s="64">
        <f t="shared" si="15"/>
        <v>0</v>
      </c>
      <c r="F67" s="64">
        <f t="shared" si="15"/>
        <v>2</v>
      </c>
      <c r="G67" s="64">
        <f t="shared" si="15"/>
        <v>0</v>
      </c>
      <c r="I67" s="65">
        <f t="shared" si="18"/>
        <v>0</v>
      </c>
    </row>
    <row r="68" ht="28.5" customHeight="1">
      <c r="B68" s="9" t="s">
        <v>144</v>
      </c>
      <c r="C68" s="31">
        <v>22.99</v>
      </c>
      <c r="D68" s="31">
        <v>22.99</v>
      </c>
      <c r="E68" s="31">
        <v>22.99</v>
      </c>
      <c r="F68" s="31">
        <v>24.99</v>
      </c>
      <c r="G68" s="22">
        <f t="shared" si="19"/>
        <v>24.99</v>
      </c>
      <c r="H68" s="22">
        <f t="shared" si="13"/>
        <v>22.99</v>
      </c>
      <c r="I68" s="63">
        <f t="shared" si="20"/>
        <v>24.99</v>
      </c>
      <c r="J68" s="19" t="s">
        <v>145</v>
      </c>
    </row>
    <row r="69" ht="15" customHeight="1">
      <c r="I69" s="39"/>
    </row>
    <row r="70" ht="15" customHeight="1">
      <c r="B70" s="4" t="s">
        <v>148</v>
      </c>
      <c r="I70" s="39"/>
    </row>
    <row r="71" ht="15" customHeight="1">
      <c r="I71" s="39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648EC27-AC48-8FC8-7E68-D02F4565D55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149</v>
      </c>
    </row>
    <row r="4" ht="15" customHeight="1">
      <c r="B4" s="4" t="s">
        <v>3</v>
      </c>
    </row>
    <row r="5" ht="15" customHeight="1">
      <c r="B5" s="5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80</v>
      </c>
      <c r="I5" s="7" t="s">
        <v>81</v>
      </c>
      <c r="J5" s="5" t="s">
        <v>6</v>
      </c>
    </row>
    <row r="6" ht="15" customHeight="1">
      <c r="B6" s="33" t="s">
        <v>82</v>
      </c>
      <c r="C6" s="34">
        <v>45838</v>
      </c>
      <c r="D6" s="34">
        <v>45930</v>
      </c>
      <c r="E6" s="34">
        <v>46022</v>
      </c>
      <c r="F6" s="34">
        <v>46112</v>
      </c>
      <c r="G6" s="34">
        <v>46203</v>
      </c>
      <c r="H6" s="34">
        <v>46022</v>
      </c>
      <c r="I6" s="34">
        <v>46295</v>
      </c>
      <c r="J6" s="35"/>
    </row>
    <row r="7" ht="15" customHeight="1">
      <c r="B7" s="36" t="s">
        <v>83</v>
      </c>
      <c r="C7" s="37">
        <v>181</v>
      </c>
      <c r="D7" s="37">
        <v>92</v>
      </c>
      <c r="E7" s="37">
        <v>92</v>
      </c>
      <c r="F7" s="37">
        <v>90</v>
      </c>
      <c r="G7" s="37">
        <v>91</v>
      </c>
      <c r="H7" s="37">
        <v>365</v>
      </c>
      <c r="I7" s="37">
        <v>92</v>
      </c>
      <c r="J7" s="38"/>
    </row>
    <row r="9" ht="15" customHeight="1">
      <c r="B9" s="3" t="s">
        <v>150</v>
      </c>
      <c r="I9" s="39"/>
    </row>
    <row r="10" ht="15" customHeight="1">
      <c r="B10" s="3" t="s">
        <v>151</v>
      </c>
      <c r="C10" s="66">
        <v>21621.967</v>
      </c>
      <c r="D10" s="66">
        <v>11510.307</v>
      </c>
      <c r="E10" s="66">
        <v>12050.762</v>
      </c>
      <c r="F10" s="66">
        <v>12249.757</v>
      </c>
      <c r="G10" s="66">
        <v>12559.938</v>
      </c>
      <c r="H10" s="56">
        <f t="shared" si="2" ref="H10:H97">C10+D10+E10</f>
        <v>45183.03600000001</v>
      </c>
      <c r="I10" s="41">
        <f>'Revenue summary'!I10</f>
        <v>12871.38726377</v>
      </c>
      <c r="J10" s="28" t="s">
        <v>152</v>
      </c>
    </row>
    <row r="11" ht="15" customHeight="1">
      <c r="B11" s="4" t="s">
        <v>88</v>
      </c>
      <c r="D11" s="17">
        <f t="shared" si="0" ref="D11:I27">D10/D115-1</f>
        <v>0.1715679344200025</v>
      </c>
      <c r="E11" s="17">
        <f t="shared" si="0"/>
        <v>0.1760841956673458</v>
      </c>
      <c r="F11" s="17">
        <f t="shared" si="0"/>
        <v>0.16190725785301274</v>
      </c>
      <c r="G11" s="17">
        <f t="shared" si="0"/>
        <v>0.13365374252899542</v>
      </c>
      <c r="H11" s="17">
        <f t="shared" si="0"/>
        <v>0.15851068919677536</v>
      </c>
      <c r="I11" s="43">
        <f t="shared" si="0"/>
        <v>0.1182488237516166</v>
      </c>
    </row>
    <row r="12" ht="15" customHeight="1">
      <c r="B12" s="4" t="s">
        <v>89</v>
      </c>
      <c r="D12" s="45">
        <f t="shared" si="13" ref="D12:D28">D10-G115</f>
        <v>431.1409999999996</v>
      </c>
      <c r="E12" s="45">
        <f t="shared" si="1" ref="E12:G82">E10-D10</f>
        <v>540.4549999999999</v>
      </c>
      <c r="F12" s="45">
        <f t="shared" si="1"/>
        <v>198.99499999999898</v>
      </c>
      <c r="G12" s="45">
        <f t="shared" si="1"/>
        <v>310.1810000000005</v>
      </c>
      <c r="I12" s="46">
        <f t="shared" si="4" ref="I12:I82">I10-G10</f>
        <v>311.44926377000047</v>
      </c>
    </row>
    <row r="13" ht="15" customHeight="1">
      <c r="B13" s="3" t="s">
        <v>153</v>
      </c>
      <c r="I13" s="39"/>
    </row>
    <row r="14" ht="41.25" customHeight="1">
      <c r="B14" s="9" t="s">
        <v>154</v>
      </c>
      <c r="C14" s="15">
        <f>'Cash Flow Statement'!C17</f>
        <v>7655.186</v>
      </c>
      <c r="D14" s="15">
        <f>'Cash Flow Statement'!D17</f>
        <v>4002.744</v>
      </c>
      <c r="E14" s="15">
        <f>'Cash Flow Statement'!E17</f>
        <v>4764.236</v>
      </c>
      <c r="F14" s="15">
        <f>'Cash Flow Statement'!F17</f>
        <v>4217.9</v>
      </c>
      <c r="G14" s="15">
        <f>'Cash Flow Statement'!G17</f>
        <v>4311.309</v>
      </c>
      <c r="H14" s="16">
        <f t="shared" si="2"/>
        <v>16422.166</v>
      </c>
      <c r="I14" s="61">
        <f>D14*(1+I104)</f>
        <v>4342.97724</v>
      </c>
      <c r="J14" s="19" t="s">
        <v>155</v>
      </c>
    </row>
    <row r="15" ht="15" customHeight="1">
      <c r="B15" s="4" t="s">
        <v>142</v>
      </c>
      <c r="D15" s="17">
        <f t="shared" si="3" ref="D15:I15">D14/D116-1</f>
        <v>0.0819627730184529</v>
      </c>
      <c r="E15" s="17">
        <f t="shared" si="3"/>
        <v>0.14483596183204073</v>
      </c>
      <c r="F15" s="17">
        <f t="shared" si="3"/>
        <v>0.10326351935282041</v>
      </c>
      <c r="G15" s="17">
        <f t="shared" si="3"/>
        <v>0.12505891065777952</v>
      </c>
      <c r="H15" s="17">
        <f t="shared" si="3"/>
        <v>0.07323777113079721</v>
      </c>
      <c r="I15" s="43">
        <f t="shared" si="3"/>
        <v>0.08499999999999996</v>
      </c>
    </row>
    <row r="16" ht="15" customHeight="1">
      <c r="B16" s="4" t="s">
        <v>156</v>
      </c>
      <c r="D16" s="45">
        <f>D14-G116</f>
        <v>170.67000000000007</v>
      </c>
      <c r="E16" s="45">
        <f t="shared" si="1"/>
        <v>761.4919999999997</v>
      </c>
      <c r="F16" s="45">
        <f t="shared" si="1"/>
        <v>-546.3360000000002</v>
      </c>
      <c r="G16" s="45">
        <f t="shared" si="1"/>
        <v>93.40900000000056</v>
      </c>
      <c r="I16" s="46">
        <f t="shared" si="4"/>
        <v>31.66823999999997</v>
      </c>
    </row>
    <row r="17" ht="15" customHeight="1">
      <c r="B17" s="4" t="s">
        <v>157</v>
      </c>
      <c r="C17" s="17">
        <f t="shared" si="5" ref="C17:I17">C14/C10</f>
        <v>0.35404669704657304</v>
      </c>
      <c r="D17" s="17">
        <f t="shared" si="5"/>
        <v>0.3477530182296615</v>
      </c>
      <c r="E17" s="17">
        <f t="shared" si="5"/>
        <v>0.3953472817735509</v>
      </c>
      <c r="F17" s="17">
        <f t="shared" si="5"/>
        <v>0.3443251976345327</v>
      </c>
      <c r="G17" s="17">
        <f t="shared" si="5"/>
        <v>0.34325878041754665</v>
      </c>
      <c r="H17" s="17">
        <f t="shared" si="5"/>
        <v>0.36345866621269096</v>
      </c>
      <c r="I17" s="43">
        <f t="shared" si="5"/>
        <v>0.3374132990485403</v>
      </c>
    </row>
    <row r="18" ht="15" customHeight="1">
      <c r="B18" s="4" t="s">
        <v>158</v>
      </c>
      <c r="D18" s="51">
        <f t="shared" si="6" ref="D18:I18">(D17-(D116/D115))*10000</f>
        <v>-287.99942200796346</v>
      </c>
      <c r="E18" s="51">
        <f t="shared" si="6"/>
        <v>-107.90982043613117</v>
      </c>
      <c r="F18" s="51">
        <f t="shared" si="6"/>
        <v>-183.025328898318</v>
      </c>
      <c r="G18" s="51">
        <f t="shared" si="6"/>
        <v>-26.22308465858425</v>
      </c>
      <c r="H18" s="51">
        <f t="shared" si="6"/>
        <v>-288.78205648380396</v>
      </c>
      <c r="I18" s="52">
        <f t="shared" si="6"/>
        <v>-103.39719181121198</v>
      </c>
    </row>
    <row r="19" ht="41.25" customHeight="1">
      <c r="B19" s="9" t="s">
        <v>159</v>
      </c>
      <c r="C19" s="16">
        <f t="shared" si="7" ref="C19:G19">C135-C14-C22</f>
        <v>2933.272000000001</v>
      </c>
      <c r="D19" s="16">
        <f t="shared" si="7"/>
        <v>1542.5059999999999</v>
      </c>
      <c r="E19" s="16">
        <f t="shared" si="7"/>
        <v>1758.3850000000002</v>
      </c>
      <c r="F19" s="16">
        <f t="shared" si="7"/>
        <v>1670.3380000000006</v>
      </c>
      <c r="G19" s="16">
        <f t="shared" si="7"/>
        <v>1725.656</v>
      </c>
      <c r="H19" s="16">
        <f t="shared" si="2"/>
        <v>6234.1630000000005</v>
      </c>
      <c r="I19" s="61">
        <f>D19*(1+I105)</f>
        <v>1820.1570799999997</v>
      </c>
      <c r="J19" s="19" t="s">
        <v>160</v>
      </c>
    </row>
    <row r="20" ht="15" customHeight="1">
      <c r="B20" s="4" t="s">
        <v>142</v>
      </c>
      <c r="D20" s="17">
        <f t="shared" si="8" ref="D20:I20">D19/D134-1</f>
        <v>0.08599421415511399</v>
      </c>
      <c r="E20" s="17">
        <f t="shared" si="8"/>
        <v>0.09497821420631825</v>
      </c>
      <c r="F20" s="17">
        <f t="shared" si="8"/>
        <v>0.15992875173172938</v>
      </c>
      <c r="G20" s="17">
        <f t="shared" si="8"/>
        <v>0.15564776388476864</v>
      </c>
      <c r="H20" s="17">
        <f t="shared" si="8"/>
        <v>0.08666909420637836</v>
      </c>
      <c r="I20" s="43">
        <f t="shared" si="8"/>
        <v>0.17999999999999994</v>
      </c>
    </row>
    <row r="21" ht="15" customHeight="1">
      <c r="B21" s="4" t="s">
        <v>156</v>
      </c>
      <c r="D21" s="45">
        <f>D19-G134</f>
        <v>49.26900000000023</v>
      </c>
      <c r="E21" s="45">
        <f t="shared" si="1"/>
        <v>215.87900000000036</v>
      </c>
      <c r="F21" s="45">
        <f t="shared" si="1"/>
        <v>-88.04699999999957</v>
      </c>
      <c r="G21" s="45">
        <f t="shared" si="1"/>
        <v>55.3179999999993</v>
      </c>
      <c r="I21" s="46">
        <f t="shared" si="4"/>
        <v>94.50107999999977</v>
      </c>
    </row>
    <row r="22" ht="41.25" customHeight="1">
      <c r="B22" s="9" t="s">
        <v>161</v>
      </c>
      <c r="C22" s="26">
        <v>0</v>
      </c>
      <c r="D22" s="26">
        <v>619</v>
      </c>
      <c r="E22" s="26">
        <v>0</v>
      </c>
      <c r="F22" s="26">
        <v>0</v>
      </c>
      <c r="G22" s="26">
        <v>0</v>
      </c>
      <c r="H22" s="16">
        <f t="shared" si="2"/>
        <v>619</v>
      </c>
      <c r="I22" s="67">
        <v>0</v>
      </c>
      <c r="J22" s="19" t="s">
        <v>162</v>
      </c>
    </row>
    <row r="23" ht="15" customHeight="1">
      <c r="B23" s="3" t="s">
        <v>163</v>
      </c>
      <c r="C23" s="56">
        <f t="shared" si="9" ref="C23:I23">C14+C19+C22</f>
        <v>10588.458</v>
      </c>
      <c r="D23" s="56">
        <f t="shared" si="9"/>
        <v>6164.25</v>
      </c>
      <c r="E23" s="56">
        <f t="shared" si="9"/>
        <v>6522.621</v>
      </c>
      <c r="F23" s="56">
        <f t="shared" si="9"/>
        <v>5888.238</v>
      </c>
      <c r="G23" s="56">
        <f t="shared" si="9"/>
        <v>6036.965</v>
      </c>
      <c r="H23" s="56">
        <f t="shared" si="9"/>
        <v>23275.329</v>
      </c>
      <c r="I23" s="57">
        <f t="shared" si="9"/>
        <v>6163.13432</v>
      </c>
    </row>
    <row r="24" ht="15" customHeight="1">
      <c r="B24" s="4" t="s">
        <v>89</v>
      </c>
      <c r="D24" s="45">
        <f>D23-G118</f>
        <v>838.9390000000003</v>
      </c>
      <c r="E24" s="45">
        <f t="shared" si="10" ref="E24:G24">E23-D23</f>
        <v>358.3710000000001</v>
      </c>
      <c r="F24" s="45">
        <f t="shared" si="10"/>
        <v>-634.3829999999998</v>
      </c>
      <c r="G24" s="45">
        <f t="shared" si="10"/>
        <v>148.72699999999986</v>
      </c>
      <c r="I24" s="46">
        <f>I23-G23</f>
        <v>126.16931999999997</v>
      </c>
    </row>
    <row r="25" ht="15" customHeight="1">
      <c r="B25" s="4" t="s">
        <v>88</v>
      </c>
      <c r="D25" s="17">
        <f t="shared" si="11" ref="D25:I25">D23/D118-1</f>
        <v>0.20398235585024982</v>
      </c>
      <c r="E25" s="17">
        <f t="shared" si="11"/>
        <v>0.13095358642180388</v>
      </c>
      <c r="F25" s="17">
        <f t="shared" si="11"/>
        <v>0.11876753584879918</v>
      </c>
      <c r="G25" s="17">
        <f t="shared" si="11"/>
        <v>0.13363613880954572</v>
      </c>
      <c r="H25" s="17">
        <f t="shared" si="11"/>
        <v>0.10632263838272604</v>
      </c>
      <c r="I25" s="43">
        <f t="shared" si="11"/>
        <v>-0.0001809920103824636</v>
      </c>
    </row>
    <row r="26" ht="15" customHeight="1">
      <c r="B26" s="3" t="s">
        <v>164</v>
      </c>
      <c r="C26" s="56">
        <f t="shared" si="12" ref="C26:I26">C10-C23</f>
        <v>11033.509</v>
      </c>
      <c r="D26" s="56">
        <f t="shared" si="12"/>
        <v>5346.057000000001</v>
      </c>
      <c r="E26" s="56">
        <f t="shared" si="12"/>
        <v>5528.1410000000005</v>
      </c>
      <c r="F26" s="56">
        <f t="shared" si="12"/>
        <v>6361.518999999999</v>
      </c>
      <c r="G26" s="56">
        <f t="shared" si="12"/>
        <v>6522.973</v>
      </c>
      <c r="H26" s="56">
        <f t="shared" si="12"/>
        <v>21907.707000000006</v>
      </c>
      <c r="I26" s="57">
        <f t="shared" si="12"/>
        <v>6708.2529437700005</v>
      </c>
      <c r="J26" s="28" t="s">
        <v>165</v>
      </c>
    </row>
    <row r="27" ht="15" customHeight="1">
      <c r="B27" s="4" t="s">
        <v>88</v>
      </c>
      <c r="D27" s="17">
        <f t="shared" si="0"/>
        <v>0.1362938723041207</v>
      </c>
      <c r="E27" s="17">
        <f t="shared" si="0"/>
        <v>0.23419448649732377</v>
      </c>
      <c r="F27" s="17">
        <f t="shared" si="0"/>
        <v>0.20491210219457567</v>
      </c>
      <c r="G27" s="17">
        <f t="shared" si="0"/>
        <v>0.13367003513296716</v>
      </c>
      <c r="H27" s="17">
        <f t="shared" si="0"/>
        <v>0.21963560532936932</v>
      </c>
      <c r="I27" s="43">
        <f t="shared" si="0"/>
        <v>0.25480385708008724</v>
      </c>
    </row>
    <row r="28" ht="15" customHeight="1">
      <c r="B28" s="4" t="s">
        <v>89</v>
      </c>
      <c r="D28" s="45">
        <f t="shared" si="13"/>
        <v>-407.7980000000007</v>
      </c>
      <c r="E28" s="45">
        <f t="shared" si="1"/>
        <v>182.08399999999983</v>
      </c>
      <c r="F28" s="45">
        <f t="shared" si="1"/>
        <v>833.3779999999988</v>
      </c>
      <c r="G28" s="45">
        <f t="shared" si="1"/>
        <v>161.45400000000063</v>
      </c>
      <c r="I28" s="46">
        <f t="shared" si="4"/>
        <v>185.2799437700005</v>
      </c>
    </row>
    <row r="29" ht="15" customHeight="1">
      <c r="B29" s="4" t="s">
        <v>166</v>
      </c>
      <c r="C29" s="17">
        <f t="shared" si="14" ref="C29:I29">C26/C10</f>
        <v>0.5102916399789159</v>
      </c>
      <c r="D29" s="17">
        <f t="shared" si="14"/>
        <v>0.4644582459877048</v>
      </c>
      <c r="E29" s="17">
        <f t="shared" si="14"/>
        <v>0.4587378789822586</v>
      </c>
      <c r="F29" s="17">
        <f t="shared" si="14"/>
        <v>0.5193179750422804</v>
      </c>
      <c r="G29" s="17">
        <f t="shared" si="14"/>
        <v>0.5193475477347101</v>
      </c>
      <c r="H29" s="17">
        <f t="shared" si="14"/>
        <v>0.4848657580247596</v>
      </c>
      <c r="I29" s="43">
        <f t="shared" si="14"/>
        <v>0.5211755971830785</v>
      </c>
    </row>
    <row r="30" ht="41.25" customHeight="1">
      <c r="B30" s="4" t="s">
        <v>167</v>
      </c>
      <c r="D30" s="51">
        <f t="shared" si="15" ref="D30:I30">(D29-(D115-D118)/D115)*10000</f>
        <v>-144.1821470530541</v>
      </c>
      <c r="E30" s="51">
        <f t="shared" si="15"/>
        <v>215.99020133399483</v>
      </c>
      <c r="F30" s="51">
        <f t="shared" si="15"/>
        <v>185.35118569887544</v>
      </c>
      <c r="G30" s="51">
        <f t="shared" si="15"/>
        <v>0.07463833087917315</v>
      </c>
      <c r="H30" s="51">
        <f t="shared" si="15"/>
        <v>243.00191520586378</v>
      </c>
      <c r="I30" s="52">
        <f t="shared" si="15"/>
        <v>567.1735119537369</v>
      </c>
      <c r="J30" s="19" t="str">
        <f>"Laps 3Q25 "&amp;TEXT(D22,"$#,##0")&amp;"m Brazil charge (row 22): ex-charge, 3Q25 gross margin "&amp;TEXT((I115-I118+D22)/I115,"0.0%")&amp;" → Y/Y "&amp;TEXT((I29-(I115-I118+D22)/I115)*10000,"+0;-0")&amp;"bp underlying (memo only; reported basis unchanged)"</f>
        <v>Laps 3Q25 $619m Brazil charge (row 22): ex-charge, 3Q25 gross margin 51.8% → Y/Y +29bp underlying (memo only; reported basis unchanged)</v>
      </c>
    </row>
    <row r="31" ht="15" customHeight="1">
      <c r="B31" s="9" t="s">
        <v>169</v>
      </c>
      <c r="C31" s="26">
        <v>1401.635</v>
      </c>
      <c r="D31" s="26">
        <v>786.295</v>
      </c>
      <c r="E31" s="26">
        <v>1113.376</v>
      </c>
      <c r="F31" s="26">
        <v>842.217</v>
      </c>
      <c r="G31" s="26">
        <v>823.838</v>
      </c>
      <c r="H31" s="16">
        <f t="shared" si="2"/>
        <v>3301.3059999999996</v>
      </c>
      <c r="I31" s="61">
        <f>D31*(1+I106)</f>
        <v>872.78745</v>
      </c>
    </row>
    <row r="32" ht="15" customHeight="1">
      <c r="B32" s="4" t="s">
        <v>88</v>
      </c>
      <c r="D32" s="17">
        <f t="shared" si="16" ref="D32:I32">D31/D119-1</f>
        <v>0.22299455924943135</v>
      </c>
      <c r="E32" s="17">
        <f t="shared" si="16"/>
        <v>0.1405157118798941</v>
      </c>
      <c r="F32" s="17">
        <f t="shared" si="16"/>
        <v>0.22349463224719268</v>
      </c>
      <c r="G32" s="17">
        <f t="shared" si="16"/>
        <v>0.15502372890861027</v>
      </c>
      <c r="H32" s="17">
        <f t="shared" si="16"/>
        <v>0.13153209846330172</v>
      </c>
      <c r="I32" s="43">
        <f t="shared" si="16"/>
        <v>0.1100000000000001</v>
      </c>
    </row>
    <row r="33" ht="15" customHeight="1">
      <c r="B33" s="4" t="s">
        <v>89</v>
      </c>
      <c r="D33" s="45">
        <f>D31-G119</f>
        <v>73.02999999999997</v>
      </c>
      <c r="E33" s="45">
        <f t="shared" si="1"/>
        <v>327.081</v>
      </c>
      <c r="F33" s="45">
        <f t="shared" si="1"/>
        <v>-271.159</v>
      </c>
      <c r="G33" s="45">
        <f t="shared" si="1"/>
        <v>-18.37900000000002</v>
      </c>
      <c r="I33" s="46">
        <f t="shared" si="4"/>
        <v>48.94945000000007</v>
      </c>
    </row>
    <row r="34" ht="15" customHeight="1">
      <c r="B34" s="9" t="s">
        <v>170</v>
      </c>
      <c r="C34" s="26">
        <v>1647.506</v>
      </c>
      <c r="D34" s="26">
        <v>853.584</v>
      </c>
      <c r="E34" s="26">
        <v>890.3</v>
      </c>
      <c r="F34" s="26">
        <v>959.696</v>
      </c>
      <c r="G34" s="26">
        <v>1007.675</v>
      </c>
      <c r="H34" s="16">
        <f t="shared" si="2"/>
        <v>3391.3900000000003</v>
      </c>
      <c r="I34" s="61">
        <f>D34*(1+I107)</f>
        <v>1015.7649599999999</v>
      </c>
    </row>
    <row r="35" ht="15" customHeight="1">
      <c r="B35" s="4" t="s">
        <v>88</v>
      </c>
      <c r="D35" s="17">
        <f t="shared" si="17" ref="D35:I35">D34/D120-1</f>
        <v>0.16123924071814244</v>
      </c>
      <c r="E35" s="17">
        <f t="shared" si="17"/>
        <v>0.1465476719402965</v>
      </c>
      <c r="F35" s="17">
        <f t="shared" si="17"/>
        <v>0.16634561746572474</v>
      </c>
      <c r="G35" s="17">
        <f t="shared" si="17"/>
        <v>0.22189374583931043</v>
      </c>
      <c r="H35" s="17">
        <f t="shared" si="17"/>
        <v>0.15933264850211692</v>
      </c>
      <c r="I35" s="43">
        <f t="shared" si="17"/>
        <v>0.18999999999999995</v>
      </c>
    </row>
    <row r="36" ht="15" customHeight="1">
      <c r="B36" s="4" t="s">
        <v>89</v>
      </c>
      <c r="D36" s="45">
        <f>D34-G120</f>
        <v>28.900999999999954</v>
      </c>
      <c r="E36" s="45">
        <f t="shared" si="1"/>
        <v>36.71600000000001</v>
      </c>
      <c r="F36" s="45">
        <f t="shared" si="1"/>
        <v>69.39600000000007</v>
      </c>
      <c r="G36" s="45">
        <f t="shared" si="1"/>
        <v>47.97899999999993</v>
      </c>
      <c r="I36" s="46">
        <f t="shared" si="4"/>
        <v>8.089959999999905</v>
      </c>
    </row>
    <row r="37" ht="15" customHeight="1">
      <c r="B37" s="9" t="s">
        <v>171</v>
      </c>
      <c r="C37" s="26">
        <v>862.675</v>
      </c>
      <c r="D37" s="26">
        <v>457.931</v>
      </c>
      <c r="E37" s="26">
        <v>567.802</v>
      </c>
      <c r="F37" s="26">
        <v>602.609</v>
      </c>
      <c r="G37" s="26">
        <v>498.85</v>
      </c>
      <c r="H37" s="16">
        <f t="shared" si="2"/>
        <v>1888.408</v>
      </c>
      <c r="I37" s="61">
        <f>D37*(1+I108)</f>
        <v>515.172375</v>
      </c>
    </row>
    <row r="38" ht="15" customHeight="1">
      <c r="B38" s="4" t="s">
        <v>88</v>
      </c>
      <c r="D38" s="17">
        <f t="shared" si="18" ref="D38:I38">D37/D121-1</f>
        <v>0.09722704760718148</v>
      </c>
      <c r="E38" s="17">
        <f t="shared" si="18"/>
        <v>0.25156389830583215</v>
      </c>
      <c r="F38" s="17">
        <f t="shared" si="18"/>
        <v>0.42980624587744587</v>
      </c>
      <c r="G38" s="17">
        <f t="shared" si="18"/>
        <v>0.13063305025010585</v>
      </c>
      <c r="H38" s="17">
        <f t="shared" si="18"/>
        <v>0.10949749095055994</v>
      </c>
      <c r="I38" s="43">
        <f t="shared" si="18"/>
        <v>0.125</v>
      </c>
    </row>
    <row r="39" ht="15" customHeight="1">
      <c r="B39" s="4" t="s">
        <v>89</v>
      </c>
      <c r="D39" s="45">
        <f>D37-G121</f>
        <v>16.71799999999996</v>
      </c>
      <c r="E39" s="45">
        <f t="shared" si="1"/>
        <v>109.87100000000004</v>
      </c>
      <c r="F39" s="45">
        <f t="shared" si="1"/>
        <v>34.807000000000016</v>
      </c>
      <c r="G39" s="45">
        <f t="shared" si="1"/>
        <v>-103.75900000000001</v>
      </c>
      <c r="I39" s="46">
        <f t="shared" si="4"/>
        <v>16.322374999999965</v>
      </c>
    </row>
    <row r="40" ht="15" customHeight="1">
      <c r="B40" s="3" t="s">
        <v>172</v>
      </c>
      <c r="C40" s="56">
        <f t="shared" si="19" ref="C40:I40">C31+C34+C37</f>
        <v>3911.816</v>
      </c>
      <c r="D40" s="56">
        <f t="shared" si="19"/>
        <v>2097.81</v>
      </c>
      <c r="E40" s="56">
        <f t="shared" si="19"/>
        <v>2571.478</v>
      </c>
      <c r="F40" s="56">
        <f t="shared" si="19"/>
        <v>2404.522</v>
      </c>
      <c r="G40" s="56">
        <f t="shared" si="19"/>
        <v>2330.363</v>
      </c>
      <c r="H40" s="56">
        <f t="shared" si="19"/>
        <v>8581.104</v>
      </c>
      <c r="I40" s="57">
        <f t="shared" si="19"/>
        <v>2403.724785</v>
      </c>
    </row>
    <row r="41" ht="15" customHeight="1">
      <c r="B41" s="4" t="s">
        <v>88</v>
      </c>
      <c r="D41" s="17">
        <f t="shared" si="20" ref="D41:I41">D40/D132-1</f>
        <v>0.16847375040521517</v>
      </c>
      <c r="E41" s="17">
        <f t="shared" si="20"/>
        <v>0.16547217776786716</v>
      </c>
      <c r="F41" s="17">
        <f t="shared" si="20"/>
        <v>0.24415480259021916</v>
      </c>
      <c r="G41" s="17">
        <f t="shared" si="20"/>
        <v>0.17744993964614308</v>
      </c>
      <c r="H41" s="17">
        <f t="shared" si="20"/>
        <v>0.13734014341896117</v>
      </c>
      <c r="I41" s="43">
        <f t="shared" si="20"/>
        <v>0.1458257826018563</v>
      </c>
    </row>
    <row r="42" ht="15" customHeight="1">
      <c r="B42" s="4" t="s">
        <v>89</v>
      </c>
      <c r="D42" s="45">
        <f>D40-G132</f>
        <v>118.64900000000011</v>
      </c>
      <c r="E42" s="45">
        <f t="shared" si="1"/>
        <v>473.6680000000001</v>
      </c>
      <c r="F42" s="45">
        <f t="shared" si="1"/>
        <v>-166.95600000000013</v>
      </c>
      <c r="G42" s="45">
        <f t="shared" si="1"/>
        <v>-74.1590000000001</v>
      </c>
      <c r="I42" s="46">
        <f t="shared" si="4"/>
        <v>73.36178500000005</v>
      </c>
    </row>
    <row r="43" ht="66.75" customHeight="1">
      <c r="B43" s="3" t="s">
        <v>173</v>
      </c>
      <c r="C43" s="56">
        <f t="shared" si="21" ref="C43:I43">C26-C40</f>
        <v>7121.693</v>
      </c>
      <c r="D43" s="56">
        <f t="shared" si="21"/>
        <v>3248.2470000000008</v>
      </c>
      <c r="E43" s="56">
        <f t="shared" si="21"/>
        <v>2956.6630000000005</v>
      </c>
      <c r="F43" s="56">
        <f t="shared" si="21"/>
        <v>3956.9969999999994</v>
      </c>
      <c r="G43" s="56">
        <f t="shared" si="21"/>
        <v>4192.610000000001</v>
      </c>
      <c r="H43" s="56">
        <f t="shared" si="21"/>
        <v>13326.603000000006</v>
      </c>
      <c r="I43" s="57">
        <f t="shared" si="21"/>
        <v>4304.528158770001</v>
      </c>
      <c r="J43" s="19" t="s">
        <v>174</v>
      </c>
    </row>
    <row r="44" ht="15" customHeight="1">
      <c r="B44" s="4" t="s">
        <v>88</v>
      </c>
      <c r="D44" s="17">
        <f t="shared" si="22" ref="D44:I55">D43/D122-1</f>
        <v>0.11643673416218814</v>
      </c>
      <c r="E44" s="17">
        <f t="shared" si="22"/>
        <v>0.30090955250122553</v>
      </c>
      <c r="F44" s="17">
        <f t="shared" si="22"/>
        <v>0.18225222057132373</v>
      </c>
      <c r="G44" s="17">
        <f t="shared" si="22"/>
        <v>0.11071519969565768</v>
      </c>
      <c r="H44" s="17">
        <f t="shared" si="22"/>
        <v>0.2792375490203425</v>
      </c>
      <c r="I44" s="43">
        <f t="shared" si="22"/>
        <v>0.3251849870930381</v>
      </c>
    </row>
    <row r="45" ht="15" customHeight="1">
      <c r="B45" s="4" t="s">
        <v>89</v>
      </c>
      <c r="D45" s="45">
        <f t="shared" si="28" ref="D45:D56">D43-G122</f>
        <v>-526.4469999999992</v>
      </c>
      <c r="E45" s="45">
        <f t="shared" si="1"/>
        <v>-291.5840000000003</v>
      </c>
      <c r="F45" s="45">
        <f t="shared" si="1"/>
        <v>1000.3339999999989</v>
      </c>
      <c r="G45" s="45">
        <f t="shared" si="1"/>
        <v>235.6130000000012</v>
      </c>
      <c r="I45" s="46">
        <f t="shared" si="4"/>
        <v>111.91815877000045</v>
      </c>
    </row>
    <row r="46" ht="15" customHeight="1">
      <c r="B46" s="4" t="s">
        <v>175</v>
      </c>
      <c r="C46" s="17">
        <f t="shared" si="23" ref="C46:I46">C43/C10</f>
        <v>0.32937303992740347</v>
      </c>
      <c r="D46" s="17">
        <f t="shared" si="23"/>
        <v>0.2822033330648783</v>
      </c>
      <c r="E46" s="17">
        <f t="shared" si="23"/>
        <v>0.24535070894272082</v>
      </c>
      <c r="F46" s="17">
        <f t="shared" si="23"/>
        <v>0.3230265710576952</v>
      </c>
      <c r="G46" s="17">
        <f t="shared" si="23"/>
        <v>0.33380817644163535</v>
      </c>
      <c r="H46" s="17">
        <f t="shared" si="23"/>
        <v>0.2949470460550726</v>
      </c>
      <c r="I46" s="43">
        <f t="shared" si="23"/>
        <v>0.3344261244385257</v>
      </c>
    </row>
    <row r="47" ht="41.25" customHeight="1">
      <c r="B47" s="4" t="s">
        <v>167</v>
      </c>
      <c r="D47" s="51">
        <f t="shared" si="24" ref="D47:I47">(D46-(D122/D115))*10000</f>
        <v>-139.3559347570006</v>
      </c>
      <c r="E47" s="51">
        <f t="shared" si="24"/>
        <v>235.4198240326294</v>
      </c>
      <c r="F47" s="51">
        <f t="shared" si="24"/>
        <v>55.58850667260084</v>
      </c>
      <c r="G47" s="51">
        <f t="shared" si="24"/>
        <v>-68.93822246713532</v>
      </c>
      <c r="H47" s="51">
        <f t="shared" si="24"/>
        <v>278.3535451389385</v>
      </c>
      <c r="I47" s="52">
        <f t="shared" si="24"/>
        <v>522.2279137364739</v>
      </c>
      <c r="J47" s="19" t="str">
        <f>"Laps 3Q25 "&amp;TEXT(D22,"$#,##0")&amp;"m Brazil charge (row 22): ex-charge, 3Q25 operating margin "&amp;TEXT((I122+D22)/I115,"0.0%")&amp;" → Y/Y "&amp;TEXT((I46-(I122+D22)/I115)*10000,"+0;-0")&amp;"bp underlying (memo only; reported basis unchanged)"</f>
        <v>Laps 3Q25 $619m Brazil charge (row 22): ex-charge, 3Q25 operating margin 33.6% → Y/Y -16bp underlying (memo only; reported basis unchanged)</v>
      </c>
    </row>
    <row r="48" ht="15" customHeight="1">
      <c r="B48" s="9" t="s">
        <v>177</v>
      </c>
      <c r="C48" s="26">
        <v>-366.821</v>
      </c>
      <c r="D48" s="26">
        <v>-175.294</v>
      </c>
      <c r="E48" s="26">
        <v>-234.395</v>
      </c>
      <c r="F48" s="26">
        <v>-262.077</v>
      </c>
      <c r="G48" s="26">
        <v>-175.685</v>
      </c>
      <c r="H48" s="16">
        <f t="shared" si="2"/>
        <v>-776.51</v>
      </c>
      <c r="I48" s="61">
        <f>I109</f>
        <v>-186</v>
      </c>
    </row>
    <row r="49" ht="15" customHeight="1">
      <c r="B49" s="4" t="s">
        <v>88</v>
      </c>
      <c r="D49" s="17">
        <f t="shared" si="25" ref="D49:I49">D48/D123-1</f>
        <v>-0.05159335605691717</v>
      </c>
      <c r="E49" s="17">
        <f t="shared" si="25"/>
        <v>0.2169851975306718</v>
      </c>
      <c r="F49" s="17">
        <f t="shared" si="25"/>
        <v>0.42300132484851116</v>
      </c>
      <c r="G49" s="17">
        <f t="shared" si="25"/>
        <v>-0.03812777513153642</v>
      </c>
      <c r="H49" s="17">
        <f t="shared" si="25"/>
        <v>0.0803872926385738</v>
      </c>
      <c r="I49" s="43">
        <f t="shared" si="25"/>
        <v>0.0610745376339179</v>
      </c>
    </row>
    <row r="50" ht="15" customHeight="1">
      <c r="B50" s="4" t="s">
        <v>89</v>
      </c>
      <c r="D50" s="45">
        <f>D48-G123</f>
        <v>7.35499999999999</v>
      </c>
      <c r="E50" s="45">
        <f t="shared" si="1"/>
        <v>-59.101</v>
      </c>
      <c r="F50" s="45">
        <f t="shared" si="1"/>
        <v>-27.681999999999988</v>
      </c>
      <c r="G50" s="45">
        <f t="shared" si="1"/>
        <v>86.392</v>
      </c>
      <c r="I50" s="46">
        <f t="shared" si="4"/>
        <v>-10.314999999999998</v>
      </c>
    </row>
    <row r="51" ht="15" customHeight="1">
      <c r="B51" s="9" t="s">
        <v>178</v>
      </c>
      <c r="C51" s="26">
        <v>90.529</v>
      </c>
      <c r="D51" s="26">
        <v>36.457</v>
      </c>
      <c r="E51" s="26">
        <v>45.473</v>
      </c>
      <c r="F51" s="26">
        <v>2852.166</v>
      </c>
      <c r="G51" s="26">
        <v>51.661</v>
      </c>
      <c r="H51" s="16">
        <f t="shared" si="2"/>
        <v>172.459</v>
      </c>
      <c r="I51" s="61">
        <f>I110</f>
        <v>48</v>
      </c>
      <c r="J51" s="28" t="s">
        <v>179</v>
      </c>
    </row>
    <row r="52" ht="15" customHeight="1">
      <c r="B52" s="4" t="s">
        <v>180</v>
      </c>
      <c r="D52" s="45">
        <f t="shared" si="26" ref="D52:I52">D51-D124</f>
        <v>58.150000000000006</v>
      </c>
      <c r="E52" s="45">
        <f t="shared" si="26"/>
        <v>-8.631999999999998</v>
      </c>
      <c r="F52" s="45">
        <f t="shared" si="26"/>
        <v>2801.2670000000003</v>
      </c>
      <c r="G52" s="45">
        <f t="shared" si="26"/>
        <v>12.030999999999999</v>
      </c>
      <c r="H52" s="45">
        <f t="shared" si="26"/>
        <v>-94.31700000000001</v>
      </c>
      <c r="I52" s="46">
        <f t="shared" si="26"/>
        <v>11.543</v>
      </c>
      <c r="J52" s="28" t="s">
        <v>181</v>
      </c>
    </row>
    <row r="53" ht="15" customHeight="1">
      <c r="B53" s="4" t="s">
        <v>89</v>
      </c>
      <c r="D53" s="45">
        <f>D51-G124</f>
        <v>-3.173000000000002</v>
      </c>
      <c r="E53" s="45">
        <f t="shared" si="1"/>
        <v>9.015999999999998</v>
      </c>
      <c r="F53" s="45">
        <f t="shared" si="1"/>
        <v>2806.693</v>
      </c>
      <c r="G53" s="45">
        <f t="shared" si="1"/>
        <v>-2800.505</v>
      </c>
      <c r="I53" s="46">
        <f t="shared" si="4"/>
        <v>-3.6610000000000014</v>
      </c>
    </row>
    <row r="54" ht="15" customHeight="1">
      <c r="B54" s="3" t="s">
        <v>182</v>
      </c>
      <c r="C54" s="56">
        <f t="shared" si="27" ref="C54:I54">C43+C48+C51</f>
        <v>6845.401</v>
      </c>
      <c r="D54" s="56">
        <f t="shared" si="27"/>
        <v>3109.4100000000008</v>
      </c>
      <c r="E54" s="56">
        <f t="shared" si="27"/>
        <v>2767.7410000000004</v>
      </c>
      <c r="F54" s="56">
        <f t="shared" si="27"/>
        <v>6547.085999999999</v>
      </c>
      <c r="G54" s="56">
        <f t="shared" si="27"/>
        <v>4068.5860000000007</v>
      </c>
      <c r="H54" s="56">
        <f t="shared" si="27"/>
        <v>12722.552000000007</v>
      </c>
      <c r="I54" s="57">
        <f t="shared" si="27"/>
        <v>4166.528158770001</v>
      </c>
    </row>
    <row r="55" ht="15" customHeight="1">
      <c r="B55" s="4" t="s">
        <v>88</v>
      </c>
      <c r="D55" s="17">
        <f t="shared" si="22"/>
        <v>0.15037473815684654</v>
      </c>
      <c r="E55" s="17">
        <f t="shared" si="22"/>
        <v>0.2968104286809343</v>
      </c>
      <c r="F55" s="17">
        <f t="shared" si="22"/>
        <v>1.0372259489452431</v>
      </c>
      <c r="G55" s="17">
        <f t="shared" si="22"/>
        <v>0.12030564408984845</v>
      </c>
      <c r="H55" s="17">
        <f t="shared" si="22"/>
        <v>0.2766395632520775</v>
      </c>
      <c r="I55" s="43">
        <f t="shared" si="22"/>
        <v>0.33997387246133504</v>
      </c>
    </row>
    <row r="56" ht="15" customHeight="1">
      <c r="B56" s="4" t="s">
        <v>89</v>
      </c>
      <c r="D56" s="45">
        <f t="shared" si="28"/>
        <v>-522.2649999999994</v>
      </c>
      <c r="E56" s="45">
        <f t="shared" si="1"/>
        <v>-341.6690000000003</v>
      </c>
      <c r="F56" s="45">
        <f t="shared" si="1"/>
        <v>3779.344999999999</v>
      </c>
      <c r="G56" s="45">
        <f t="shared" si="1"/>
        <v>-2478.4999999999986</v>
      </c>
      <c r="I56" s="46">
        <f t="shared" si="4"/>
        <v>97.94215877000033</v>
      </c>
    </row>
    <row r="57" ht="15" customHeight="1">
      <c r="B57" s="9" t="s">
        <v>183</v>
      </c>
      <c r="C57" s="26">
        <v>-829.637</v>
      </c>
      <c r="D57" s="26">
        <v>-562.494</v>
      </c>
      <c r="E57" s="26">
        <v>-349.22</v>
      </c>
      <c r="F57" s="26">
        <v>-1264.295</v>
      </c>
      <c r="G57" s="26">
        <v>-667.172</v>
      </c>
      <c r="H57" s="16">
        <f t="shared" si="2"/>
        <v>-1741.3509999999999</v>
      </c>
      <c r="I57" s="61">
        <f>-I54*I111</f>
        <v>-687.4771461970502</v>
      </c>
    </row>
    <row r="58" ht="15" customHeight="1">
      <c r="B58" s="4" t="s">
        <v>88</v>
      </c>
      <c r="D58" s="17">
        <f t="shared" si="29" ref="D58:I58">D57/D125-1</f>
        <v>0.6570990882175316</v>
      </c>
      <c r="E58" s="17">
        <f t="shared" si="29"/>
        <v>0.31453243042825263</v>
      </c>
      <c r="F58" s="17">
        <f t="shared" si="29"/>
        <v>2.9096868960185547</v>
      </c>
      <c r="G58" s="17">
        <f t="shared" si="29"/>
        <v>0.3178393796097674</v>
      </c>
      <c r="H58" s="17">
        <f t="shared" si="29"/>
        <v>0.38860837016138405</v>
      </c>
      <c r="I58" s="43">
        <f t="shared" si="29"/>
        <v>0.22219462998191997</v>
      </c>
    </row>
    <row r="59" ht="15" customHeight="1">
      <c r="B59" s="4" t="s">
        <v>89</v>
      </c>
      <c r="D59" s="45">
        <f>D57-G125</f>
        <v>-56.23200000000003</v>
      </c>
      <c r="E59" s="45">
        <f t="shared" si="1"/>
        <v>213.274</v>
      </c>
      <c r="F59" s="45">
        <f t="shared" si="1"/>
        <v>-915.075</v>
      </c>
      <c r="G59" s="45">
        <f t="shared" si="1"/>
        <v>597.123</v>
      </c>
      <c r="I59" s="46">
        <f t="shared" si="4"/>
        <v>-20.305146197050135</v>
      </c>
    </row>
    <row r="60" ht="15" customHeight="1">
      <c r="B60" s="4" t="s">
        <v>184</v>
      </c>
      <c r="C60" s="17">
        <f t="shared" si="30" ref="C60:I60">-C57/C54</f>
        <v>0.1211962600876121</v>
      </c>
      <c r="D60" s="17">
        <f t="shared" si="30"/>
        <v>0.18090055669725122</v>
      </c>
      <c r="E60" s="17">
        <f t="shared" si="30"/>
        <v>0.12617510092165415</v>
      </c>
      <c r="F60" s="17">
        <f t="shared" si="30"/>
        <v>0.19310804837449824</v>
      </c>
      <c r="G60" s="17">
        <f t="shared" si="30"/>
        <v>0.16398129472991352</v>
      </c>
      <c r="H60" s="17">
        <f t="shared" si="30"/>
        <v>0.13687120319885498</v>
      </c>
      <c r="I60" s="43">
        <f t="shared" si="30"/>
        <v>0.165</v>
      </c>
    </row>
    <row r="61" ht="15" customHeight="1">
      <c r="B61" s="4" t="s">
        <v>167</v>
      </c>
      <c r="D61" s="51">
        <f t="shared" si="31" ref="D61:I61">(D60-(-D125/(D122+D123+D124)))*10000</f>
        <v>553.1758340210819</v>
      </c>
      <c r="E61" s="51">
        <f t="shared" si="31"/>
        <v>17.01042368557726</v>
      </c>
      <c r="F61" s="51">
        <f t="shared" si="31"/>
        <v>924.8497098706695</v>
      </c>
      <c r="G61" s="51">
        <f t="shared" si="31"/>
        <v>245.79503545405</v>
      </c>
      <c r="H61" s="51">
        <f t="shared" si="31"/>
        <v>110.36448902173868</v>
      </c>
      <c r="I61" s="52">
        <f t="shared" si="31"/>
        <v>-159.0055669725121</v>
      </c>
    </row>
    <row r="62" ht="15" customHeight="1">
      <c r="B62" s="3" t="s">
        <v>185</v>
      </c>
      <c r="C62" s="56">
        <f t="shared" si="32" ref="C62:I62">C54+C57</f>
        <v>6015.764</v>
      </c>
      <c r="D62" s="56">
        <f t="shared" si="32"/>
        <v>2546.9160000000006</v>
      </c>
      <c r="E62" s="56">
        <f t="shared" si="32"/>
        <v>2418.5210000000006</v>
      </c>
      <c r="F62" s="56">
        <f t="shared" si="32"/>
        <v>5282.790999999999</v>
      </c>
      <c r="G62" s="56">
        <f t="shared" si="32"/>
        <v>3401.4140000000007</v>
      </c>
      <c r="H62" s="56">
        <f t="shared" si="32"/>
        <v>10981.201000000006</v>
      </c>
      <c r="I62" s="57">
        <f t="shared" si="32"/>
        <v>3479.0510125729506</v>
      </c>
    </row>
    <row r="63" ht="15" customHeight="1">
      <c r="B63" s="4" t="s">
        <v>88</v>
      </c>
      <c r="D63" s="17">
        <f t="shared" si="33" ref="D63:I63">D62/D126-1</f>
        <v>0.07759945064732165</v>
      </c>
      <c r="E63" s="17">
        <f t="shared" si="33"/>
        <v>0.294290880854027</v>
      </c>
      <c r="F63" s="17">
        <f t="shared" si="33"/>
        <v>0.8277333790947878</v>
      </c>
      <c r="G63" s="17">
        <f t="shared" si="33"/>
        <v>0.08830864912893133</v>
      </c>
      <c r="H63" s="17">
        <f t="shared" si="33"/>
        <v>0.26052182421408876</v>
      </c>
      <c r="I63" s="43">
        <f t="shared" si="33"/>
        <v>0.3659857696810378</v>
      </c>
    </row>
    <row r="64" ht="15" customHeight="1">
      <c r="B64" s="4" t="s">
        <v>89</v>
      </c>
      <c r="D64" s="45">
        <f>D62-G126</f>
        <v>-578.4969999999994</v>
      </c>
      <c r="E64" s="45">
        <f t="shared" si="1"/>
        <v>-128.39499999999998</v>
      </c>
      <c r="F64" s="45">
        <f t="shared" si="1"/>
        <v>2864.2699999999986</v>
      </c>
      <c r="G64" s="45">
        <f t="shared" si="1"/>
        <v>-1881.3769999999986</v>
      </c>
      <c r="I64" s="46">
        <f t="shared" si="4"/>
        <v>77.63701257294997</v>
      </c>
    </row>
    <row r="65" ht="15" customHeight="1">
      <c r="B65" s="4" t="s">
        <v>186</v>
      </c>
      <c r="C65" s="17">
        <f t="shared" si="34" ref="C65:I65">C62/C10</f>
        <v>0.2782246407091455</v>
      </c>
      <c r="D65" s="17">
        <f t="shared" si="34"/>
        <v>0.22127263851433332</v>
      </c>
      <c r="E65" s="17">
        <f t="shared" si="34"/>
        <v>0.2006944457122297</v>
      </c>
      <c r="F65" s="17">
        <f t="shared" si="34"/>
        <v>0.4312567996246782</v>
      </c>
      <c r="G65" s="17">
        <f t="shared" si="34"/>
        <v>0.2708145533839419</v>
      </c>
      <c r="H65" s="17">
        <f t="shared" si="34"/>
        <v>0.24303813935832033</v>
      </c>
      <c r="I65" s="43">
        <f t="shared" si="34"/>
        <v>0.27029339893809895</v>
      </c>
    </row>
    <row r="66" ht="15" customHeight="1">
      <c r="B66" s="4" t="s">
        <v>167</v>
      </c>
      <c r="D66" s="51">
        <f t="shared" si="35" ref="D66:I66">(D65-(D126/D115))*10000</f>
        <v>-192.9534608530295</v>
      </c>
      <c r="E66" s="51">
        <f t="shared" si="35"/>
        <v>183.29284022589516</v>
      </c>
      <c r="F66" s="51">
        <f t="shared" si="35"/>
        <v>1571.0280582360008</v>
      </c>
      <c r="G66" s="51">
        <f t="shared" si="35"/>
        <v>-112.83665922457165</v>
      </c>
      <c r="H66" s="51">
        <f t="shared" si="35"/>
        <v>196.68518205859658</v>
      </c>
      <c r="I66" s="52">
        <f t="shared" si="35"/>
        <v>490.2076042376563</v>
      </c>
    </row>
    <row r="67" ht="15" customHeight="1">
      <c r="B67" s="3" t="s">
        <v>187</v>
      </c>
      <c r="C67" s="48">
        <f t="shared" si="36" ref="C67:H67">ROUND(C62-C68,3)</f>
        <v>0</v>
      </c>
      <c r="D67" s="48">
        <f t="shared" si="36"/>
        <v>0</v>
      </c>
      <c r="E67" s="48">
        <f t="shared" si="36"/>
        <v>0</v>
      </c>
      <c r="F67" s="48">
        <f t="shared" si="36"/>
        <v>0</v>
      </c>
      <c r="G67" s="48">
        <f t="shared" si="36"/>
        <v>0</v>
      </c>
      <c r="H67" s="48">
        <f t="shared" si="36"/>
        <v>0</v>
      </c>
      <c r="I67" s="39"/>
    </row>
    <row r="68" ht="15" customHeight="1">
      <c r="B68" s="9" t="s">
        <v>188</v>
      </c>
      <c r="C68" s="26">
        <v>6015.764</v>
      </c>
      <c r="D68" s="26">
        <v>2546.916</v>
      </c>
      <c r="E68" s="26">
        <v>2418.521</v>
      </c>
      <c r="F68" s="26">
        <v>5282.791</v>
      </c>
      <c r="G68" s="26">
        <v>3401.414</v>
      </c>
      <c r="H68" s="26">
        <v>10981.201</v>
      </c>
      <c r="I68" s="39"/>
    </row>
    <row r="69" ht="15" customHeight="1">
      <c r="I69" s="39"/>
    </row>
    <row r="70" ht="15" customHeight="1">
      <c r="B70" s="3" t="s">
        <v>189</v>
      </c>
      <c r="I70" s="39"/>
    </row>
    <row r="71" ht="15" customHeight="1">
      <c r="B71" s="9" t="s">
        <v>190</v>
      </c>
      <c r="C71" s="15">
        <f>'Share Count'!C32</f>
        <v>4262.347</v>
      </c>
      <c r="D71" s="15">
        <f>'Share Count'!D32</f>
        <v>4244.553</v>
      </c>
      <c r="E71" s="15">
        <f>'Share Count'!E32</f>
        <v>4229.221</v>
      </c>
      <c r="F71" s="15">
        <f>'Share Count'!F32</f>
        <v>4222.787</v>
      </c>
      <c r="G71" s="15">
        <f>'Share Count'!G32</f>
        <v>4189.303</v>
      </c>
      <c r="H71" s="15">
        <f>'Share Count'!H32</f>
        <v>4249.512</v>
      </c>
      <c r="I71" s="42">
        <f>'Share Count'!I32</f>
        <v>4144.66940572973</v>
      </c>
    </row>
    <row r="72" ht="15" customHeight="1">
      <c r="B72" s="4" t="s">
        <v>88</v>
      </c>
      <c r="D72" s="17">
        <f t="shared" si="37" ref="D72:I72">D71/D129-1</f>
        <v>-0.008835486725870423</v>
      </c>
      <c r="E72" s="17">
        <f t="shared" si="37"/>
        <v>-0.01120790693074536</v>
      </c>
      <c r="F72" s="17">
        <f t="shared" si="37"/>
        <v>-0.011680683971123429</v>
      </c>
      <c r="G72" s="17">
        <f t="shared" si="37"/>
        <v>-0.01477124779403749</v>
      </c>
      <c r="H72" s="17">
        <f t="shared" si="37"/>
        <v>-0.010634917050254544</v>
      </c>
      <c r="I72" s="43">
        <f t="shared" si="37"/>
        <v>-0.023532182133258805</v>
      </c>
    </row>
    <row r="73" ht="15" customHeight="1">
      <c r="B73" s="4" t="s">
        <v>191</v>
      </c>
      <c r="D73" s="45">
        <f>D71-G129</f>
        <v>-7.5590000000001965</v>
      </c>
      <c r="E73" s="45">
        <f t="shared" si="1"/>
        <v>-15.332000000000335</v>
      </c>
      <c r="F73" s="45">
        <f t="shared" si="1"/>
        <v>-6.433999999999287</v>
      </c>
      <c r="G73" s="45">
        <f t="shared" si="1"/>
        <v>-33.48400000000038</v>
      </c>
      <c r="I73" s="46">
        <f t="shared" si="4"/>
        <v>-44.633594270269896</v>
      </c>
    </row>
    <row r="74" ht="15" customHeight="1">
      <c r="B74" s="9" t="s">
        <v>192</v>
      </c>
      <c r="C74" s="15">
        <f>'Share Count'!C38</f>
        <v>4359.167</v>
      </c>
      <c r="D74" s="15">
        <f>'Share Count'!D38</f>
        <v>4340.392</v>
      </c>
      <c r="E74" s="15">
        <f>'Share Count'!E38</f>
        <v>4317.144</v>
      </c>
      <c r="F74" s="15">
        <f>'Share Count'!F38</f>
        <v>4298.437</v>
      </c>
      <c r="G74" s="15">
        <f>'Share Count'!G38</f>
        <v>4261.3</v>
      </c>
      <c r="H74" s="15">
        <f>'Share Count'!H38</f>
        <v>4343.863</v>
      </c>
      <c r="I74" s="42">
        <f>'Share Count'!I38</f>
        <v>4207.665201248244</v>
      </c>
    </row>
    <row r="75" ht="15" customHeight="1">
      <c r="B75" s="4" t="s">
        <v>88</v>
      </c>
      <c r="D75" s="17">
        <f t="shared" si="38" ref="D75:I78">D74/D127-1</f>
        <v>-0.008812097794463458</v>
      </c>
      <c r="E75" s="17">
        <f t="shared" si="38"/>
        <v>-0.013869101828495656</v>
      </c>
      <c r="F75" s="17">
        <f t="shared" si="38"/>
        <v>-0.016291107951418193</v>
      </c>
      <c r="G75" s="17">
        <f t="shared" si="38"/>
        <v>-0.020126126022546265</v>
      </c>
      <c r="H75" s="17">
        <f t="shared" si="38"/>
        <v>-0.011097052138501762</v>
      </c>
      <c r="I75" s="43">
        <f t="shared" si="38"/>
        <v>-0.030579449679143278</v>
      </c>
    </row>
    <row r="76" ht="15" customHeight="1">
      <c r="B76" s="4" t="s">
        <v>191</v>
      </c>
      <c r="D76" s="45">
        <f t="shared" si="40" ref="D76:D79">D74-G127</f>
        <v>-8.432999999999993</v>
      </c>
      <c r="E76" s="45">
        <f t="shared" si="1"/>
        <v>-23.247999999999593</v>
      </c>
      <c r="F76" s="45">
        <f t="shared" si="1"/>
        <v>-18.707000000000335</v>
      </c>
      <c r="G76" s="45">
        <f t="shared" si="1"/>
        <v>-37.136999999999716</v>
      </c>
      <c r="I76" s="46">
        <f t="shared" si="4"/>
        <v>-53.634798751756534</v>
      </c>
    </row>
    <row r="77" ht="15" customHeight="1">
      <c r="B77" s="9" t="s">
        <v>193</v>
      </c>
      <c r="C77" s="22">
        <f t="shared" si="39" ref="C77:I77">C62/C71</f>
        <v>1.41137359299935</v>
      </c>
      <c r="D77" s="22">
        <f t="shared" si="39"/>
        <v>0.6000433967958465</v>
      </c>
      <c r="E77" s="22">
        <f t="shared" si="39"/>
        <v>0.5718596876351463</v>
      </c>
      <c r="F77" s="22">
        <f t="shared" si="39"/>
        <v>1.2510200017192434</v>
      </c>
      <c r="G77" s="22">
        <f t="shared" si="39"/>
        <v>0.8119283804489674</v>
      </c>
      <c r="H77" s="22">
        <f t="shared" si="39"/>
        <v>2.584108716483212</v>
      </c>
      <c r="I77" s="63">
        <f t="shared" si="39"/>
        <v>0.8394037429772792</v>
      </c>
    </row>
    <row r="78" ht="15" customHeight="1">
      <c r="B78" s="4" t="s">
        <v>88</v>
      </c>
      <c r="D78" s="17">
        <f t="shared" si="38"/>
        <v>0.08703513912291028</v>
      </c>
      <c r="E78" s="17">
        <f t="shared" si="38"/>
        <v>0.29968110826169614</v>
      </c>
      <c r="F78" s="17">
        <f t="shared" si="38"/>
        <v>0.8506213043184074</v>
      </c>
      <c r="G78" s="17">
        <f t="shared" si="38"/>
        <v>0.10466446319587397</v>
      </c>
      <c r="H78" s="17">
        <f t="shared" si="38"/>
        <v>0.27295995885872526</v>
      </c>
      <c r="I78" s="43">
        <f t="shared" si="38"/>
        <v>0.3989050583000924</v>
      </c>
    </row>
    <row r="79" ht="15" customHeight="1">
      <c r="B79" s="4" t="s">
        <v>194</v>
      </c>
      <c r="D79" s="64">
        <f t="shared" si="40"/>
        <v>-0.13495660320415348</v>
      </c>
      <c r="E79" s="64">
        <f t="shared" si="1"/>
        <v>-0.028183709160700232</v>
      </c>
      <c r="F79" s="64">
        <f t="shared" si="1"/>
        <v>0.6791603140840972</v>
      </c>
      <c r="G79" s="64">
        <f t="shared" si="1"/>
        <v>-0.439091621270276</v>
      </c>
      <c r="I79" s="65">
        <f t="shared" si="4"/>
        <v>0.02747536252831173</v>
      </c>
    </row>
    <row r="80" ht="15" customHeight="1">
      <c r="B80" s="3" t="s">
        <v>195</v>
      </c>
      <c r="C80" s="68">
        <f t="shared" si="41" ref="C80:I80">C62/C74</f>
        <v>1.380026046260673</v>
      </c>
      <c r="D80" s="68">
        <f t="shared" si="41"/>
        <v>0.5867940038595594</v>
      </c>
      <c r="E80" s="68">
        <f t="shared" si="41"/>
        <v>0.5602131872367474</v>
      </c>
      <c r="F80" s="68">
        <f t="shared" si="41"/>
        <v>1.229002774729512</v>
      </c>
      <c r="G80" s="68">
        <f t="shared" si="41"/>
        <v>0.7982104052753856</v>
      </c>
      <c r="H80" s="68">
        <f t="shared" si="41"/>
        <v>2.5279805095142285</v>
      </c>
      <c r="I80" s="69">
        <f t="shared" si="41"/>
        <v>0.8268364630201227</v>
      </c>
    </row>
    <row r="81" ht="15" customHeight="1">
      <c r="B81" s="4" t="s">
        <v>88</v>
      </c>
      <c r="D81" s="17">
        <f t="shared" si="42" ref="D81:I81">D80/D128-1</f>
        <v>0.08665556270288777</v>
      </c>
      <c r="E81" s="17">
        <f t="shared" si="42"/>
        <v>0.31197467736943185</v>
      </c>
      <c r="F81" s="17">
        <f t="shared" si="42"/>
        <v>0.8593082824954796</v>
      </c>
      <c r="G81" s="17">
        <f t="shared" si="42"/>
        <v>0.11016746213544582</v>
      </c>
      <c r="H81" s="17">
        <f t="shared" si="42"/>
        <v>0.2767578330879943</v>
      </c>
      <c r="I81" s="43">
        <f t="shared" si="42"/>
        <v>0.4090744922097296</v>
      </c>
    </row>
    <row r="82" ht="15" customHeight="1">
      <c r="B82" s="4" t="s">
        <v>194</v>
      </c>
      <c r="D82" s="64">
        <f>D80-G128</f>
        <v>-0.1322059961404406</v>
      </c>
      <c r="E82" s="64">
        <f t="shared" si="1"/>
        <v>-0.026580816622811976</v>
      </c>
      <c r="F82" s="64">
        <f t="shared" si="1"/>
        <v>0.6687895874927646</v>
      </c>
      <c r="G82" s="64">
        <f t="shared" si="1"/>
        <v>-0.43079236945412647</v>
      </c>
      <c r="I82" s="65">
        <f t="shared" si="4"/>
        <v>0.028626057744737143</v>
      </c>
    </row>
    <row r="83" ht="15" customHeight="1">
      <c r="B83" s="9" t="s">
        <v>196</v>
      </c>
      <c r="C83" s="31">
        <v>1.38</v>
      </c>
      <c r="D83" s="31">
        <v>0.59</v>
      </c>
      <c r="E83" s="31">
        <v>0.56</v>
      </c>
      <c r="F83" s="31">
        <v>1.23</v>
      </c>
      <c r="G83" s="31">
        <v>0.8</v>
      </c>
      <c r="H83" s="31">
        <v>2.53</v>
      </c>
      <c r="I83" s="39"/>
      <c r="J83" s="28" t="s">
        <v>197</v>
      </c>
    </row>
    <row r="84" ht="15" customHeight="1">
      <c r="B84" s="3" t="s">
        <v>198</v>
      </c>
      <c r="C84" s="70" t="b">
        <f t="shared" si="43" ref="C84:H84">ABS(C80-C83)&lt;0.005</f>
        <v>1</v>
      </c>
      <c r="D84" s="70" t="b">
        <f t="shared" si="43"/>
        <v>1</v>
      </c>
      <c r="E84" s="70" t="b">
        <f t="shared" si="43"/>
        <v>1</v>
      </c>
      <c r="F84" s="70" t="b">
        <f t="shared" si="43"/>
        <v>1</v>
      </c>
      <c r="G84" s="70" t="b">
        <f t="shared" si="43"/>
        <v>1</v>
      </c>
      <c r="H84" s="70" t="b">
        <f t="shared" si="43"/>
        <v>1</v>
      </c>
      <c r="I84" s="39"/>
    </row>
    <row r="85" ht="15" customHeight="1">
      <c r="I85" s="39"/>
    </row>
    <row r="86" ht="15" customHeight="1">
      <c r="B86" s="3" t="s">
        <v>199</v>
      </c>
      <c r="I86" s="39"/>
    </row>
    <row r="87" ht="15" customHeight="1">
      <c r="B87" s="9" t="s">
        <v>200</v>
      </c>
      <c r="C87" s="16">
        <f t="shared" si="44" ref="C87:I87">C62</f>
        <v>6015.764</v>
      </c>
      <c r="D87" s="16">
        <f t="shared" si="44"/>
        <v>2546.9160000000006</v>
      </c>
      <c r="E87" s="16">
        <f t="shared" si="44"/>
        <v>2418.5210000000006</v>
      </c>
      <c r="F87" s="16">
        <f t="shared" si="44"/>
        <v>5282.790999999999</v>
      </c>
      <c r="G87" s="16">
        <f t="shared" si="44"/>
        <v>3401.4140000000007</v>
      </c>
      <c r="H87" s="16">
        <f t="shared" si="44"/>
        <v>10981.201000000006</v>
      </c>
      <c r="I87" s="61">
        <f t="shared" si="44"/>
        <v>3479.0510125729506</v>
      </c>
    </row>
    <row r="88" ht="15" customHeight="1">
      <c r="B88" s="9" t="s">
        <v>201</v>
      </c>
      <c r="C88" s="16">
        <f t="shared" si="45" ref="C88:I88">C22</f>
        <v>0</v>
      </c>
      <c r="D88" s="16">
        <f t="shared" si="45"/>
        <v>619</v>
      </c>
      <c r="E88" s="16">
        <f t="shared" si="45"/>
        <v>0</v>
      </c>
      <c r="F88" s="16">
        <f t="shared" si="45"/>
        <v>0</v>
      </c>
      <c r="G88" s="16">
        <f t="shared" si="45"/>
        <v>0</v>
      </c>
      <c r="H88" s="16">
        <f t="shared" si="45"/>
        <v>619</v>
      </c>
      <c r="I88" s="61">
        <f t="shared" si="45"/>
        <v>0</v>
      </c>
    </row>
    <row r="89" ht="15" customHeight="1">
      <c r="B89" s="9" t="s">
        <v>202</v>
      </c>
      <c r="C89" s="26">
        <v>0</v>
      </c>
      <c r="D89" s="26">
        <v>0</v>
      </c>
      <c r="E89" s="26">
        <v>0</v>
      </c>
      <c r="F89" s="26">
        <v>-2800</v>
      </c>
      <c r="G89" s="26">
        <v>0</v>
      </c>
      <c r="H89" s="16">
        <f t="shared" si="2"/>
        <v>0</v>
      </c>
      <c r="I89" s="67">
        <v>0</v>
      </c>
      <c r="J89" s="28" t="s">
        <v>203</v>
      </c>
    </row>
    <row r="90" ht="15" customHeight="1">
      <c r="B90" s="9" t="s">
        <v>204</v>
      </c>
      <c r="C90" s="26">
        <v>0</v>
      </c>
      <c r="D90" s="26">
        <v>0</v>
      </c>
      <c r="E90" s="26">
        <v>60</v>
      </c>
      <c r="F90" s="26">
        <v>0</v>
      </c>
      <c r="G90" s="26">
        <v>0</v>
      </c>
      <c r="H90" s="16">
        <f t="shared" si="2"/>
        <v>60</v>
      </c>
      <c r="I90" s="67">
        <v>0</v>
      </c>
    </row>
    <row r="91" ht="41.25" customHeight="1">
      <c r="B91" s="9" t="s">
        <v>205</v>
      </c>
      <c r="C91" s="26">
        <v>0</v>
      </c>
      <c r="D91" s="26">
        <v>0</v>
      </c>
      <c r="E91" s="26">
        <v>0</v>
      </c>
      <c r="F91" s="26">
        <v>0</v>
      </c>
      <c r="G91" s="26">
        <v>0</v>
      </c>
      <c r="H91" s="16">
        <f t="shared" si="2"/>
        <v>0</v>
      </c>
      <c r="I91" s="67">
        <v>0</v>
      </c>
      <c r="J91" s="19" t="s">
        <v>206</v>
      </c>
    </row>
    <row r="92" ht="41.25" customHeight="1">
      <c r="B92" s="9" t="s">
        <v>207</v>
      </c>
      <c r="C92" s="30">
        <v>0</v>
      </c>
      <c r="D92" s="30">
        <v>0</v>
      </c>
      <c r="E92" s="30">
        <v>0</v>
      </c>
      <c r="F92" s="30">
        <v>0</v>
      </c>
      <c r="G92" s="30">
        <v>0</v>
      </c>
      <c r="H92" s="30">
        <v>0</v>
      </c>
      <c r="I92" s="71">
        <v>0</v>
      </c>
      <c r="J92" s="19" t="s">
        <v>208</v>
      </c>
    </row>
    <row r="93" ht="15" customHeight="1">
      <c r="B93" s="4" t="s">
        <v>209</v>
      </c>
      <c r="C93" s="17">
        <f t="shared" si="46" ref="C93:I93">C60</f>
        <v>0.1211962600876121</v>
      </c>
      <c r="D93" s="17">
        <f t="shared" si="46"/>
        <v>0.18090055669725122</v>
      </c>
      <c r="E93" s="17">
        <f t="shared" si="46"/>
        <v>0.12617510092165415</v>
      </c>
      <c r="F93" s="17">
        <f t="shared" si="46"/>
        <v>0.19310804837449824</v>
      </c>
      <c r="G93" s="17">
        <f t="shared" si="46"/>
        <v>0.16398129472991352</v>
      </c>
      <c r="H93" s="17">
        <f t="shared" si="46"/>
        <v>0.13687120319885498</v>
      </c>
      <c r="I93" s="43">
        <f t="shared" si="46"/>
        <v>0.165</v>
      </c>
    </row>
    <row r="94" ht="41.25" customHeight="1">
      <c r="B94" s="9" t="s">
        <v>210</v>
      </c>
      <c r="C94" s="16">
        <f t="shared" si="47" ref="C94:I94">C88*(1-C93)*C92</f>
        <v>0</v>
      </c>
      <c r="D94" s="16">
        <f t="shared" si="47"/>
        <v>0</v>
      </c>
      <c r="E94" s="16">
        <f t="shared" si="47"/>
        <v>0</v>
      </c>
      <c r="F94" s="16">
        <f t="shared" si="47"/>
        <v>0</v>
      </c>
      <c r="G94" s="16">
        <f t="shared" si="47"/>
        <v>0</v>
      </c>
      <c r="H94" s="16">
        <f t="shared" si="2"/>
        <v>0</v>
      </c>
      <c r="I94" s="61">
        <f t="shared" si="47"/>
        <v>0</v>
      </c>
      <c r="J94" s="19" t="s">
        <v>211</v>
      </c>
    </row>
    <row r="95" ht="15" customHeight="1">
      <c r="B95" s="9" t="s">
        <v>212</v>
      </c>
      <c r="C95" s="16">
        <f t="shared" si="48" ref="C95:I95">C89*(1-C93)*C92</f>
        <v>0</v>
      </c>
      <c r="D95" s="16">
        <f t="shared" si="48"/>
        <v>0</v>
      </c>
      <c r="E95" s="16">
        <f t="shared" si="48"/>
        <v>0</v>
      </c>
      <c r="F95" s="16">
        <f t="shared" si="48"/>
        <v>0</v>
      </c>
      <c r="G95" s="16">
        <f t="shared" si="48"/>
        <v>0</v>
      </c>
      <c r="H95" s="16">
        <f t="shared" si="2"/>
        <v>0</v>
      </c>
      <c r="I95" s="61">
        <f t="shared" si="48"/>
        <v>0</v>
      </c>
    </row>
    <row r="96" ht="15" customHeight="1">
      <c r="B96" s="9" t="s">
        <v>213</v>
      </c>
      <c r="C96" s="16">
        <f t="shared" si="49" ref="C96:I96">C90*(1-C93)*C92</f>
        <v>0</v>
      </c>
      <c r="D96" s="16">
        <f t="shared" si="49"/>
        <v>0</v>
      </c>
      <c r="E96" s="16">
        <f t="shared" si="49"/>
        <v>0</v>
      </c>
      <c r="F96" s="16">
        <f t="shared" si="49"/>
        <v>0</v>
      </c>
      <c r="G96" s="16">
        <f t="shared" si="49"/>
        <v>0</v>
      </c>
      <c r="H96" s="16">
        <f t="shared" si="2"/>
        <v>0</v>
      </c>
      <c r="I96" s="61">
        <f t="shared" si="49"/>
        <v>0</v>
      </c>
    </row>
    <row r="97" ht="15" customHeight="1">
      <c r="B97" s="9" t="s">
        <v>214</v>
      </c>
      <c r="C97" s="16">
        <f t="shared" si="50" ref="C97:I97">C91*(1-C93)*C92</f>
        <v>0</v>
      </c>
      <c r="D97" s="16">
        <f t="shared" si="50"/>
        <v>0</v>
      </c>
      <c r="E97" s="16">
        <f t="shared" si="50"/>
        <v>0</v>
      </c>
      <c r="F97" s="16">
        <f t="shared" si="50"/>
        <v>0</v>
      </c>
      <c r="G97" s="16">
        <f t="shared" si="50"/>
        <v>0</v>
      </c>
      <c r="H97" s="16">
        <f t="shared" si="2"/>
        <v>0</v>
      </c>
      <c r="I97" s="61">
        <f t="shared" si="50"/>
        <v>0</v>
      </c>
    </row>
    <row r="98" ht="15" customHeight="1">
      <c r="B98" s="3" t="s">
        <v>215</v>
      </c>
      <c r="C98" s="56">
        <f t="shared" si="51" ref="C98:I98">C87+C94+C95+C96+C97</f>
        <v>6015.764</v>
      </c>
      <c r="D98" s="56">
        <f t="shared" si="51"/>
        <v>2546.9160000000006</v>
      </c>
      <c r="E98" s="56">
        <f t="shared" si="51"/>
        <v>2418.5210000000006</v>
      </c>
      <c r="F98" s="56">
        <f t="shared" si="51"/>
        <v>5282.790999999999</v>
      </c>
      <c r="G98" s="56">
        <f t="shared" si="51"/>
        <v>3401.4140000000007</v>
      </c>
      <c r="H98" s="56">
        <f t="shared" si="51"/>
        <v>10981.201000000006</v>
      </c>
      <c r="I98" s="57">
        <f t="shared" si="51"/>
        <v>3479.0510125729506</v>
      </c>
    </row>
    <row r="99" ht="15" customHeight="1">
      <c r="B99" s="3" t="s">
        <v>216</v>
      </c>
      <c r="C99" s="68">
        <f t="shared" si="52" ref="C99:I99">C98/C74</f>
        <v>1.380026046260673</v>
      </c>
      <c r="D99" s="68">
        <f t="shared" si="52"/>
        <v>0.5867940038595594</v>
      </c>
      <c r="E99" s="68">
        <f t="shared" si="52"/>
        <v>0.5602131872367474</v>
      </c>
      <c r="F99" s="68">
        <f t="shared" si="52"/>
        <v>1.229002774729512</v>
      </c>
      <c r="G99" s="68">
        <f t="shared" si="52"/>
        <v>0.7982104052753856</v>
      </c>
      <c r="H99" s="68">
        <f t="shared" si="52"/>
        <v>2.5279805095142285</v>
      </c>
      <c r="I99" s="69">
        <f t="shared" si="52"/>
        <v>0.8268364630201227</v>
      </c>
    </row>
    <row r="100" ht="15" customHeight="1">
      <c r="B100" s="9" t="s">
        <v>217</v>
      </c>
      <c r="D100" s="21">
        <f>Inputs!$E$84</f>
        <v>0.59</v>
      </c>
      <c r="E100" s="21">
        <f>Inputs!$E$85</f>
        <v>0.56</v>
      </c>
      <c r="F100" s="21">
        <f>Inputs!$E$86</f>
        <v>1.23</v>
      </c>
      <c r="G100" s="21">
        <f>Inputs!$E$87</f>
        <v>0.8</v>
      </c>
      <c r="I100" s="39"/>
    </row>
    <row r="101" ht="15" customHeight="1">
      <c r="B101" s="3" t="s">
        <v>218</v>
      </c>
      <c r="D101" s="70" t="b">
        <f t="shared" si="53" ref="D101:G101">ABS(D99-D100)&lt;0.005</f>
        <v>1</v>
      </c>
      <c r="E101" s="70" t="b">
        <f t="shared" si="53"/>
        <v>1</v>
      </c>
      <c r="F101" s="70" t="b">
        <f t="shared" si="53"/>
        <v>1</v>
      </c>
      <c r="G101" s="70" t="b">
        <f t="shared" si="53"/>
        <v>1</v>
      </c>
      <c r="I101" s="39"/>
    </row>
    <row r="102" ht="15" customHeight="1">
      <c r="I102" s="39"/>
    </row>
    <row r="103" ht="15" customHeight="1">
      <c r="B103" s="3" t="s">
        <v>219</v>
      </c>
      <c r="I103" s="39"/>
    </row>
    <row r="104" ht="28.5" customHeight="1">
      <c r="B104" s="4" t="s">
        <v>220</v>
      </c>
      <c r="I104" s="72">
        <v>0.085</v>
      </c>
      <c r="J104" s="19" t="s">
        <v>221</v>
      </c>
    </row>
    <row r="105" ht="28.5" customHeight="1">
      <c r="B105" s="4" t="s">
        <v>222</v>
      </c>
      <c r="I105" s="72">
        <v>0.18</v>
      </c>
      <c r="J105" s="19" t="s">
        <v>223</v>
      </c>
    </row>
    <row r="106" ht="15" customHeight="1">
      <c r="B106" s="4" t="s">
        <v>224</v>
      </c>
      <c r="I106" s="72">
        <v>0.11</v>
      </c>
      <c r="J106" s="28" t="s">
        <v>225</v>
      </c>
    </row>
    <row r="107" ht="15" customHeight="1">
      <c r="B107" s="4" t="s">
        <v>226</v>
      </c>
      <c r="I107" s="72">
        <v>0.19</v>
      </c>
      <c r="J107" s="28" t="s">
        <v>227</v>
      </c>
    </row>
    <row r="108" ht="15" customHeight="1">
      <c r="B108" s="4" t="s">
        <v>228</v>
      </c>
      <c r="I108" s="72">
        <v>0.125</v>
      </c>
      <c r="J108" s="28" t="s">
        <v>229</v>
      </c>
    </row>
    <row r="109" ht="41.25" customHeight="1">
      <c r="B109" s="9" t="s">
        <v>230</v>
      </c>
      <c r="I109" s="67">
        <v>-186</v>
      </c>
      <c r="J109" s="19" t="s">
        <v>231</v>
      </c>
    </row>
    <row r="110" ht="15" customHeight="1">
      <c r="B110" s="9" t="s">
        <v>232</v>
      </c>
      <c r="I110" s="67">
        <v>48</v>
      </c>
      <c r="J110" s="28" t="s">
        <v>233</v>
      </c>
    </row>
    <row r="111" ht="15" customHeight="1">
      <c r="B111" s="4" t="s">
        <v>234</v>
      </c>
      <c r="I111" s="72">
        <v>0.165</v>
      </c>
      <c r="J111" s="28" t="s">
        <v>235</v>
      </c>
    </row>
    <row r="112" ht="15" customHeight="1">
      <c r="B112" s="4" t="s">
        <v>236</v>
      </c>
      <c r="I112" s="73">
        <f>(I46-Guidance!G38)*10000</f>
        <v>24.261244385256898</v>
      </c>
    </row>
    <row r="113" ht="15" customHeight="1">
      <c r="I113" s="39"/>
    </row>
    <row r="114" ht="15" customHeight="1">
      <c r="B114" s="3" t="s">
        <v>237</v>
      </c>
      <c r="I114" s="39"/>
    </row>
    <row r="115" ht="28.5" customHeight="1">
      <c r="B115" s="9" t="s">
        <v>238</v>
      </c>
      <c r="D115" s="15">
        <f>Geo!D141</f>
        <v>9824.703</v>
      </c>
      <c r="E115" s="15">
        <f>Geo!E141</f>
        <v>10246.512999999999</v>
      </c>
      <c r="F115" s="15">
        <f>Geo!F141</f>
        <v>10542.801</v>
      </c>
      <c r="G115" s="15">
        <f>Geo!G141</f>
        <v>11079.166000000001</v>
      </c>
      <c r="H115" s="15">
        <f>Geo!H141</f>
        <v>39000.966</v>
      </c>
      <c r="I115" s="61">
        <f t="shared" si="57" ref="I115:I131">D10</f>
        <v>11510.307</v>
      </c>
      <c r="J115" s="19" t="s">
        <v>239</v>
      </c>
    </row>
    <row r="116" ht="15" customHeight="1">
      <c r="B116" s="9" t="s">
        <v>154</v>
      </c>
      <c r="D116" s="26">
        <v>3699.521</v>
      </c>
      <c r="E116" s="26">
        <v>4161.501</v>
      </c>
      <c r="F116" s="26">
        <v>3823.112</v>
      </c>
      <c r="G116" s="26">
        <v>3832.074</v>
      </c>
      <c r="H116" s="26">
        <v>15301.517</v>
      </c>
      <c r="I116" s="61">
        <f>D14</f>
        <v>4002.744</v>
      </c>
      <c r="J116" s="28" t="s">
        <v>240</v>
      </c>
    </row>
    <row r="117" ht="15" customHeight="1">
      <c r="B117" s="9" t="s">
        <v>161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61">
        <f t="shared" si="54" ref="I117:I118">D22</f>
        <v>619</v>
      </c>
    </row>
    <row r="118" ht="15" customHeight="1">
      <c r="B118" s="9" t="s">
        <v>241</v>
      </c>
      <c r="D118" s="26">
        <v>5119.884</v>
      </c>
      <c r="E118" s="26">
        <v>5767.364</v>
      </c>
      <c r="F118" s="26">
        <v>5263.147</v>
      </c>
      <c r="G118" s="26">
        <v>5325.311</v>
      </c>
      <c r="H118" s="26">
        <v>21038.464</v>
      </c>
      <c r="I118" s="61">
        <f t="shared" si="54"/>
        <v>6164.25</v>
      </c>
    </row>
    <row r="119" ht="15" customHeight="1">
      <c r="B119" s="9" t="s">
        <v>242</v>
      </c>
      <c r="D119" s="26">
        <v>642.926</v>
      </c>
      <c r="E119" s="26">
        <v>976.204</v>
      </c>
      <c r="F119" s="26">
        <v>688.37</v>
      </c>
      <c r="G119" s="26">
        <v>713.265</v>
      </c>
      <c r="H119" s="26">
        <v>2917.554</v>
      </c>
      <c r="I119" s="61">
        <f>D31</f>
        <v>786.295</v>
      </c>
    </row>
    <row r="120" ht="15" customHeight="1">
      <c r="B120" s="9" t="s">
        <v>243</v>
      </c>
      <c r="D120" s="26">
        <v>735.063</v>
      </c>
      <c r="E120" s="26">
        <v>776.505</v>
      </c>
      <c r="F120" s="26">
        <v>822.823</v>
      </c>
      <c r="G120" s="26">
        <v>824.683</v>
      </c>
      <c r="H120" s="26">
        <v>2925.295</v>
      </c>
      <c r="I120" s="61">
        <f>D34</f>
        <v>853.584</v>
      </c>
    </row>
    <row r="121" ht="15" customHeight="1">
      <c r="B121" s="9" t="s">
        <v>244</v>
      </c>
      <c r="D121" s="26">
        <v>417.353</v>
      </c>
      <c r="E121" s="26">
        <v>453.674</v>
      </c>
      <c r="F121" s="26">
        <v>421.462</v>
      </c>
      <c r="G121" s="26">
        <v>441.213</v>
      </c>
      <c r="H121" s="26">
        <v>1702.039</v>
      </c>
      <c r="I121" s="61">
        <f>D37</f>
        <v>457.931</v>
      </c>
    </row>
    <row r="122" ht="15" customHeight="1">
      <c r="B122" s="9" t="s">
        <v>245</v>
      </c>
      <c r="D122" s="26">
        <v>2909.477</v>
      </c>
      <c r="E122" s="26">
        <v>2272.766</v>
      </c>
      <c r="F122" s="26">
        <v>3346.999</v>
      </c>
      <c r="G122" s="26">
        <v>3774.694</v>
      </c>
      <c r="H122" s="26">
        <v>10417.614</v>
      </c>
      <c r="I122" s="61">
        <f t="shared" si="60" ref="I122:I133">D43</f>
        <v>3248.2470000000008</v>
      </c>
    </row>
    <row r="123" ht="15" customHeight="1">
      <c r="B123" s="9" t="s">
        <v>246</v>
      </c>
      <c r="D123" s="26">
        <v>-184.83</v>
      </c>
      <c r="E123" s="26">
        <v>-192.603</v>
      </c>
      <c r="F123" s="26">
        <v>-184.172</v>
      </c>
      <c r="G123" s="26">
        <v>-182.649</v>
      </c>
      <c r="H123" s="26">
        <v>-718.733</v>
      </c>
      <c r="I123" s="61">
        <f>D48</f>
        <v>-175.294</v>
      </c>
    </row>
    <row r="124" ht="15" customHeight="1">
      <c r="B124" s="9" t="s">
        <v>247</v>
      </c>
      <c r="D124" s="26">
        <v>-21.693</v>
      </c>
      <c r="E124" s="26">
        <v>54.105</v>
      </c>
      <c r="F124" s="26">
        <v>50.899</v>
      </c>
      <c r="G124" s="26">
        <v>39.63</v>
      </c>
      <c r="H124" s="26">
        <v>266.776</v>
      </c>
      <c r="I124" s="61">
        <f>D51</f>
        <v>36.457</v>
      </c>
    </row>
    <row r="125" ht="15" customHeight="1">
      <c r="B125" s="9" t="s">
        <v>248</v>
      </c>
      <c r="D125" s="26">
        <v>-339.445</v>
      </c>
      <c r="E125" s="26">
        <v>-265.661</v>
      </c>
      <c r="F125" s="26">
        <v>-323.375</v>
      </c>
      <c r="G125" s="26">
        <v>-506.262</v>
      </c>
      <c r="H125" s="26">
        <v>-1254.026</v>
      </c>
      <c r="I125" s="61">
        <f>D57</f>
        <v>-562.494</v>
      </c>
    </row>
    <row r="126" ht="15" customHeight="1">
      <c r="B126" s="9" t="s">
        <v>249</v>
      </c>
      <c r="D126" s="26">
        <v>2363.509</v>
      </c>
      <c r="E126" s="26">
        <v>1868.607</v>
      </c>
      <c r="F126" s="26">
        <v>2890.351</v>
      </c>
      <c r="G126" s="26">
        <v>3125.413</v>
      </c>
      <c r="H126" s="26">
        <v>8711.631</v>
      </c>
      <c r="I126" s="61">
        <f>D62</f>
        <v>2546.9160000000006</v>
      </c>
    </row>
    <row r="127" ht="28.5" customHeight="1">
      <c r="B127" s="9" t="s">
        <v>250</v>
      </c>
      <c r="D127" s="26">
        <v>4378.98</v>
      </c>
      <c r="E127" s="26">
        <v>4377.861</v>
      </c>
      <c r="F127" s="26">
        <v>4369.623</v>
      </c>
      <c r="G127" s="26">
        <v>4348.825</v>
      </c>
      <c r="H127" s="26">
        <v>4392.608</v>
      </c>
      <c r="I127" s="61">
        <f t="shared" si="55" ref="I127:I130">D74</f>
        <v>4340.392</v>
      </c>
      <c r="J127" s="19" t="s">
        <v>251</v>
      </c>
    </row>
    <row r="128" ht="54" customHeight="1">
      <c r="B128" s="9" t="s">
        <v>252</v>
      </c>
      <c r="D128" s="31">
        <v>0.54</v>
      </c>
      <c r="E128" s="31">
        <v>0.427</v>
      </c>
      <c r="F128" s="31">
        <v>0.661</v>
      </c>
      <c r="G128" s="31">
        <v>0.719</v>
      </c>
      <c r="H128" s="31">
        <v>1.98</v>
      </c>
      <c r="I128" s="63">
        <f>D80</f>
        <v>0.5867940038595594</v>
      </c>
      <c r="J128" s="19" t="s">
        <v>253</v>
      </c>
    </row>
    <row r="129" ht="28.5" customHeight="1">
      <c r="B129" s="9" t="s">
        <v>254</v>
      </c>
      <c r="D129" s="26">
        <v>4282.39</v>
      </c>
      <c r="E129" s="26">
        <v>4277.159</v>
      </c>
      <c r="F129" s="26">
        <v>4272.695</v>
      </c>
      <c r="G129" s="26">
        <v>4252.112</v>
      </c>
      <c r="H129" s="26">
        <v>4295.191</v>
      </c>
      <c r="I129" s="61">
        <f>D71</f>
        <v>4244.553</v>
      </c>
      <c r="J129" s="19" t="s">
        <v>251</v>
      </c>
    </row>
    <row r="130" ht="54" customHeight="1">
      <c r="B130" s="9" t="s">
        <v>255</v>
      </c>
      <c r="D130" s="31">
        <v>0.552</v>
      </c>
      <c r="E130" s="31">
        <v>0.44</v>
      </c>
      <c r="F130" s="31">
        <v>0.676</v>
      </c>
      <c r="G130" s="31">
        <v>0.735</v>
      </c>
      <c r="H130" s="31">
        <v>2.03</v>
      </c>
      <c r="I130" s="63">
        <f t="shared" si="55"/>
        <v>0.6000433967958465</v>
      </c>
      <c r="J130" s="19" t="s">
        <v>256</v>
      </c>
    </row>
    <row r="131" ht="15" customHeight="1">
      <c r="B131" s="9" t="s">
        <v>257</v>
      </c>
      <c r="D131" s="16">
        <f t="shared" si="56" ref="D131:H131">D115-D118</f>
        <v>4704.8189999999995</v>
      </c>
      <c r="E131" s="16">
        <f t="shared" si="56"/>
        <v>4479.148999999999</v>
      </c>
      <c r="F131" s="16">
        <f t="shared" si="56"/>
        <v>5279.6539999999995</v>
      </c>
      <c r="G131" s="16">
        <f t="shared" si="56"/>
        <v>5753.855000000001</v>
      </c>
      <c r="H131" s="16">
        <f t="shared" si="56"/>
        <v>17962.502</v>
      </c>
      <c r="I131" s="61">
        <f t="shared" si="57"/>
        <v>5346.057000000001</v>
      </c>
    </row>
    <row r="132" ht="15" customHeight="1">
      <c r="B132" s="9" t="s">
        <v>258</v>
      </c>
      <c r="D132" s="16">
        <f t="shared" si="58" ref="D132:H132">D119+D120+D121</f>
        <v>1795.342</v>
      </c>
      <c r="E132" s="16">
        <f t="shared" si="58"/>
        <v>2206.383</v>
      </c>
      <c r="F132" s="16">
        <f t="shared" si="58"/>
        <v>1932.655</v>
      </c>
      <c r="G132" s="16">
        <f t="shared" si="58"/>
        <v>1979.1609999999998</v>
      </c>
      <c r="H132" s="16">
        <f t="shared" si="58"/>
        <v>7544.888</v>
      </c>
      <c r="I132" s="61">
        <f>D40</f>
        <v>2097.81</v>
      </c>
    </row>
    <row r="133" ht="15" customHeight="1">
      <c r="B133" s="9" t="s">
        <v>259</v>
      </c>
      <c r="D133" s="16">
        <f t="shared" si="59" ref="D133:H133">D122+D123+D124</f>
        <v>2702.9539999999997</v>
      </c>
      <c r="E133" s="16">
        <f t="shared" si="59"/>
        <v>2134.268</v>
      </c>
      <c r="F133" s="16">
        <f t="shared" si="59"/>
        <v>3213.7259999999997</v>
      </c>
      <c r="G133" s="16">
        <f t="shared" si="59"/>
        <v>3631.675</v>
      </c>
      <c r="H133" s="16">
        <f t="shared" si="59"/>
        <v>9965.657</v>
      </c>
      <c r="I133" s="61">
        <f t="shared" si="60"/>
        <v>3109.4100000000008</v>
      </c>
    </row>
    <row r="134" ht="15" customHeight="1">
      <c r="B134" s="9" t="s">
        <v>260</v>
      </c>
      <c r="D134" s="16">
        <f t="shared" si="61" ref="D134:H134">D118-D116-D117</f>
        <v>1420.3629999999998</v>
      </c>
      <c r="E134" s="16">
        <f t="shared" si="61"/>
        <v>1605.8629999999994</v>
      </c>
      <c r="F134" s="16">
        <f t="shared" si="61"/>
        <v>1440.0349999999999</v>
      </c>
      <c r="G134" s="16">
        <f t="shared" si="61"/>
        <v>1493.2369999999996</v>
      </c>
      <c r="H134" s="16">
        <f t="shared" si="61"/>
        <v>5736.947</v>
      </c>
      <c r="I134" s="61">
        <f>D19</f>
        <v>1542.5059999999999</v>
      </c>
    </row>
    <row r="135" ht="15" customHeight="1">
      <c r="B135" s="9" t="s">
        <v>261</v>
      </c>
      <c r="C135" s="26">
        <v>10588.458</v>
      </c>
      <c r="D135" s="26">
        <v>6164.25</v>
      </c>
      <c r="E135" s="26">
        <v>6522.621</v>
      </c>
      <c r="F135" s="26">
        <v>5888.238</v>
      </c>
      <c r="G135" s="26">
        <v>6036.965</v>
      </c>
      <c r="I135" s="39"/>
      <c r="J135" s="28" t="s">
        <v>262</v>
      </c>
    </row>
    <row r="136" ht="15" customHeight="1">
      <c r="I136" s="39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8278338-AFD8-80A8-A4D9-FCEF6B3B194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263</v>
      </c>
    </row>
    <row r="4" ht="15" customHeight="1">
      <c r="B4" s="4" t="s">
        <v>3</v>
      </c>
    </row>
    <row r="5" ht="15" customHeight="1">
      <c r="B5" s="5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80</v>
      </c>
      <c r="I5" s="7" t="s">
        <v>81</v>
      </c>
      <c r="J5" s="5" t="s">
        <v>6</v>
      </c>
    </row>
    <row r="6" ht="15" customHeight="1">
      <c r="B6" s="33" t="s">
        <v>82</v>
      </c>
      <c r="C6" s="34">
        <v>45838</v>
      </c>
      <c r="D6" s="34">
        <v>45930</v>
      </c>
      <c r="E6" s="34">
        <v>46022</v>
      </c>
      <c r="F6" s="34">
        <v>46112</v>
      </c>
      <c r="G6" s="34">
        <v>46203</v>
      </c>
      <c r="H6" s="34">
        <v>46022</v>
      </c>
      <c r="I6" s="34">
        <v>46295</v>
      </c>
      <c r="J6" s="35"/>
    </row>
    <row r="7" ht="15" customHeight="1">
      <c r="B7" s="36" t="s">
        <v>83</v>
      </c>
      <c r="C7" s="37">
        <v>181</v>
      </c>
      <c r="D7" s="37">
        <v>92</v>
      </c>
      <c r="E7" s="37">
        <v>92</v>
      </c>
      <c r="F7" s="37">
        <v>90</v>
      </c>
      <c r="G7" s="37">
        <v>91</v>
      </c>
      <c r="H7" s="37">
        <v>365</v>
      </c>
      <c r="I7" s="37">
        <v>92</v>
      </c>
      <c r="J7" s="38"/>
    </row>
    <row r="9" ht="15" customHeight="1">
      <c r="B9" s="3" t="s">
        <v>264</v>
      </c>
      <c r="I9" s="39"/>
    </row>
    <row r="10" ht="28.5" customHeight="1">
      <c r="B10" s="9" t="s">
        <v>265</v>
      </c>
      <c r="D10" s="26">
        <v>9287.287</v>
      </c>
      <c r="E10" s="26">
        <v>9033.681</v>
      </c>
      <c r="F10" s="26">
        <v>12259.772</v>
      </c>
      <c r="G10" s="26">
        <v>9099.232</v>
      </c>
      <c r="H10" s="16">
        <f t="shared" si="1" ref="H10:H47">E10</f>
        <v>9033.681</v>
      </c>
      <c r="I10" s="42">
        <f>'Cash Flow Statement'!I97-I43</f>
        <v>10201.260252572947</v>
      </c>
      <c r="J10" s="19" t="s">
        <v>266</v>
      </c>
    </row>
    <row r="11" ht="15" customHeight="1">
      <c r="B11" s="4" t="s">
        <v>89</v>
      </c>
      <c r="E11" s="45">
        <f t="shared" si="0" ref="E11:G16">E10-D10</f>
        <v>-253.60599999999977</v>
      </c>
      <c r="F11" s="45">
        <f t="shared" si="0"/>
        <v>3226.0910000000003</v>
      </c>
      <c r="G11" s="45">
        <f t="shared" si="0"/>
        <v>-3160.540000000001</v>
      </c>
      <c r="I11" s="46">
        <f t="shared" si="3" ref="I11:I16">I10-G10</f>
        <v>1102.0282525729472</v>
      </c>
    </row>
    <row r="12" ht="15" customHeight="1">
      <c r="B12" s="9" t="s">
        <v>267</v>
      </c>
      <c r="D12" s="26">
        <v>37.105</v>
      </c>
      <c r="E12" s="26">
        <v>28.678</v>
      </c>
      <c r="F12" s="26">
        <v>28.678</v>
      </c>
      <c r="G12" s="26">
        <v>28.678</v>
      </c>
      <c r="H12" s="16">
        <f t="shared" si="1"/>
        <v>28.678</v>
      </c>
      <c r="I12" s="42">
        <f>G12-'Cash Flow Statement'!I62-'Cash Flow Statement'!I65</f>
        <v>28.678</v>
      </c>
    </row>
    <row r="13" ht="15" customHeight="1">
      <c r="B13" s="9" t="s">
        <v>268</v>
      </c>
      <c r="D13" s="26">
        <v>3638.543</v>
      </c>
      <c r="E13" s="26">
        <v>3957.832</v>
      </c>
      <c r="F13" s="26">
        <v>4782.532</v>
      </c>
      <c r="G13" s="26">
        <v>4725.393</v>
      </c>
      <c r="H13" s="16">
        <f t="shared" si="1"/>
        <v>3957.832</v>
      </c>
      <c r="I13" s="42">
        <f>G13-'Cash Flow Statement'!I35</f>
        <v>4825.393</v>
      </c>
    </row>
    <row r="14" ht="15" customHeight="1">
      <c r="B14" s="3" t="s">
        <v>269</v>
      </c>
      <c r="C14" s="55"/>
      <c r="D14" s="56">
        <f t="shared" si="2" ref="D14:I14">D10+D12+D13</f>
        <v>12962.935</v>
      </c>
      <c r="E14" s="56">
        <f t="shared" si="2"/>
        <v>13020.191</v>
      </c>
      <c r="F14" s="56">
        <f t="shared" si="2"/>
        <v>17070.982</v>
      </c>
      <c r="G14" s="56">
        <f t="shared" si="2"/>
        <v>13853.303</v>
      </c>
      <c r="H14" s="56">
        <f t="shared" si="2"/>
        <v>13020.191</v>
      </c>
      <c r="I14" s="57">
        <f t="shared" si="2"/>
        <v>15055.331252572947</v>
      </c>
    </row>
    <row r="15" ht="15" customHeight="1">
      <c r="B15" s="9" t="s">
        <v>270</v>
      </c>
      <c r="D15" s="26">
        <v>32639.879</v>
      </c>
      <c r="E15" s="26">
        <v>32778.392</v>
      </c>
      <c r="F15" s="26">
        <v>33376.295</v>
      </c>
      <c r="G15" s="26">
        <v>33837.573</v>
      </c>
      <c r="H15" s="16">
        <f t="shared" si="1"/>
        <v>32778.392</v>
      </c>
      <c r="I15" s="42">
        <f>G15-'Cash Flow Statement'!I11-'Cash Flow Statement'!I17</f>
        <v>34394.59576</v>
      </c>
      <c r="J15" s="28" t="s">
        <v>271</v>
      </c>
    </row>
    <row r="16" ht="15" customHeight="1">
      <c r="B16" s="4" t="s">
        <v>89</v>
      </c>
      <c r="E16" s="45">
        <f t="shared" si="0"/>
        <v>138.512999999999</v>
      </c>
      <c r="F16" s="45">
        <f t="shared" si="0"/>
        <v>597.9029999999984</v>
      </c>
      <c r="G16" s="45">
        <f t="shared" si="0"/>
        <v>461.2779999999984</v>
      </c>
      <c r="I16" s="46">
        <f t="shared" si="3"/>
        <v>557.0227599999998</v>
      </c>
    </row>
    <row r="17" ht="15" customHeight="1">
      <c r="B17" s="9" t="s">
        <v>272</v>
      </c>
      <c r="D17" s="26">
        <v>1837.889</v>
      </c>
      <c r="E17" s="26">
        <v>2004.35</v>
      </c>
      <c r="F17" s="26">
        <v>2147.829</v>
      </c>
      <c r="G17" s="26">
        <v>2398.848</v>
      </c>
      <c r="H17" s="16">
        <f t="shared" si="1"/>
        <v>2004.35</v>
      </c>
      <c r="I17" s="42">
        <f>G17-'Cash Flow Statement'!I56-'Cash Flow Statement'!I20</f>
        <v>2523.848</v>
      </c>
    </row>
    <row r="18" ht="15" customHeight="1">
      <c r="B18" s="9" t="s">
        <v>273</v>
      </c>
      <c r="D18" s="26">
        <v>7494.132</v>
      </c>
      <c r="E18" s="26">
        <v>7794.06</v>
      </c>
      <c r="F18" s="26">
        <v>8420.808</v>
      </c>
      <c r="G18" s="26">
        <v>8360.717</v>
      </c>
      <c r="H18" s="16">
        <f t="shared" si="1"/>
        <v>7794.06</v>
      </c>
      <c r="I18" s="42">
        <f>G18-'Cash Flow Statement'!I29-'Cash Flow Statement'!I47-'Cash Flow Statement'!I59-'Cash Flow Statement'!I68</f>
        <v>8310.717</v>
      </c>
    </row>
    <row r="19" ht="15" customHeight="1">
      <c r="B19" s="3" t="s">
        <v>274</v>
      </c>
      <c r="C19" s="55"/>
      <c r="D19" s="56">
        <f t="shared" si="4" ref="D19:I19">D14+D15+D17+D18</f>
        <v>54934.835</v>
      </c>
      <c r="E19" s="56">
        <f t="shared" si="4"/>
        <v>55596.992999999995</v>
      </c>
      <c r="F19" s="56">
        <f t="shared" si="4"/>
        <v>61015.914000000004</v>
      </c>
      <c r="G19" s="56">
        <f t="shared" si="4"/>
        <v>58450.44099999999</v>
      </c>
      <c r="H19" s="56">
        <f t="shared" si="4"/>
        <v>55596.992999999995</v>
      </c>
      <c r="I19" s="57">
        <f t="shared" si="4"/>
        <v>60284.49201257294</v>
      </c>
    </row>
    <row r="20" ht="15" customHeight="1">
      <c r="I20" s="39"/>
    </row>
    <row r="21" ht="15" customHeight="1">
      <c r="B21" s="3" t="s">
        <v>275</v>
      </c>
      <c r="I21" s="39"/>
    </row>
    <row r="22" ht="15" customHeight="1">
      <c r="B22" s="9" t="s">
        <v>276</v>
      </c>
      <c r="D22" s="26">
        <v>4102.64</v>
      </c>
      <c r="E22" s="26">
        <v>4084.854</v>
      </c>
      <c r="F22" s="26">
        <v>4052.278</v>
      </c>
      <c r="G22" s="26">
        <v>3866.522</v>
      </c>
      <c r="H22" s="16">
        <f t="shared" si="1"/>
        <v>4084.854</v>
      </c>
      <c r="I22" s="42">
        <f>G22+'Cash Flow Statement'!I14</f>
        <v>3816.522</v>
      </c>
    </row>
    <row r="23" ht="15" customHeight="1">
      <c r="B23" s="9" t="s">
        <v>277</v>
      </c>
      <c r="D23" s="26">
        <v>793.233</v>
      </c>
      <c r="E23" s="26">
        <v>900.612</v>
      </c>
      <c r="F23" s="26">
        <v>894.681</v>
      </c>
      <c r="G23" s="26">
        <v>814.551</v>
      </c>
      <c r="H23" s="16">
        <f t="shared" si="1"/>
        <v>900.612</v>
      </c>
      <c r="I23" s="42">
        <f>G23+'Cash Flow Statement'!I38</f>
        <v>864.551</v>
      </c>
    </row>
    <row r="24" ht="15" customHeight="1">
      <c r="B24" s="9" t="s">
        <v>278</v>
      </c>
      <c r="D24" s="26">
        <v>3111.311</v>
      </c>
      <c r="E24" s="26">
        <v>3220.869</v>
      </c>
      <c r="F24" s="26">
        <v>4441.986</v>
      </c>
      <c r="G24" s="26">
        <v>3172.611</v>
      </c>
      <c r="H24" s="16">
        <f t="shared" si="1"/>
        <v>3220.869</v>
      </c>
      <c r="I24" s="42">
        <f>G24+'Cash Flow Statement'!I41</f>
        <v>3322.611</v>
      </c>
    </row>
    <row r="25" ht="15" customHeight="1">
      <c r="B25" s="9" t="s">
        <v>279</v>
      </c>
      <c r="D25" s="26">
        <v>1724.675</v>
      </c>
      <c r="E25" s="26">
        <v>1775.73</v>
      </c>
      <c r="F25" s="26">
        <v>1743.448</v>
      </c>
      <c r="G25" s="26">
        <v>1797.456</v>
      </c>
      <c r="H25" s="16">
        <f t="shared" si="1"/>
        <v>1775.73</v>
      </c>
      <c r="I25" s="42">
        <f>G25+'Cash Flow Statement'!I44</f>
        <v>1817.456</v>
      </c>
    </row>
    <row r="26" ht="28.5" customHeight="1">
      <c r="B26" s="9" t="s">
        <v>280</v>
      </c>
      <c r="D26" s="26">
        <v>0</v>
      </c>
      <c r="E26" s="26">
        <v>998.865</v>
      </c>
      <c r="F26" s="26">
        <v>999.185</v>
      </c>
      <c r="G26" s="26">
        <v>2483.758</v>
      </c>
      <c r="H26" s="16">
        <f t="shared" si="1"/>
        <v>998.865</v>
      </c>
      <c r="I26" s="61">
        <f t="shared" si="6" ref="I26:I43">G26</f>
        <v>2483.758</v>
      </c>
      <c r="J26" s="19" t="s">
        <v>281</v>
      </c>
    </row>
    <row r="27" ht="15" customHeight="1">
      <c r="B27" s="3" t="s">
        <v>282</v>
      </c>
      <c r="C27" s="55"/>
      <c r="D27" s="56">
        <f t="shared" si="5" ref="D27:I27">D22+D23+D24+D25+D26</f>
        <v>9731.859</v>
      </c>
      <c r="E27" s="56">
        <f t="shared" si="5"/>
        <v>10980.929999999998</v>
      </c>
      <c r="F27" s="56">
        <f t="shared" si="5"/>
        <v>12131.578</v>
      </c>
      <c r="G27" s="56">
        <f t="shared" si="5"/>
        <v>12134.898</v>
      </c>
      <c r="H27" s="56">
        <f t="shared" si="5"/>
        <v>10980.929999999998</v>
      </c>
      <c r="I27" s="57">
        <f t="shared" si="5"/>
        <v>12304.898</v>
      </c>
    </row>
    <row r="28" ht="15" customHeight="1">
      <c r="B28" s="9" t="s">
        <v>283</v>
      </c>
      <c r="D28" s="26">
        <v>1591.973</v>
      </c>
      <c r="E28" s="26">
        <v>1579.476</v>
      </c>
      <c r="F28" s="26">
        <v>1626.498</v>
      </c>
      <c r="G28" s="26">
        <v>1625.6</v>
      </c>
      <c r="H28" s="16">
        <f t="shared" si="1"/>
        <v>1579.476</v>
      </c>
      <c r="I28" s="61">
        <f t="shared" si="6"/>
        <v>1625.6</v>
      </c>
    </row>
    <row r="29" ht="15" customHeight="1">
      <c r="B29" s="9" t="s">
        <v>284</v>
      </c>
      <c r="D29" s="26">
        <v>14463.02</v>
      </c>
      <c r="E29" s="26">
        <v>13463.971</v>
      </c>
      <c r="F29" s="26">
        <v>13361.331</v>
      </c>
      <c r="G29" s="26">
        <v>11825.548</v>
      </c>
      <c r="H29" s="16">
        <f t="shared" si="1"/>
        <v>13463.971</v>
      </c>
      <c r="I29" s="42">
        <f>G29+'Cash Flow Statement'!I73+'Cash Flow Statement'!I76+'Cash Flow Statement'!I26</f>
        <v>12825.548</v>
      </c>
      <c r="J29" s="28" t="s">
        <v>285</v>
      </c>
    </row>
    <row r="30" ht="15" customHeight="1">
      <c r="B30" s="9" t="s">
        <v>286</v>
      </c>
      <c r="D30" s="26">
        <v>3193.948</v>
      </c>
      <c r="E30" s="26">
        <v>2957.128</v>
      </c>
      <c r="F30" s="26">
        <v>2770.108</v>
      </c>
      <c r="G30" s="26">
        <v>2712.343</v>
      </c>
      <c r="H30" s="16">
        <f t="shared" si="1"/>
        <v>2957.128</v>
      </c>
      <c r="I30" s="42">
        <f>G30+'Cash Flow Statement'!I32+'Cash Flow Statement'!I88</f>
        <v>2712.343</v>
      </c>
    </row>
    <row r="31" ht="15" customHeight="1">
      <c r="B31" s="3" t="s">
        <v>287</v>
      </c>
      <c r="C31" s="55"/>
      <c r="D31" s="56">
        <f t="shared" si="7" ref="D31:I36">D27+D28+D29+D30</f>
        <v>28980.8</v>
      </c>
      <c r="E31" s="56">
        <f t="shared" si="7"/>
        <v>28981.505</v>
      </c>
      <c r="F31" s="56">
        <f t="shared" si="7"/>
        <v>29889.515</v>
      </c>
      <c r="G31" s="56">
        <f t="shared" si="7"/>
        <v>28298.389000000003</v>
      </c>
      <c r="H31" s="56">
        <f t="shared" si="7"/>
        <v>28981.505</v>
      </c>
      <c r="I31" s="57">
        <f t="shared" si="7"/>
        <v>29468.389000000003</v>
      </c>
    </row>
    <row r="32" ht="15" customHeight="1">
      <c r="B32" s="9" t="s">
        <v>288</v>
      </c>
      <c r="D32" s="26">
        <v>7080.325</v>
      </c>
      <c r="E32" s="26">
        <v>7286.41</v>
      </c>
      <c r="F32" s="26">
        <v>7478.495</v>
      </c>
      <c r="G32" s="26">
        <v>7670.503</v>
      </c>
      <c r="H32" s="16">
        <f t="shared" si="1"/>
        <v>7286.41</v>
      </c>
      <c r="I32" s="42">
        <f>G32+'Cash Flow Statement'!I23+'Cash Flow Statement'!I79+'Cash Flow Statement'!I85</f>
        <v>7855.503</v>
      </c>
    </row>
    <row r="33" ht="15" customHeight="1">
      <c r="B33" s="9" t="s">
        <v>289</v>
      </c>
      <c r="D33" s="26">
        <v>-20270.631</v>
      </c>
      <c r="E33" s="26">
        <v>-22372.658</v>
      </c>
      <c r="F33" s="26">
        <v>-23681.974</v>
      </c>
      <c r="G33" s="26">
        <v>-28387.657</v>
      </c>
      <c r="H33" s="16">
        <f t="shared" si="1"/>
        <v>-22372.658</v>
      </c>
      <c r="I33" s="42">
        <f>G33+'Cash Flow Statement'!I82</f>
        <v>-31387.657</v>
      </c>
    </row>
    <row r="34" ht="15" customHeight="1">
      <c r="B34" s="9" t="s">
        <v>290</v>
      </c>
      <c r="D34" s="26">
        <v>-719.256</v>
      </c>
      <c r="E34" s="26">
        <v>-580.382</v>
      </c>
      <c r="F34" s="26">
        <v>-235.031</v>
      </c>
      <c r="G34" s="26">
        <v>-97.117</v>
      </c>
      <c r="H34" s="16">
        <f t="shared" si="1"/>
        <v>-580.382</v>
      </c>
      <c r="I34" s="42">
        <f>G34+'Cash Flow Statement'!I92</f>
        <v>-97.117</v>
      </c>
    </row>
    <row r="35" ht="15" customHeight="1">
      <c r="B35" s="9" t="s">
        <v>291</v>
      </c>
      <c r="D35" s="26">
        <v>39863.597</v>
      </c>
      <c r="E35" s="26">
        <v>42282.118</v>
      </c>
      <c r="F35" s="26">
        <v>47564.909</v>
      </c>
      <c r="G35" s="26">
        <v>50966.323</v>
      </c>
      <c r="H35" s="16">
        <f t="shared" si="1"/>
        <v>42282.118</v>
      </c>
      <c r="I35" s="42">
        <f>G35+'Income Statement'!I62</f>
        <v>54445.374012572946</v>
      </c>
    </row>
    <row r="36" ht="15" customHeight="1">
      <c r="B36" s="3" t="s">
        <v>292</v>
      </c>
      <c r="C36" s="55"/>
      <c r="D36" s="56">
        <f t="shared" si="7"/>
        <v>25954.035000000003</v>
      </c>
      <c r="E36" s="56">
        <f t="shared" si="7"/>
        <v>26615.488000000005</v>
      </c>
      <c r="F36" s="56">
        <f t="shared" si="7"/>
        <v>31126.399</v>
      </c>
      <c r="G36" s="56">
        <f t="shared" si="7"/>
        <v>30152.052</v>
      </c>
      <c r="H36" s="56">
        <f t="shared" si="7"/>
        <v>26615.488000000005</v>
      </c>
      <c r="I36" s="57">
        <f t="shared" si="7"/>
        <v>30816.10301257295</v>
      </c>
    </row>
    <row r="37" ht="15" customHeight="1">
      <c r="B37" s="3" t="s">
        <v>293</v>
      </c>
      <c r="C37" s="55"/>
      <c r="D37" s="56">
        <f t="shared" si="8" ref="D37:I37">D31+D36</f>
        <v>54934.83500000001</v>
      </c>
      <c r="E37" s="56">
        <f t="shared" si="8"/>
        <v>55596.993</v>
      </c>
      <c r="F37" s="56">
        <f t="shared" si="8"/>
        <v>61015.914000000004</v>
      </c>
      <c r="G37" s="56">
        <f t="shared" si="8"/>
        <v>58450.441000000006</v>
      </c>
      <c r="H37" s="56">
        <f t="shared" si="8"/>
        <v>55596.993</v>
      </c>
      <c r="I37" s="57">
        <f t="shared" si="8"/>
        <v>60284.492012572955</v>
      </c>
    </row>
    <row r="38" ht="28.5" customHeight="1">
      <c r="B38" s="3" t="s">
        <v>294</v>
      </c>
      <c r="D38" s="48">
        <f t="shared" si="9" ref="D38:I38">ROUND(D19-D31-D36,3)</f>
        <v>0</v>
      </c>
      <c r="E38" s="48">
        <f t="shared" si="9"/>
        <v>0</v>
      </c>
      <c r="F38" s="48">
        <f t="shared" si="9"/>
        <v>0</v>
      </c>
      <c r="G38" s="48">
        <f t="shared" si="9"/>
        <v>0</v>
      </c>
      <c r="H38" s="48">
        <f t="shared" si="9"/>
        <v>0</v>
      </c>
      <c r="I38" s="49">
        <f t="shared" si="9"/>
        <v>0</v>
      </c>
      <c r="J38" s="19" t="s">
        <v>295</v>
      </c>
    </row>
    <row r="39" ht="15" customHeight="1">
      <c r="B39" s="3" t="s">
        <v>296</v>
      </c>
      <c r="D39" s="48">
        <f t="shared" si="10" ref="D39:G39">ROUND(D19-D42,3)</f>
        <v>0</v>
      </c>
      <c r="E39" s="48">
        <f t="shared" si="10"/>
        <v>0</v>
      </c>
      <c r="F39" s="48">
        <f t="shared" si="10"/>
        <v>0</v>
      </c>
      <c r="G39" s="48">
        <f t="shared" si="10"/>
        <v>0</v>
      </c>
      <c r="I39" s="39"/>
    </row>
    <row r="40" ht="15" customHeight="1">
      <c r="I40" s="39"/>
    </row>
    <row r="41" ht="15" customHeight="1">
      <c r="B41" s="3" t="s">
        <v>297</v>
      </c>
      <c r="I41" s="39"/>
    </row>
    <row r="42" ht="15" customHeight="1">
      <c r="B42" s="9" t="s">
        <v>298</v>
      </c>
      <c r="D42" s="26">
        <v>54934.835</v>
      </c>
      <c r="E42" s="26">
        <v>55596.993</v>
      </c>
      <c r="F42" s="26">
        <v>61015.914</v>
      </c>
      <c r="G42" s="26">
        <v>58450.441</v>
      </c>
      <c r="I42" s="39"/>
    </row>
    <row r="43" ht="28.5" customHeight="1">
      <c r="B43" s="9" t="s">
        <v>299</v>
      </c>
      <c r="D43" s="26">
        <v>3.581</v>
      </c>
      <c r="E43" s="26">
        <v>5.513</v>
      </c>
      <c r="F43" s="26">
        <v>7.101</v>
      </c>
      <c r="G43" s="26">
        <v>3.554</v>
      </c>
      <c r="H43" s="16">
        <f t="shared" si="1"/>
        <v>5.513</v>
      </c>
      <c r="I43" s="61">
        <f t="shared" si="6"/>
        <v>3.554</v>
      </c>
      <c r="J43" s="19" t="s">
        <v>300</v>
      </c>
    </row>
    <row r="44" ht="15" customHeight="1">
      <c r="B44" s="3" t="s">
        <v>301</v>
      </c>
      <c r="C44" s="55"/>
      <c r="D44" s="56">
        <f t="shared" si="11" ref="D44:I44">D10+D43</f>
        <v>9290.868</v>
      </c>
      <c r="E44" s="56">
        <f t="shared" si="11"/>
        <v>9039.194000000001</v>
      </c>
      <c r="F44" s="56">
        <f t="shared" si="11"/>
        <v>12266.873000000001</v>
      </c>
      <c r="G44" s="56">
        <f t="shared" si="11"/>
        <v>9102.786</v>
      </c>
      <c r="H44" s="56">
        <f t="shared" si="11"/>
        <v>9039.194000000001</v>
      </c>
      <c r="I44" s="57">
        <f t="shared" si="11"/>
        <v>10204.814252572947</v>
      </c>
    </row>
    <row r="45" ht="15" customHeight="1">
      <c r="B45" s="3" t="s">
        <v>302</v>
      </c>
      <c r="C45" s="55"/>
      <c r="D45" s="56">
        <f t="shared" si="12" ref="D45:I45">D26+D29</f>
        <v>14463.02</v>
      </c>
      <c r="E45" s="56">
        <f t="shared" si="12"/>
        <v>14462.836</v>
      </c>
      <c r="F45" s="56">
        <f t="shared" si="12"/>
        <v>14360.516</v>
      </c>
      <c r="G45" s="56">
        <f t="shared" si="12"/>
        <v>14309.306</v>
      </c>
      <c r="H45" s="56">
        <f t="shared" si="12"/>
        <v>14462.836</v>
      </c>
      <c r="I45" s="57">
        <f t="shared" si="12"/>
        <v>15309.306</v>
      </c>
    </row>
    <row r="46" ht="28.5" customHeight="1">
      <c r="B46" s="9" t="s">
        <v>303</v>
      </c>
      <c r="D46" s="16">
        <f t="shared" si="13" ref="D46:I46">D45-D10-D12</f>
        <v>5138.628000000001</v>
      </c>
      <c r="E46" s="16">
        <f t="shared" si="13"/>
        <v>5400.476999999999</v>
      </c>
      <c r="F46" s="16">
        <f t="shared" si="13"/>
        <v>2072.065999999999</v>
      </c>
      <c r="G46" s="16">
        <f t="shared" si="13"/>
        <v>5181.396000000001</v>
      </c>
      <c r="H46" s="16">
        <f t="shared" si="13"/>
        <v>5400.476999999999</v>
      </c>
      <c r="I46" s="61">
        <f t="shared" si="13"/>
        <v>5079.3677474270535</v>
      </c>
      <c r="J46" s="19" t="s">
        <v>304</v>
      </c>
    </row>
    <row r="47" ht="15" customHeight="1">
      <c r="B47" s="9" t="s">
        <v>305</v>
      </c>
      <c r="D47" s="26">
        <v>20940.9</v>
      </c>
      <c r="E47" s="26">
        <v>24039.228</v>
      </c>
      <c r="F47" s="26">
        <v>24139.431</v>
      </c>
      <c r="G47" s="26">
        <v>25106.705</v>
      </c>
      <c r="H47" s="16">
        <f t="shared" si="1"/>
        <v>24039.228</v>
      </c>
      <c r="I47" s="39"/>
      <c r="J47" s="28" t="s">
        <v>306</v>
      </c>
    </row>
    <row r="48" ht="15" customHeight="1">
      <c r="I48" s="39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0E58AD7-5028-1728-0458-D8235062DC9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307</v>
      </c>
    </row>
    <row r="4" ht="15" customHeight="1">
      <c r="B4" s="4" t="s">
        <v>3</v>
      </c>
    </row>
    <row r="5" ht="15" customHeight="1">
      <c r="B5" s="5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80</v>
      </c>
      <c r="I5" s="7" t="s">
        <v>81</v>
      </c>
      <c r="J5" s="5" t="s">
        <v>6</v>
      </c>
    </row>
    <row r="6" ht="15" customHeight="1">
      <c r="B6" s="33" t="s">
        <v>82</v>
      </c>
      <c r="C6" s="34">
        <v>45838</v>
      </c>
      <c r="D6" s="34">
        <v>45930</v>
      </c>
      <c r="E6" s="34">
        <v>46022</v>
      </c>
      <c r="F6" s="34">
        <v>46112</v>
      </c>
      <c r="G6" s="34">
        <v>46203</v>
      </c>
      <c r="H6" s="34">
        <v>46022</v>
      </c>
      <c r="I6" s="34">
        <v>46295</v>
      </c>
      <c r="J6" s="35"/>
    </row>
    <row r="7" ht="15" customHeight="1">
      <c r="B7" s="36" t="s">
        <v>83</v>
      </c>
      <c r="C7" s="37">
        <v>181</v>
      </c>
      <c r="D7" s="37">
        <v>92</v>
      </c>
      <c r="E7" s="37">
        <v>92</v>
      </c>
      <c r="F7" s="37">
        <v>90</v>
      </c>
      <c r="G7" s="37">
        <v>91</v>
      </c>
      <c r="H7" s="37">
        <v>365</v>
      </c>
      <c r="I7" s="37">
        <v>92</v>
      </c>
      <c r="J7" s="38"/>
    </row>
    <row r="9" ht="15" customHeight="1">
      <c r="B9" s="3" t="s">
        <v>308</v>
      </c>
      <c r="I9" s="39"/>
    </row>
    <row r="10" ht="15" customHeight="1">
      <c r="B10" s="9" t="s">
        <v>309</v>
      </c>
      <c r="C10" s="15">
        <f>'Income Statement'!C62</f>
        <v>6015.764</v>
      </c>
      <c r="D10" s="15">
        <f>'Income Statement'!D62</f>
        <v>2546.9160000000006</v>
      </c>
      <c r="E10" s="15">
        <f>'Income Statement'!E62</f>
        <v>2418.5210000000006</v>
      </c>
      <c r="F10" s="15">
        <f>'Income Statement'!F62</f>
        <v>5282.790999999999</v>
      </c>
      <c r="G10" s="15">
        <f>'Income Statement'!G62</f>
        <v>3401.4140000000007</v>
      </c>
      <c r="H10" s="15">
        <f>'Income Statement'!H62</f>
        <v>10981.201000000006</v>
      </c>
      <c r="I10" s="42">
        <f>'Income Statement'!I62</f>
        <v>3479.0510125729506</v>
      </c>
    </row>
    <row r="11" ht="28.5" customHeight="1">
      <c r="B11" s="9" t="s">
        <v>310</v>
      </c>
      <c r="C11" s="26">
        <v>-7385.47</v>
      </c>
      <c r="D11" s="26">
        <v>-4653.935</v>
      </c>
      <c r="E11" s="26">
        <v>-5057.212</v>
      </c>
      <c r="F11" s="26">
        <v>-4846.917</v>
      </c>
      <c r="G11" s="26">
        <v>-4927.523</v>
      </c>
      <c r="H11" s="16">
        <f t="shared" si="2" ref="H11:H92">C11+D11+E11</f>
        <v>-17096.617000000002</v>
      </c>
      <c r="I11" s="67">
        <v>-4900</v>
      </c>
      <c r="J11" s="19" t="s">
        <v>311</v>
      </c>
    </row>
    <row r="12" ht="15" customHeight="1">
      <c r="B12" s="4" t="s">
        <v>142</v>
      </c>
      <c r="D12" s="17">
        <f t="shared" si="0" ref="D12:I12">D11/D107-1</f>
        <v>0.15873409892849222</v>
      </c>
      <c r="E12" s="17">
        <f t="shared" si="0"/>
        <v>0.14173696584776008</v>
      </c>
      <c r="F12" s="17">
        <f t="shared" si="0"/>
        <v>0.36546066281897094</v>
      </c>
      <c r="G12" s="17">
        <f t="shared" si="0"/>
        <v>0.284609807620966</v>
      </c>
      <c r="H12" s="17">
        <f t="shared" si="0"/>
        <v>0.05381044190084139</v>
      </c>
      <c r="I12" s="43">
        <f t="shared" si="0"/>
        <v>0.052872461691020556</v>
      </c>
    </row>
    <row r="13" ht="15" customHeight="1">
      <c r="B13" s="4" t="s">
        <v>156</v>
      </c>
      <c r="D13" s="45">
        <f>D11-G107</f>
        <v>-818.1220000000003</v>
      </c>
      <c r="E13" s="45">
        <f t="shared" si="1" ref="E13:G104">E11-D11</f>
        <v>-403.27700000000004</v>
      </c>
      <c r="F13" s="45">
        <f t="shared" si="1"/>
        <v>210.29500000000007</v>
      </c>
      <c r="G13" s="45">
        <f t="shared" si="1"/>
        <v>-80.60599999999977</v>
      </c>
      <c r="I13" s="46">
        <f t="shared" si="4" ref="I13:I104">I11-G11</f>
        <v>27.52300000000014</v>
      </c>
    </row>
    <row r="14" ht="15" customHeight="1">
      <c r="B14" s="9" t="s">
        <v>312</v>
      </c>
      <c r="C14" s="26">
        <v>-625.305</v>
      </c>
      <c r="D14" s="26">
        <v>24.262</v>
      </c>
      <c r="E14" s="26">
        <v>-9.795</v>
      </c>
      <c r="F14" s="26">
        <v>45.216</v>
      </c>
      <c r="G14" s="26">
        <v>-181.794</v>
      </c>
      <c r="H14" s="16">
        <f t="shared" si="2"/>
        <v>-610.8379999999999</v>
      </c>
      <c r="I14" s="67">
        <v>-50</v>
      </c>
    </row>
    <row r="15" ht="15" customHeight="1">
      <c r="B15" s="4" t="s">
        <v>313</v>
      </c>
      <c r="D15" s="45">
        <f t="shared" si="3" ref="D15:I15">D14-D109</f>
        <v>107.847</v>
      </c>
      <c r="E15" s="45">
        <f t="shared" si="3"/>
        <v>129.74200000000002</v>
      </c>
      <c r="F15" s="45">
        <f t="shared" si="3"/>
        <v>456.469</v>
      </c>
      <c r="G15" s="45">
        <f t="shared" si="3"/>
        <v>32.25799999999998</v>
      </c>
      <c r="H15" s="45">
        <f t="shared" si="3"/>
        <v>168.29700000000014</v>
      </c>
      <c r="I15" s="46">
        <f t="shared" si="3"/>
        <v>-74.262</v>
      </c>
    </row>
    <row r="16" ht="15" customHeight="1">
      <c r="B16" s="4" t="s">
        <v>156</v>
      </c>
      <c r="D16" s="45">
        <f>D14-G109</f>
        <v>238.314</v>
      </c>
      <c r="E16" s="45">
        <f t="shared" si="1"/>
        <v>-34.057</v>
      </c>
      <c r="F16" s="45">
        <f t="shared" si="1"/>
        <v>55.011</v>
      </c>
      <c r="G16" s="45">
        <f t="shared" si="1"/>
        <v>-227.01000000000002</v>
      </c>
      <c r="I16" s="46">
        <f t="shared" si="4"/>
        <v>131.794</v>
      </c>
    </row>
    <row r="17" ht="15" customHeight="1">
      <c r="B17" s="9" t="s">
        <v>314</v>
      </c>
      <c r="C17" s="26">
        <v>7655.186</v>
      </c>
      <c r="D17" s="26">
        <v>4002.744</v>
      </c>
      <c r="E17" s="26">
        <v>4764.236</v>
      </c>
      <c r="F17" s="26">
        <v>4217.9</v>
      </c>
      <c r="G17" s="26">
        <v>4311.309</v>
      </c>
      <c r="H17" s="16">
        <f t="shared" si="2"/>
        <v>16422.166</v>
      </c>
      <c r="I17" s="42">
        <f>'Income Statement'!I14</f>
        <v>4342.97724</v>
      </c>
    </row>
    <row r="18" ht="15" customHeight="1">
      <c r="B18" s="4" t="s">
        <v>315</v>
      </c>
      <c r="C18" s="45">
        <f t="shared" si="5" ref="C18:I18">-(C11+C14)</f>
        <v>8010.775000000001</v>
      </c>
      <c r="D18" s="45">
        <f t="shared" si="5"/>
        <v>4629.673000000001</v>
      </c>
      <c r="E18" s="45">
        <f t="shared" si="5"/>
        <v>5067.0070000000005</v>
      </c>
      <c r="F18" s="45">
        <f t="shared" si="5"/>
        <v>4801.701</v>
      </c>
      <c r="G18" s="45">
        <f t="shared" si="5"/>
        <v>5109.317</v>
      </c>
      <c r="H18" s="45">
        <f t="shared" si="5"/>
        <v>17707.455</v>
      </c>
      <c r="I18" s="46">
        <f t="shared" si="5"/>
        <v>4950</v>
      </c>
    </row>
    <row r="19" ht="15" customHeight="1">
      <c r="B19" s="4" t="s">
        <v>316</v>
      </c>
      <c r="C19" s="74">
        <f t="shared" si="6" ref="C19:I19">C18/C17</f>
        <v>1.0464507328757264</v>
      </c>
      <c r="D19" s="74">
        <f t="shared" si="6"/>
        <v>1.156624805383507</v>
      </c>
      <c r="E19" s="74">
        <f t="shared" si="6"/>
        <v>1.0635507980712964</v>
      </c>
      <c r="F19" s="74">
        <f t="shared" si="6"/>
        <v>1.1384103463809006</v>
      </c>
      <c r="G19" s="74">
        <f t="shared" si="6"/>
        <v>1.1850964521448126</v>
      </c>
      <c r="H19" s="74">
        <f t="shared" si="6"/>
        <v>1.0782654979860757</v>
      </c>
      <c r="I19" s="75">
        <f t="shared" si="6"/>
        <v>1.1397711124085927</v>
      </c>
    </row>
    <row r="20" ht="15" customHeight="1">
      <c r="B20" s="9" t="s">
        <v>317</v>
      </c>
      <c r="C20" s="26">
        <v>160.08</v>
      </c>
      <c r="D20" s="26">
        <v>87.326</v>
      </c>
      <c r="E20" s="26">
        <v>85.983</v>
      </c>
      <c r="F20" s="26">
        <v>98.575</v>
      </c>
      <c r="G20" s="26">
        <v>100.53</v>
      </c>
      <c r="H20" s="16">
        <f t="shared" si="2"/>
        <v>333.389</v>
      </c>
      <c r="I20" s="67">
        <v>105</v>
      </c>
    </row>
    <row r="21" ht="15" customHeight="1">
      <c r="B21" s="4" t="s">
        <v>313</v>
      </c>
      <c r="D21" s="45">
        <f t="shared" si="7" ref="D21:I21">D20-D110</f>
        <v>6.411999999999992</v>
      </c>
      <c r="E21" s="45">
        <f t="shared" si="7"/>
        <v>6.444000000000003</v>
      </c>
      <c r="F21" s="45">
        <f t="shared" si="7"/>
        <v>18.50800000000001</v>
      </c>
      <c r="G21" s="45">
        <f t="shared" si="7"/>
        <v>20.516999999999996</v>
      </c>
      <c r="H21" s="45">
        <f t="shared" si="7"/>
        <v>4.475000000000023</v>
      </c>
      <c r="I21" s="46">
        <f t="shared" si="7"/>
        <v>17.674000000000007</v>
      </c>
    </row>
    <row r="22" ht="15" customHeight="1">
      <c r="B22" s="4" t="s">
        <v>156</v>
      </c>
      <c r="D22" s="45">
        <f>D20-G110</f>
        <v>7.312999999999988</v>
      </c>
      <c r="E22" s="45">
        <f t="shared" si="1"/>
        <v>-1.3429999999999893</v>
      </c>
      <c r="F22" s="45">
        <f t="shared" si="1"/>
        <v>12.591999999999999</v>
      </c>
      <c r="G22" s="45">
        <f t="shared" si="1"/>
        <v>1.9549999999999983</v>
      </c>
      <c r="I22" s="46">
        <f t="shared" si="4"/>
        <v>4.469999999999999</v>
      </c>
    </row>
    <row r="23" ht="15" customHeight="1">
      <c r="B23" s="9" t="s">
        <v>318</v>
      </c>
      <c r="C23" s="26">
        <v>152.839</v>
      </c>
      <c r="D23" s="26">
        <v>80.986</v>
      </c>
      <c r="E23" s="26">
        <v>134.624</v>
      </c>
      <c r="F23" s="26">
        <v>140.405</v>
      </c>
      <c r="G23" s="26">
        <v>131.312</v>
      </c>
      <c r="H23" s="16">
        <f t="shared" si="2"/>
        <v>368.44899999999996</v>
      </c>
      <c r="I23" s="67">
        <v>135</v>
      </c>
    </row>
    <row r="24" ht="15" customHeight="1">
      <c r="B24" s="4" t="s">
        <v>313</v>
      </c>
      <c r="D24" s="45">
        <f t="shared" si="8" ref="D24:I24">D23-D111</f>
        <v>15.335999999999999</v>
      </c>
      <c r="E24" s="45">
        <f t="shared" si="8"/>
        <v>72.797</v>
      </c>
      <c r="F24" s="45">
        <f t="shared" si="8"/>
        <v>68.428</v>
      </c>
      <c r="G24" s="45">
        <f t="shared" si="8"/>
        <v>50.45000000000002</v>
      </c>
      <c r="H24" s="45">
        <f t="shared" si="8"/>
        <v>95.86099999999993</v>
      </c>
      <c r="I24" s="46">
        <f t="shared" si="8"/>
        <v>54.013999999999996</v>
      </c>
    </row>
    <row r="25" ht="15" customHeight="1">
      <c r="B25" s="4" t="s">
        <v>156</v>
      </c>
      <c r="D25" s="45">
        <f>D23-G111</f>
        <v>0.12400000000000944</v>
      </c>
      <c r="E25" s="45">
        <f t="shared" si="1"/>
        <v>53.63799999999999</v>
      </c>
      <c r="F25" s="45">
        <f t="shared" si="1"/>
        <v>5.781000000000006</v>
      </c>
      <c r="G25" s="45">
        <f t="shared" si="1"/>
        <v>-9.09299999999999</v>
      </c>
      <c r="I25" s="46">
        <f t="shared" si="4"/>
        <v>3.687999999999988</v>
      </c>
    </row>
    <row r="26" ht="15" customHeight="1">
      <c r="B26" s="9" t="s">
        <v>319</v>
      </c>
      <c r="C26" s="26">
        <v>83.785</v>
      </c>
      <c r="D26" s="26">
        <v>-1.707</v>
      </c>
      <c r="E26" s="26">
        <v>-9.73</v>
      </c>
      <c r="F26" s="26">
        <v>-10.11</v>
      </c>
      <c r="G26" s="26">
        <v>-8.813</v>
      </c>
      <c r="H26" s="16">
        <f t="shared" si="2"/>
        <v>72.348</v>
      </c>
      <c r="I26" s="67">
        <v>0</v>
      </c>
      <c r="J26" s="28" t="s">
        <v>320</v>
      </c>
    </row>
    <row r="27" ht="15" customHeight="1">
      <c r="B27" s="4" t="s">
        <v>313</v>
      </c>
      <c r="D27" s="45">
        <f t="shared" si="9" ref="D27:I27">D26-D112</f>
        <v>-106.51599999999999</v>
      </c>
      <c r="E27" s="45">
        <f t="shared" si="9"/>
        <v>43.125</v>
      </c>
      <c r="F27" s="45">
        <f t="shared" si="9"/>
        <v>-38.657</v>
      </c>
      <c r="G27" s="45">
        <f t="shared" si="9"/>
        <v>-64.051</v>
      </c>
      <c r="H27" s="45">
        <f t="shared" si="9"/>
        <v>193.887</v>
      </c>
      <c r="I27" s="46">
        <f t="shared" si="9"/>
        <v>1.707</v>
      </c>
    </row>
    <row r="28" ht="15" customHeight="1">
      <c r="B28" s="4" t="s">
        <v>156</v>
      </c>
      <c r="D28" s="45">
        <f>D26-G112</f>
        <v>-56.945</v>
      </c>
      <c r="E28" s="45">
        <f t="shared" si="1"/>
        <v>-8.023</v>
      </c>
      <c r="F28" s="45">
        <f t="shared" si="1"/>
        <v>-0.379999999999999</v>
      </c>
      <c r="G28" s="45">
        <f t="shared" si="1"/>
        <v>1.2969999999999988</v>
      </c>
      <c r="I28" s="46">
        <f t="shared" si="4"/>
        <v>8.813</v>
      </c>
    </row>
    <row r="29" ht="15" customHeight="1">
      <c r="B29" s="9" t="s">
        <v>321</v>
      </c>
      <c r="C29" s="26">
        <v>234.869</v>
      </c>
      <c r="D29" s="26">
        <v>142.293</v>
      </c>
      <c r="E29" s="26">
        <v>200.289</v>
      </c>
      <c r="F29" s="26">
        <v>198.227</v>
      </c>
      <c r="G29" s="26">
        <v>141.356</v>
      </c>
      <c r="H29" s="16">
        <f t="shared" si="2"/>
        <v>577.451</v>
      </c>
      <c r="I29" s="67">
        <v>150</v>
      </c>
    </row>
    <row r="30" ht="15" customHeight="1">
      <c r="B30" s="4" t="s">
        <v>313</v>
      </c>
      <c r="D30" s="45">
        <f t="shared" si="10" ref="D30:I30">D29-D113</f>
        <v>14.211000000000013</v>
      </c>
      <c r="E30" s="45">
        <f t="shared" si="10"/>
        <v>69.362</v>
      </c>
      <c r="F30" s="45">
        <f t="shared" si="10"/>
        <v>83.497</v>
      </c>
      <c r="G30" s="45">
        <f t="shared" si="10"/>
        <v>21.217</v>
      </c>
      <c r="H30" s="45">
        <f t="shared" si="10"/>
        <v>82.673</v>
      </c>
      <c r="I30" s="46">
        <f t="shared" si="10"/>
        <v>7.706999999999994</v>
      </c>
    </row>
    <row r="31" ht="15" customHeight="1">
      <c r="B31" s="4" t="s">
        <v>156</v>
      </c>
      <c r="D31" s="45">
        <f>D29-G113</f>
        <v>22.15400000000001</v>
      </c>
      <c r="E31" s="45">
        <f t="shared" si="1"/>
        <v>57.99599999999998</v>
      </c>
      <c r="F31" s="45">
        <f t="shared" si="1"/>
        <v>-2.0619999999999834</v>
      </c>
      <c r="G31" s="45">
        <f t="shared" si="1"/>
        <v>-56.87100000000001</v>
      </c>
      <c r="I31" s="46">
        <f t="shared" si="4"/>
        <v>8.644000000000005</v>
      </c>
    </row>
    <row r="32" ht="15" customHeight="1">
      <c r="B32" s="9" t="s">
        <v>322</v>
      </c>
      <c r="C32" s="26">
        <v>-299.683</v>
      </c>
      <c r="D32" s="26">
        <v>20.539</v>
      </c>
      <c r="E32" s="26">
        <v>-162.912</v>
      </c>
      <c r="F32" s="26">
        <v>58.819</v>
      </c>
      <c r="G32" s="26">
        <v>81.26</v>
      </c>
      <c r="H32" s="16">
        <f t="shared" si="2"/>
        <v>-442.05600000000004</v>
      </c>
      <c r="I32" s="67">
        <v>0</v>
      </c>
      <c r="J32" s="28" t="s">
        <v>323</v>
      </c>
    </row>
    <row r="33" ht="15" customHeight="1">
      <c r="B33" s="4" t="s">
        <v>313</v>
      </c>
      <c r="D33" s="45">
        <f t="shared" si="11" ref="D33:I33">D32-D114</f>
        <v>221.52100000000002</v>
      </c>
      <c r="E33" s="45">
        <f t="shared" si="11"/>
        <v>-89.66000000000001</v>
      </c>
      <c r="F33" s="45">
        <f t="shared" si="11"/>
        <v>222.747</v>
      </c>
      <c r="G33" s="45">
        <f t="shared" si="11"/>
        <v>217.015</v>
      </c>
      <c r="H33" s="45">
        <f t="shared" si="11"/>
        <v>148.64199999999994</v>
      </c>
      <c r="I33" s="46">
        <f t="shared" si="11"/>
        <v>-20.539</v>
      </c>
    </row>
    <row r="34" ht="15" customHeight="1">
      <c r="B34" s="4" t="s">
        <v>156</v>
      </c>
      <c r="D34" s="45">
        <f>D32-G114</f>
        <v>156.29399999999998</v>
      </c>
      <c r="E34" s="45">
        <f t="shared" si="1"/>
        <v>-183.45100000000002</v>
      </c>
      <c r="F34" s="45">
        <f t="shared" si="1"/>
        <v>221.731</v>
      </c>
      <c r="G34" s="45">
        <f t="shared" si="1"/>
        <v>22.441000000000003</v>
      </c>
      <c r="I34" s="46">
        <f t="shared" si="4"/>
        <v>-81.26</v>
      </c>
    </row>
    <row r="35" ht="15" customHeight="1">
      <c r="B35" s="9" t="s">
        <v>324</v>
      </c>
      <c r="C35" s="26">
        <v>-308.05</v>
      </c>
      <c r="D35" s="26">
        <v>-169.597</v>
      </c>
      <c r="E35" s="26">
        <v>-313.014</v>
      </c>
      <c r="F35" s="26">
        <v>-704.64</v>
      </c>
      <c r="G35" s="26">
        <v>111.713</v>
      </c>
      <c r="H35" s="16">
        <f t="shared" si="2"/>
        <v>-790.6610000000001</v>
      </c>
      <c r="I35" s="67">
        <v>-100</v>
      </c>
      <c r="J35" s="28" t="s">
        <v>325</v>
      </c>
    </row>
    <row r="36" ht="15" customHeight="1">
      <c r="B36" s="4" t="s">
        <v>313</v>
      </c>
      <c r="D36" s="45">
        <f t="shared" si="12" ref="D36:I36">D35-D115</f>
        <v>-224.553</v>
      </c>
      <c r="E36" s="45">
        <f t="shared" si="12"/>
        <v>-271.148</v>
      </c>
      <c r="F36" s="45">
        <f t="shared" si="12"/>
        <v>-573.273</v>
      </c>
      <c r="G36" s="45">
        <f t="shared" si="12"/>
        <v>288.39599999999996</v>
      </c>
      <c r="H36" s="45">
        <f t="shared" si="12"/>
        <v>-812.841</v>
      </c>
      <c r="I36" s="46">
        <f t="shared" si="12"/>
        <v>69.59700000000001</v>
      </c>
    </row>
    <row r="37" ht="15" customHeight="1">
      <c r="B37" s="4" t="s">
        <v>156</v>
      </c>
      <c r="D37" s="45">
        <f>D35-G115</f>
        <v>7.085999999999984</v>
      </c>
      <c r="E37" s="45">
        <f t="shared" si="1"/>
        <v>-143.417</v>
      </c>
      <c r="F37" s="45">
        <f t="shared" si="1"/>
        <v>-391.626</v>
      </c>
      <c r="G37" s="45">
        <f t="shared" si="1"/>
        <v>816.353</v>
      </c>
      <c r="I37" s="46">
        <f t="shared" si="4"/>
        <v>-211.713</v>
      </c>
    </row>
    <row r="38" ht="15" customHeight="1">
      <c r="B38" s="9" t="s">
        <v>326</v>
      </c>
      <c r="C38" s="26">
        <v>-265.38</v>
      </c>
      <c r="D38" s="26">
        <v>139.451</v>
      </c>
      <c r="E38" s="26">
        <v>117.89</v>
      </c>
      <c r="F38" s="26">
        <v>0.154</v>
      </c>
      <c r="G38" s="26">
        <v>-157.397</v>
      </c>
      <c r="H38" s="16">
        <f t="shared" si="2"/>
        <v>-8.039000000000001</v>
      </c>
      <c r="I38" s="67">
        <v>50</v>
      </c>
    </row>
    <row r="39" ht="15" customHeight="1">
      <c r="B39" s="4" t="s">
        <v>313</v>
      </c>
      <c r="D39" s="45">
        <f t="shared" si="13" ref="D39:I39">D38-D116</f>
        <v>108.85399999999998</v>
      </c>
      <c r="E39" s="45">
        <f t="shared" si="13"/>
        <v>-137.48899999999998</v>
      </c>
      <c r="F39" s="45">
        <f t="shared" si="13"/>
        <v>276.58</v>
      </c>
      <c r="G39" s="45">
        <f t="shared" si="13"/>
        <v>-168.44299999999998</v>
      </c>
      <c r="H39" s="45">
        <f t="shared" si="13"/>
        <v>-129.392</v>
      </c>
      <c r="I39" s="46">
        <f t="shared" si="13"/>
        <v>-89.451</v>
      </c>
    </row>
    <row r="40" ht="15" customHeight="1">
      <c r="B40" s="4" t="s">
        <v>156</v>
      </c>
      <c r="D40" s="45">
        <f>D38-G116</f>
        <v>128.405</v>
      </c>
      <c r="E40" s="45">
        <f t="shared" si="1"/>
        <v>-21.560999999999993</v>
      </c>
      <c r="F40" s="45">
        <f t="shared" si="1"/>
        <v>-117.736</v>
      </c>
      <c r="G40" s="45">
        <f t="shared" si="1"/>
        <v>-157.551</v>
      </c>
      <c r="I40" s="46">
        <f t="shared" si="4"/>
        <v>207.397</v>
      </c>
    </row>
    <row r="41" ht="15" customHeight="1">
      <c r="B41" s="9" t="s">
        <v>327</v>
      </c>
      <c r="C41" s="26">
        <v>39.178</v>
      </c>
      <c r="D41" s="26">
        <v>707.151</v>
      </c>
      <c r="E41" s="26">
        <v>134.889</v>
      </c>
      <c r="F41" s="26">
        <v>1295.904</v>
      </c>
      <c r="G41" s="26">
        <v>-1249.793</v>
      </c>
      <c r="H41" s="16">
        <f t="shared" si="2"/>
        <v>881.218</v>
      </c>
      <c r="I41" s="67">
        <v>150</v>
      </c>
    </row>
    <row r="42" ht="15" customHeight="1">
      <c r="B42" s="4" t="s">
        <v>313</v>
      </c>
      <c r="D42" s="45">
        <f t="shared" si="14" ref="D42:I42">D41-D117</f>
        <v>528.14</v>
      </c>
      <c r="E42" s="45">
        <f t="shared" si="14"/>
        <v>259.48</v>
      </c>
      <c r="F42" s="45">
        <f t="shared" si="14"/>
        <v>989.491</v>
      </c>
      <c r="G42" s="45">
        <f t="shared" si="14"/>
        <v>-982.5579999999999</v>
      </c>
      <c r="H42" s="45">
        <f t="shared" si="14"/>
        <v>689.319</v>
      </c>
      <c r="I42" s="46">
        <f t="shared" si="14"/>
        <v>-557.151</v>
      </c>
    </row>
    <row r="43" ht="15" customHeight="1">
      <c r="B43" s="4" t="s">
        <v>156</v>
      </c>
      <c r="D43" s="45">
        <f>D41-G117</f>
        <v>974.386</v>
      </c>
      <c r="E43" s="45">
        <f t="shared" si="1"/>
        <v>-572.262</v>
      </c>
      <c r="F43" s="45">
        <f t="shared" si="1"/>
        <v>1161.0149999999999</v>
      </c>
      <c r="G43" s="45">
        <f t="shared" si="1"/>
        <v>-2545.697</v>
      </c>
      <c r="I43" s="46">
        <f t="shared" si="4"/>
        <v>1399.793</v>
      </c>
    </row>
    <row r="44" ht="15" customHeight="1">
      <c r="B44" s="9" t="s">
        <v>328</v>
      </c>
      <c r="C44" s="26">
        <v>207.548</v>
      </c>
      <c r="D44" s="26">
        <v>-3.686</v>
      </c>
      <c r="E44" s="26">
        <v>51.055</v>
      </c>
      <c r="F44" s="26">
        <v>-32.282</v>
      </c>
      <c r="G44" s="26">
        <v>54.008</v>
      </c>
      <c r="H44" s="16">
        <f t="shared" si="2"/>
        <v>254.917</v>
      </c>
      <c r="I44" s="67">
        <v>20</v>
      </c>
    </row>
    <row r="45" ht="15" customHeight="1">
      <c r="B45" s="4" t="s">
        <v>313</v>
      </c>
      <c r="D45" s="45">
        <f t="shared" si="15" ref="D45:I45">D44-D118</f>
        <v>-43.014</v>
      </c>
      <c r="E45" s="45">
        <f t="shared" si="15"/>
        <v>43.29</v>
      </c>
      <c r="F45" s="45">
        <f t="shared" si="15"/>
        <v>-121.195</v>
      </c>
      <c r="G45" s="45">
        <f t="shared" si="15"/>
        <v>-64.62700000000001</v>
      </c>
      <c r="H45" s="45">
        <f t="shared" si="15"/>
        <v>177.073</v>
      </c>
      <c r="I45" s="46">
        <f t="shared" si="15"/>
        <v>23.686</v>
      </c>
    </row>
    <row r="46" ht="15" customHeight="1">
      <c r="B46" s="4" t="s">
        <v>156</v>
      </c>
      <c r="D46" s="45">
        <f>D44-G118</f>
        <v>-122.321</v>
      </c>
      <c r="E46" s="45">
        <f t="shared" si="1"/>
        <v>54.741</v>
      </c>
      <c r="F46" s="45">
        <f t="shared" si="1"/>
        <v>-83.33699999999999</v>
      </c>
      <c r="G46" s="45">
        <f t="shared" si="1"/>
        <v>86.28999999999999</v>
      </c>
      <c r="I46" s="46">
        <f t="shared" si="4"/>
        <v>-34.008</v>
      </c>
    </row>
    <row r="47" ht="15" customHeight="1">
      <c r="B47" s="9" t="s">
        <v>329</v>
      </c>
      <c r="C47" s="26">
        <v>-452.904</v>
      </c>
      <c r="D47" s="26">
        <v>-97.569</v>
      </c>
      <c r="E47" s="26">
        <v>-243.182</v>
      </c>
      <c r="F47" s="26">
        <v>-453.837</v>
      </c>
      <c r="G47" s="26">
        <v>-63.77</v>
      </c>
      <c r="H47" s="16">
        <f t="shared" si="2"/>
        <v>-793.655</v>
      </c>
      <c r="I47" s="67">
        <v>-100</v>
      </c>
    </row>
    <row r="48" ht="15" customHeight="1">
      <c r="B48" s="4" t="s">
        <v>313</v>
      </c>
      <c r="D48" s="45">
        <f t="shared" si="16" ref="D48:I48">D47-D119</f>
        <v>26.744</v>
      </c>
      <c r="E48" s="45">
        <f t="shared" si="16"/>
        <v>-76.03399999999999</v>
      </c>
      <c r="F48" s="45">
        <f t="shared" si="16"/>
        <v>-371.557</v>
      </c>
      <c r="G48" s="45">
        <f t="shared" si="16"/>
        <v>306.85400000000004</v>
      </c>
      <c r="H48" s="45">
        <f t="shared" si="16"/>
        <v>-347.304</v>
      </c>
      <c r="I48" s="46">
        <f t="shared" si="16"/>
        <v>-2.4309999999999974</v>
      </c>
    </row>
    <row r="49" ht="15" customHeight="1">
      <c r="B49" s="4" t="s">
        <v>156</v>
      </c>
      <c r="D49" s="45">
        <f>D47-G119</f>
        <v>273.055</v>
      </c>
      <c r="E49" s="45">
        <f t="shared" si="1"/>
        <v>-145.613</v>
      </c>
      <c r="F49" s="45">
        <f t="shared" si="1"/>
        <v>-210.655</v>
      </c>
      <c r="G49" s="45">
        <f t="shared" si="1"/>
        <v>390.067</v>
      </c>
      <c r="I49" s="46">
        <f t="shared" si="4"/>
        <v>-36.23</v>
      </c>
    </row>
    <row r="50" ht="15" customHeight="1">
      <c r="B50" s="3" t="s">
        <v>330</v>
      </c>
      <c r="C50" s="56">
        <f t="shared" si="17" ref="C50:I50">C10+C11+C14+C17+C20+C23+C26+C29+C32+C35+C38+C41+C44+C47</f>
        <v>5212.4569999999985</v>
      </c>
      <c r="D50" s="56">
        <f t="shared" si="17"/>
        <v>2825.1740000000004</v>
      </c>
      <c r="E50" s="56">
        <f t="shared" si="17"/>
        <v>2111.6420000000003</v>
      </c>
      <c r="F50" s="56">
        <f t="shared" si="17"/>
        <v>5290.204999999998</v>
      </c>
      <c r="G50" s="56">
        <f t="shared" si="17"/>
        <v>1743.8120000000017</v>
      </c>
      <c r="H50" s="56">
        <f t="shared" si="17"/>
        <v>10149.273000000005</v>
      </c>
      <c r="I50" s="57">
        <f t="shared" si="17"/>
        <v>3282.028252572951</v>
      </c>
    </row>
    <row r="51" ht="15" customHeight="1">
      <c r="B51" s="4" t="s">
        <v>88</v>
      </c>
      <c r="D51" s="17">
        <f t="shared" si="18" ref="D51:I51">D50/D120-1</f>
        <v>0.2171697827884269</v>
      </c>
      <c r="E51" s="17">
        <f t="shared" si="18"/>
        <v>0.37396723521596176</v>
      </c>
      <c r="F51" s="17">
        <f t="shared" si="18"/>
        <v>0.8966753537485128</v>
      </c>
      <c r="G51" s="17">
        <f t="shared" si="18"/>
        <v>-0.28038533247388353</v>
      </c>
      <c r="H51" s="17">
        <f t="shared" si="18"/>
        <v>0.37872179666703154</v>
      </c>
      <c r="I51" s="43">
        <f t="shared" si="18"/>
        <v>0.16170835940474837</v>
      </c>
    </row>
    <row r="52" ht="15" customHeight="1">
      <c r="B52" s="4" t="s">
        <v>313</v>
      </c>
      <c r="D52" s="45">
        <f t="shared" si="19" ref="D52:I52">D50-D120</f>
        <v>504.0730000000003</v>
      </c>
      <c r="E52" s="45">
        <f t="shared" si="19"/>
        <v>574.7480000000003</v>
      </c>
      <c r="F52" s="45">
        <f t="shared" si="19"/>
        <v>2501.005999999998</v>
      </c>
      <c r="G52" s="45">
        <f t="shared" si="19"/>
        <v>-679.4459999999981</v>
      </c>
      <c r="H52" s="45">
        <f t="shared" si="19"/>
        <v>2787.909000000005</v>
      </c>
      <c r="I52" s="46">
        <f t="shared" si="19"/>
        <v>456.8542525729504</v>
      </c>
    </row>
    <row r="53" ht="15" customHeight="1">
      <c r="B53" s="4" t="s">
        <v>156</v>
      </c>
      <c r="D53" s="45">
        <f>D50-G120</f>
        <v>401.9160000000006</v>
      </c>
      <c r="E53" s="45">
        <f t="shared" si="20" ref="E53:G53">E50-D50</f>
        <v>-713.5320000000002</v>
      </c>
      <c r="F53" s="45">
        <f t="shared" si="20"/>
        <v>3178.562999999998</v>
      </c>
      <c r="G53" s="45">
        <f t="shared" si="20"/>
        <v>-3546.3929999999964</v>
      </c>
      <c r="I53" s="46">
        <f>I50-G50</f>
        <v>1538.216252572949</v>
      </c>
    </row>
    <row r="54" ht="15" customHeight="1">
      <c r="B54" s="3" t="s">
        <v>331</v>
      </c>
      <c r="C54" s="48">
        <f t="shared" si="21" ref="C54:H54">ROUND(C50-C132,3)</f>
        <v>0</v>
      </c>
      <c r="D54" s="48">
        <f t="shared" si="21"/>
        <v>0</v>
      </c>
      <c r="E54" s="48">
        <f t="shared" si="21"/>
        <v>0</v>
      </c>
      <c r="F54" s="48">
        <f t="shared" si="21"/>
        <v>0</v>
      </c>
      <c r="G54" s="48">
        <f t="shared" si="21"/>
        <v>0</v>
      </c>
      <c r="H54" s="48">
        <f t="shared" si="21"/>
        <v>0</v>
      </c>
      <c r="I54" s="39"/>
    </row>
    <row r="55" ht="15" customHeight="1">
      <c r="B55" s="3" t="s">
        <v>332</v>
      </c>
      <c r="I55" s="39"/>
    </row>
    <row r="56" ht="15" customHeight="1">
      <c r="B56" s="9" t="s">
        <v>333</v>
      </c>
      <c r="C56" s="26">
        <v>-284.166</v>
      </c>
      <c r="D56" s="26">
        <v>-164.719</v>
      </c>
      <c r="E56" s="26">
        <v>-239.335</v>
      </c>
      <c r="F56" s="26">
        <v>-196.13</v>
      </c>
      <c r="G56" s="26">
        <v>-218.644</v>
      </c>
      <c r="H56" s="16">
        <f t="shared" si="2"/>
        <v>-688.22</v>
      </c>
      <c r="I56" s="67">
        <v>-230</v>
      </c>
      <c r="J56" s="28" t="s">
        <v>334</v>
      </c>
    </row>
    <row r="57" ht="15" customHeight="1">
      <c r="B57" s="4" t="s">
        <v>142</v>
      </c>
      <c r="D57" s="17">
        <f t="shared" si="22" ref="D57:I57">D56/D108-1</f>
        <v>0.29840063690753005</v>
      </c>
      <c r="E57" s="17">
        <f t="shared" si="22"/>
        <v>0.5083441521610346</v>
      </c>
      <c r="F57" s="17">
        <f t="shared" si="22"/>
        <v>0.5289568667804829</v>
      </c>
      <c r="G57" s="17">
        <f t="shared" si="22"/>
        <v>0.4025620794283111</v>
      </c>
      <c r="H57" s="17">
        <f t="shared" si="22"/>
        <v>0.5657804330911094</v>
      </c>
      <c r="I57" s="43">
        <f t="shared" si="22"/>
        <v>0.3963173647241667</v>
      </c>
    </row>
    <row r="58" ht="15" customHeight="1">
      <c r="B58" s="4" t="s">
        <v>156</v>
      </c>
      <c r="D58" s="45">
        <f>D56-G108</f>
        <v>-8.829999999999984</v>
      </c>
      <c r="E58" s="45">
        <f t="shared" si="1"/>
        <v>-74.61600000000001</v>
      </c>
      <c r="F58" s="45">
        <f t="shared" si="1"/>
        <v>43.20500000000001</v>
      </c>
      <c r="G58" s="45">
        <f t="shared" si="1"/>
        <v>-22.51400000000001</v>
      </c>
      <c r="I58" s="46">
        <f t="shared" si="4"/>
        <v>-11.355999999999995</v>
      </c>
    </row>
    <row r="59" ht="15" customHeight="1">
      <c r="B59" s="9" t="s">
        <v>335</v>
      </c>
      <c r="C59" s="26">
        <v>0</v>
      </c>
      <c r="D59" s="26">
        <v>0</v>
      </c>
      <c r="E59" s="26">
        <v>-17.194</v>
      </c>
      <c r="F59" s="26">
        <v>-585.744</v>
      </c>
      <c r="G59" s="26">
        <v>0</v>
      </c>
      <c r="H59" s="16">
        <f t="shared" si="2"/>
        <v>-17.194</v>
      </c>
      <c r="I59" s="67">
        <v>0</v>
      </c>
      <c r="J59" s="28" t="s">
        <v>336</v>
      </c>
    </row>
    <row r="60" ht="15" customHeight="1">
      <c r="B60" s="4" t="s">
        <v>313</v>
      </c>
      <c r="D60" s="45">
        <f t="shared" si="23" ref="D60:I60">D59-D124</f>
        <v>0</v>
      </c>
      <c r="E60" s="45">
        <f t="shared" si="23"/>
        <v>-17.194</v>
      </c>
      <c r="F60" s="45">
        <f t="shared" si="23"/>
        <v>-585.744</v>
      </c>
      <c r="G60" s="45">
        <f t="shared" si="23"/>
        <v>0</v>
      </c>
      <c r="H60" s="45">
        <f t="shared" si="23"/>
        <v>-17.194</v>
      </c>
      <c r="I60" s="46">
        <f t="shared" si="23"/>
        <v>0</v>
      </c>
    </row>
    <row r="61" ht="15" customHeight="1">
      <c r="B61" s="4" t="s">
        <v>156</v>
      </c>
      <c r="D61" s="45">
        <f>D59-G124</f>
        <v>0</v>
      </c>
      <c r="E61" s="45">
        <f t="shared" si="1"/>
        <v>-17.194</v>
      </c>
      <c r="F61" s="45">
        <f t="shared" si="1"/>
        <v>-568.5500000000001</v>
      </c>
      <c r="G61" s="45">
        <f t="shared" si="1"/>
        <v>585.744</v>
      </c>
      <c r="I61" s="46">
        <f t="shared" si="4"/>
        <v>0</v>
      </c>
    </row>
    <row r="62" ht="15" customHeight="1">
      <c r="B62" s="9" t="s">
        <v>337</v>
      </c>
      <c r="C62" s="26">
        <v>-157.665</v>
      </c>
      <c r="D62" s="26">
        <v>-3.85</v>
      </c>
      <c r="E62" s="26">
        <v>-8.45</v>
      </c>
      <c r="F62" s="26">
        <v>0</v>
      </c>
      <c r="G62" s="26">
        <v>0</v>
      </c>
      <c r="H62" s="16">
        <f t="shared" si="2"/>
        <v>-169.96499999999997</v>
      </c>
      <c r="I62" s="67">
        <v>0</v>
      </c>
    </row>
    <row r="63" ht="15" customHeight="1">
      <c r="B63" s="4" t="s">
        <v>313</v>
      </c>
      <c r="D63" s="45">
        <f t="shared" si="24" ref="D63:I63">D62-D125</f>
        <v>1738.3960000000002</v>
      </c>
      <c r="E63" s="45">
        <f t="shared" si="24"/>
        <v>-8.45</v>
      </c>
      <c r="F63" s="45">
        <f t="shared" si="24"/>
        <v>156.015</v>
      </c>
      <c r="G63" s="45">
        <f t="shared" si="24"/>
        <v>1.65</v>
      </c>
      <c r="H63" s="45">
        <f t="shared" si="24"/>
        <v>1572.2810000000002</v>
      </c>
      <c r="I63" s="46">
        <f t="shared" si="24"/>
        <v>3.85</v>
      </c>
    </row>
    <row r="64" ht="15" customHeight="1">
      <c r="B64" s="4" t="s">
        <v>156</v>
      </c>
      <c r="D64" s="45">
        <f>D62-G125</f>
        <v>-2.2</v>
      </c>
      <c r="E64" s="45">
        <f t="shared" si="1"/>
        <v>-4.6</v>
      </c>
      <c r="F64" s="45">
        <f t="shared" si="1"/>
        <v>8.45</v>
      </c>
      <c r="G64" s="45">
        <f t="shared" si="1"/>
        <v>0</v>
      </c>
      <c r="I64" s="46">
        <f t="shared" si="4"/>
        <v>0</v>
      </c>
    </row>
    <row r="65" ht="15" customHeight="1">
      <c r="B65" s="9" t="s">
        <v>338</v>
      </c>
      <c r="C65" s="26">
        <v>1732.367</v>
      </c>
      <c r="D65" s="26">
        <v>176.25</v>
      </c>
      <c r="E65" s="26">
        <v>8.45</v>
      </c>
      <c r="F65" s="26">
        <v>0</v>
      </c>
      <c r="G65" s="26">
        <v>0</v>
      </c>
      <c r="H65" s="16">
        <f t="shared" si="2"/>
        <v>1917.067</v>
      </c>
      <c r="I65" s="67">
        <v>0</v>
      </c>
    </row>
    <row r="66" ht="15" customHeight="1">
      <c r="B66" s="4" t="s">
        <v>313</v>
      </c>
      <c r="D66" s="45">
        <f t="shared" si="25" ref="D66:I66">D65-D126</f>
        <v>176.25</v>
      </c>
      <c r="E66" s="45">
        <f t="shared" si="25"/>
        <v>8.45</v>
      </c>
      <c r="F66" s="45">
        <f t="shared" si="25"/>
        <v>-769.954</v>
      </c>
      <c r="G66" s="45">
        <f t="shared" si="25"/>
        <v>-962.413</v>
      </c>
      <c r="H66" s="45">
        <f t="shared" si="25"/>
        <v>1917.067</v>
      </c>
      <c r="I66" s="46">
        <f t="shared" si="25"/>
        <v>-176.25</v>
      </c>
    </row>
    <row r="67" ht="15" customHeight="1">
      <c r="B67" s="4" t="s">
        <v>156</v>
      </c>
      <c r="D67" s="45">
        <f>D65-G126</f>
        <v>-786.163</v>
      </c>
      <c r="E67" s="45">
        <f t="shared" si="1"/>
        <v>-167.8</v>
      </c>
      <c r="F67" s="45">
        <f t="shared" si="1"/>
        <v>-8.45</v>
      </c>
      <c r="G67" s="45">
        <f t="shared" si="1"/>
        <v>0</v>
      </c>
      <c r="I67" s="46">
        <f t="shared" si="4"/>
        <v>0</v>
      </c>
    </row>
    <row r="68" ht="15" customHeight="1">
      <c r="B68" s="9" t="s">
        <v>339</v>
      </c>
      <c r="C68" s="26">
        <v>-36.19</v>
      </c>
      <c r="D68" s="26">
        <v>36.19</v>
      </c>
      <c r="E68" s="26">
        <v>0</v>
      </c>
      <c r="F68" s="26">
        <v>0</v>
      </c>
      <c r="G68" s="26">
        <v>0</v>
      </c>
      <c r="H68" s="16">
        <f t="shared" si="2"/>
        <v>0</v>
      </c>
      <c r="I68" s="67">
        <v>0</v>
      </c>
    </row>
    <row r="69" ht="15" customHeight="1">
      <c r="B69" s="4" t="s">
        <v>313</v>
      </c>
      <c r="D69" s="45">
        <f t="shared" si="26" ref="D69:I69">D68-D127</f>
        <v>36.19</v>
      </c>
      <c r="E69" s="45">
        <f t="shared" si="26"/>
        <v>0</v>
      </c>
      <c r="F69" s="45">
        <f t="shared" si="26"/>
        <v>0</v>
      </c>
      <c r="G69" s="45">
        <f t="shared" si="26"/>
        <v>36.19</v>
      </c>
      <c r="H69" s="45">
        <f t="shared" si="26"/>
        <v>0</v>
      </c>
      <c r="I69" s="46">
        <f t="shared" si="26"/>
        <v>-36.19</v>
      </c>
    </row>
    <row r="70" ht="15" customHeight="1">
      <c r="B70" s="4" t="s">
        <v>156</v>
      </c>
      <c r="D70" s="45">
        <f>D68-G127</f>
        <v>72.38</v>
      </c>
      <c r="E70" s="45">
        <f t="shared" si="1"/>
        <v>-36.19</v>
      </c>
      <c r="F70" s="45">
        <f t="shared" si="1"/>
        <v>0</v>
      </c>
      <c r="G70" s="45">
        <f t="shared" si="1"/>
        <v>0</v>
      </c>
      <c r="I70" s="46">
        <f t="shared" si="4"/>
        <v>0</v>
      </c>
    </row>
    <row r="71" ht="15" customHeight="1">
      <c r="B71" s="3" t="s">
        <v>340</v>
      </c>
      <c r="C71" s="56">
        <f t="shared" si="27" ref="C71:I71">C56+C59+C62+C65+C68</f>
        <v>1254.346</v>
      </c>
      <c r="D71" s="56">
        <f t="shared" si="27"/>
        <v>43.87100000000001</v>
      </c>
      <c r="E71" s="56">
        <f t="shared" si="27"/>
        <v>-256.529</v>
      </c>
      <c r="F71" s="56">
        <f t="shared" si="27"/>
        <v>-781.874</v>
      </c>
      <c r="G71" s="56">
        <f t="shared" si="27"/>
        <v>-218.644</v>
      </c>
      <c r="H71" s="56">
        <f t="shared" si="27"/>
        <v>1041.688</v>
      </c>
      <c r="I71" s="57">
        <f t="shared" si="27"/>
        <v>-230</v>
      </c>
    </row>
    <row r="72" ht="15" customHeight="1">
      <c r="B72" s="3" t="s">
        <v>341</v>
      </c>
      <c r="I72" s="39"/>
    </row>
    <row r="73" ht="15" customHeight="1">
      <c r="B73" s="9" t="s">
        <v>342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16">
        <f t="shared" si="2"/>
        <v>0</v>
      </c>
      <c r="I73" s="67">
        <v>1000</v>
      </c>
      <c r="J73" s="28" t="s">
        <v>343</v>
      </c>
    </row>
    <row r="74" ht="15" customHeight="1">
      <c r="B74" s="4" t="s">
        <v>313</v>
      </c>
      <c r="D74" s="45">
        <f t="shared" si="28" ref="D74:I74">D73-D128</f>
        <v>-1794.46</v>
      </c>
      <c r="E74" s="45">
        <f t="shared" si="28"/>
        <v>0</v>
      </c>
      <c r="F74" s="45">
        <f t="shared" si="28"/>
        <v>0</v>
      </c>
      <c r="G74" s="45">
        <f t="shared" si="28"/>
        <v>0</v>
      </c>
      <c r="H74" s="45">
        <f t="shared" si="28"/>
        <v>-1794.46</v>
      </c>
      <c r="I74" s="46">
        <f t="shared" si="28"/>
        <v>1000</v>
      </c>
    </row>
    <row r="75" ht="15" customHeight="1">
      <c r="B75" s="4" t="s">
        <v>156</v>
      </c>
      <c r="D75" s="45">
        <f>D73-G128</f>
        <v>0</v>
      </c>
      <c r="E75" s="45">
        <f t="shared" si="1"/>
        <v>0</v>
      </c>
      <c r="F75" s="45">
        <f t="shared" si="1"/>
        <v>0</v>
      </c>
      <c r="G75" s="45">
        <f t="shared" si="1"/>
        <v>0</v>
      </c>
      <c r="I75" s="46">
        <f t="shared" si="4"/>
        <v>1000</v>
      </c>
    </row>
    <row r="76" ht="15" customHeight="1">
      <c r="B76" s="9" t="s">
        <v>344</v>
      </c>
      <c r="C76" s="26">
        <v>-1833.45</v>
      </c>
      <c r="D76" s="26">
        <v>0</v>
      </c>
      <c r="E76" s="26">
        <v>0</v>
      </c>
      <c r="F76" s="26">
        <v>0</v>
      </c>
      <c r="G76" s="26">
        <v>0</v>
      </c>
      <c r="H76" s="16">
        <f t="shared" si="2"/>
        <v>-1833.45</v>
      </c>
      <c r="I76" s="67">
        <v>0</v>
      </c>
      <c r="J76" s="28" t="s">
        <v>345</v>
      </c>
    </row>
    <row r="77" ht="15" customHeight="1">
      <c r="B77" s="4" t="s">
        <v>313</v>
      </c>
      <c r="D77" s="45">
        <f t="shared" si="29" ref="D77:I77">D76-D129</f>
        <v>0</v>
      </c>
      <c r="E77" s="45">
        <f t="shared" si="29"/>
        <v>0</v>
      </c>
      <c r="F77" s="45">
        <f t="shared" si="29"/>
        <v>800</v>
      </c>
      <c r="G77" s="45">
        <f t="shared" si="29"/>
        <v>1033.45</v>
      </c>
      <c r="H77" s="45">
        <f t="shared" si="29"/>
        <v>-1433.45</v>
      </c>
      <c r="I77" s="46">
        <f t="shared" si="29"/>
        <v>0</v>
      </c>
    </row>
    <row r="78" ht="15" customHeight="1">
      <c r="B78" s="4" t="s">
        <v>156</v>
      </c>
      <c r="D78" s="45">
        <f>D76-G129</f>
        <v>1033.45</v>
      </c>
      <c r="E78" s="45">
        <f t="shared" si="1"/>
        <v>0</v>
      </c>
      <c r="F78" s="45">
        <f t="shared" si="1"/>
        <v>0</v>
      </c>
      <c r="G78" s="45">
        <f t="shared" si="1"/>
        <v>0</v>
      </c>
      <c r="I78" s="46">
        <f t="shared" si="4"/>
        <v>0</v>
      </c>
    </row>
    <row r="79" ht="15" customHeight="1">
      <c r="B79" s="9" t="s">
        <v>346</v>
      </c>
      <c r="C79" s="26">
        <v>520.668</v>
      </c>
      <c r="D79" s="26">
        <v>70.215</v>
      </c>
      <c r="E79" s="26">
        <v>76.082</v>
      </c>
      <c r="F79" s="26">
        <v>49.31</v>
      </c>
      <c r="G79" s="26">
        <v>59.98</v>
      </c>
      <c r="H79" s="16">
        <f t="shared" si="2"/>
        <v>666.965</v>
      </c>
      <c r="I79" s="67">
        <v>60</v>
      </c>
      <c r="J79" s="28" t="s">
        <v>347</v>
      </c>
    </row>
    <row r="80" ht="15" customHeight="1">
      <c r="B80" s="4" t="s">
        <v>156</v>
      </c>
      <c r="D80" s="45">
        <f>D79-G121</f>
        <v>-98.851</v>
      </c>
      <c r="E80" s="45">
        <f t="shared" si="30" ref="E80:G86">E79-D79</f>
        <v>5.86699999999999</v>
      </c>
      <c r="F80" s="45">
        <f t="shared" si="30"/>
        <v>-26.77199999999999</v>
      </c>
      <c r="G80" s="45">
        <f t="shared" si="30"/>
        <v>10.669999999999995</v>
      </c>
      <c r="I80" s="46">
        <f t="shared" si="32" ref="I80:I86">I79-G79</f>
        <v>0.020000000000003126</v>
      </c>
    </row>
    <row r="81" ht="15" customHeight="1">
      <c r="B81" s="4" t="s">
        <v>313</v>
      </c>
      <c r="D81" s="45">
        <f t="shared" si="31" ref="D81:I81">D79-D121</f>
        <v>-73.029</v>
      </c>
      <c r="E81" s="45">
        <f t="shared" si="31"/>
        <v>-225.93</v>
      </c>
      <c r="F81" s="45">
        <f t="shared" si="31"/>
        <v>-302.292</v>
      </c>
      <c r="G81" s="45">
        <f t="shared" si="31"/>
        <v>-109.08600000000001</v>
      </c>
      <c r="H81" s="45">
        <f t="shared" si="31"/>
        <v>-165.9219999999999</v>
      </c>
      <c r="I81" s="46">
        <f t="shared" si="31"/>
        <v>-10.215000000000003</v>
      </c>
    </row>
    <row r="82" ht="15" customHeight="1">
      <c r="B82" s="9" t="s">
        <v>348</v>
      </c>
      <c r="C82" s="26">
        <v>-5190.723</v>
      </c>
      <c r="D82" s="26">
        <v>-1856.885</v>
      </c>
      <c r="E82" s="26">
        <v>-2079.559</v>
      </c>
      <c r="F82" s="26">
        <v>-1270.588</v>
      </c>
      <c r="G82" s="26">
        <v>-4714.403</v>
      </c>
      <c r="H82" s="16">
        <f t="shared" si="2"/>
        <v>-9127.167000000001</v>
      </c>
      <c r="I82" s="42">
        <f>-'Share Count'!I23</f>
        <v>-3000</v>
      </c>
      <c r="J82" s="28" t="s">
        <v>349</v>
      </c>
    </row>
    <row r="83" ht="15" customHeight="1">
      <c r="B83" s="4" t="s">
        <v>156</v>
      </c>
      <c r="D83" s="45">
        <f>D82-G122</f>
        <v>-202.558</v>
      </c>
      <c r="E83" s="45">
        <f t="shared" si="30"/>
        <v>-222.6740000000002</v>
      </c>
      <c r="F83" s="45">
        <f t="shared" si="30"/>
        <v>808.9710000000002</v>
      </c>
      <c r="G83" s="45">
        <f t="shared" si="30"/>
        <v>-3443.8150000000005</v>
      </c>
      <c r="I83" s="46">
        <f t="shared" si="32"/>
        <v>1714.4030000000002</v>
      </c>
    </row>
    <row r="84" ht="15" customHeight="1">
      <c r="B84" s="4" t="s">
        <v>313</v>
      </c>
      <c r="D84" s="45">
        <f t="shared" si="33" ref="D84:I84">D82-D122</f>
        <v>-156.885</v>
      </c>
      <c r="E84" s="45">
        <f t="shared" si="33"/>
        <v>-1115.8110000000001</v>
      </c>
      <c r="F84" s="45">
        <f t="shared" si="33"/>
        <v>2265.808</v>
      </c>
      <c r="G84" s="45">
        <f t="shared" si="33"/>
        <v>-3060.076</v>
      </c>
      <c r="H84" s="45">
        <f t="shared" si="33"/>
        <v>-2863.421000000001</v>
      </c>
      <c r="I84" s="46">
        <f t="shared" si="33"/>
        <v>-1143.115</v>
      </c>
    </row>
    <row r="85" ht="15" customHeight="1">
      <c r="B85" s="9" t="s">
        <v>350</v>
      </c>
      <c r="C85" s="26">
        <v>-33.984</v>
      </c>
      <c r="D85" s="26">
        <v>-6.196</v>
      </c>
      <c r="E85" s="26">
        <v>-5.985</v>
      </c>
      <c r="F85" s="26">
        <v>-29.23</v>
      </c>
      <c r="G85" s="26">
        <v>-6.631</v>
      </c>
      <c r="H85" s="16">
        <f t="shared" si="2"/>
        <v>-46.165</v>
      </c>
      <c r="I85" s="67">
        <v>-10</v>
      </c>
    </row>
    <row r="86" ht="15" customHeight="1">
      <c r="B86" s="4" t="s">
        <v>156</v>
      </c>
      <c r="D86" s="45">
        <f>D85-G123</f>
        <v>-0.08199999999999985</v>
      </c>
      <c r="E86" s="45">
        <f t="shared" si="30"/>
        <v>0.2109999999999994</v>
      </c>
      <c r="F86" s="45">
        <f t="shared" si="30"/>
        <v>-23.245</v>
      </c>
      <c r="G86" s="45">
        <f t="shared" si="30"/>
        <v>22.599</v>
      </c>
      <c r="I86" s="46">
        <f t="shared" si="32"/>
        <v>-3.3689999999999998</v>
      </c>
    </row>
    <row r="87" ht="15" customHeight="1">
      <c r="B87" s="4" t="s">
        <v>313</v>
      </c>
      <c r="D87" s="45">
        <f t="shared" si="34" ref="D87:I87">D85-D123</f>
        <v>-4.172</v>
      </c>
      <c r="E87" s="45">
        <f t="shared" si="34"/>
        <v>-3.4320000000000004</v>
      </c>
      <c r="F87" s="45">
        <f t="shared" si="34"/>
        <v>-1.3599999999999994</v>
      </c>
      <c r="G87" s="45">
        <f t="shared" si="34"/>
        <v>-0.5170000000000003</v>
      </c>
      <c r="H87" s="45">
        <f t="shared" si="34"/>
        <v>-37.879999999999995</v>
      </c>
      <c r="I87" s="46">
        <f t="shared" si="34"/>
        <v>-3.8040000000000003</v>
      </c>
    </row>
    <row r="88" ht="15" customHeight="1">
      <c r="B88" s="9" t="s">
        <v>351</v>
      </c>
      <c r="C88" s="26">
        <v>6.305</v>
      </c>
      <c r="D88" s="26">
        <v>55.837</v>
      </c>
      <c r="E88" s="26">
        <v>-67.948</v>
      </c>
      <c r="F88" s="26">
        <v>19.694</v>
      </c>
      <c r="G88" s="26">
        <v>-8.573</v>
      </c>
      <c r="H88" s="16">
        <f t="shared" si="2"/>
        <v>-5.80599999999999</v>
      </c>
      <c r="I88" s="67">
        <v>0</v>
      </c>
    </row>
    <row r="89" ht="15" customHeight="1">
      <c r="B89" s="4" t="s">
        <v>313</v>
      </c>
      <c r="D89" s="45">
        <f t="shared" si="35" ref="D89:I89">D88-D130</f>
        <v>64.921</v>
      </c>
      <c r="E89" s="45">
        <f t="shared" si="35"/>
        <v>-53.538999999999994</v>
      </c>
      <c r="F89" s="45">
        <f t="shared" si="35"/>
        <v>35.346</v>
      </c>
      <c r="G89" s="45">
        <f t="shared" si="35"/>
        <v>-30.53</v>
      </c>
      <c r="H89" s="45">
        <f t="shared" si="35"/>
        <v>23.93700000000001</v>
      </c>
      <c r="I89" s="46">
        <f t="shared" si="35"/>
        <v>-55.837</v>
      </c>
    </row>
    <row r="90" ht="15" customHeight="1">
      <c r="B90" s="4" t="s">
        <v>156</v>
      </c>
      <c r="D90" s="45">
        <f>D88-G130</f>
        <v>33.88</v>
      </c>
      <c r="E90" s="45">
        <f t="shared" si="1"/>
        <v>-123.785</v>
      </c>
      <c r="F90" s="45">
        <f t="shared" si="1"/>
        <v>87.642</v>
      </c>
      <c r="G90" s="45">
        <f t="shared" si="1"/>
        <v>-28.267</v>
      </c>
      <c r="I90" s="46">
        <f t="shared" si="4"/>
        <v>8.573</v>
      </c>
    </row>
    <row r="91" ht="15" customHeight="1">
      <c r="B91" s="3" t="s">
        <v>352</v>
      </c>
      <c r="C91" s="56">
        <f t="shared" si="36" ref="C91:I91">C73+C76+C79+C82+C85+C88</f>
        <v>-6531.184</v>
      </c>
      <c r="D91" s="56">
        <f t="shared" si="36"/>
        <v>-1737.029</v>
      </c>
      <c r="E91" s="56">
        <f t="shared" si="36"/>
        <v>-2077.4100000000003</v>
      </c>
      <c r="F91" s="56">
        <f t="shared" si="36"/>
        <v>-1230.814</v>
      </c>
      <c r="G91" s="56">
        <f t="shared" si="36"/>
        <v>-4669.627000000001</v>
      </c>
      <c r="H91" s="56">
        <f t="shared" si="36"/>
        <v>-10345.623000000003</v>
      </c>
      <c r="I91" s="57">
        <f t="shared" si="36"/>
        <v>-1950</v>
      </c>
    </row>
    <row r="92" ht="15" customHeight="1">
      <c r="B92" s="9" t="s">
        <v>353</v>
      </c>
      <c r="C92" s="26">
        <v>437.617</v>
      </c>
      <c r="D92" s="26">
        <v>-21.721</v>
      </c>
      <c r="E92" s="26">
        <v>-29.377</v>
      </c>
      <c r="F92" s="26">
        <v>-49.838</v>
      </c>
      <c r="G92" s="26">
        <v>-19.628</v>
      </c>
      <c r="H92" s="16">
        <f t="shared" si="2"/>
        <v>386.519</v>
      </c>
      <c r="I92" s="67">
        <v>0</v>
      </c>
      <c r="J92" s="28" t="s">
        <v>320</v>
      </c>
    </row>
    <row r="93" ht="15" customHeight="1">
      <c r="B93" s="4" t="s">
        <v>313</v>
      </c>
      <c r="D93" s="45">
        <f t="shared" si="37" ref="D93:I93">D92-D131</f>
        <v>-175.173</v>
      </c>
      <c r="E93" s="45">
        <f t="shared" si="37"/>
        <v>321.893</v>
      </c>
      <c r="F93" s="45">
        <f t="shared" si="37"/>
        <v>-199.98399999999998</v>
      </c>
      <c r="G93" s="45">
        <f t="shared" si="37"/>
        <v>-307.099</v>
      </c>
      <c r="H93" s="45">
        <f t="shared" si="37"/>
        <v>802.85</v>
      </c>
      <c r="I93" s="46">
        <f t="shared" si="37"/>
        <v>21.721</v>
      </c>
    </row>
    <row r="94" ht="15" customHeight="1">
      <c r="B94" s="4" t="s">
        <v>156</v>
      </c>
      <c r="D94" s="45">
        <f>D92-G131</f>
        <v>-309.192</v>
      </c>
      <c r="E94" s="45">
        <f t="shared" si="1"/>
        <v>-7.655999999999999</v>
      </c>
      <c r="F94" s="45">
        <f t="shared" si="1"/>
        <v>-20.461000000000002</v>
      </c>
      <c r="G94" s="45">
        <f t="shared" si="1"/>
        <v>30.21</v>
      </c>
      <c r="I94" s="46">
        <f t="shared" si="4"/>
        <v>19.628</v>
      </c>
    </row>
    <row r="95" ht="15" customHeight="1">
      <c r="B95" s="3" t="s">
        <v>354</v>
      </c>
      <c r="C95" s="56">
        <f t="shared" si="38" ref="C95:I95">C50+C71+C91+C92</f>
        <v>373.2359999999979</v>
      </c>
      <c r="D95" s="56">
        <f t="shared" si="38"/>
        <v>1110.2950000000005</v>
      </c>
      <c r="E95" s="56">
        <f t="shared" si="38"/>
        <v>-251.67400000000004</v>
      </c>
      <c r="F95" s="56">
        <f t="shared" si="38"/>
        <v>3227.678999999998</v>
      </c>
      <c r="G95" s="56">
        <f t="shared" si="38"/>
        <v>-3164.087</v>
      </c>
      <c r="H95" s="56">
        <f t="shared" si="38"/>
        <v>1231.8570000000016</v>
      </c>
      <c r="I95" s="57">
        <f t="shared" si="38"/>
        <v>1102.0282525729508</v>
      </c>
    </row>
    <row r="96" ht="15" customHeight="1">
      <c r="B96" s="9" t="s">
        <v>355</v>
      </c>
      <c r="C96" s="26">
        <v>7807.337</v>
      </c>
      <c r="D96" s="16">
        <f t="shared" si="39" ref="D96:G96">C97</f>
        <v>8180.5729999999985</v>
      </c>
      <c r="E96" s="16">
        <f t="shared" si="39"/>
        <v>9290.867999999999</v>
      </c>
      <c r="F96" s="16">
        <f t="shared" si="39"/>
        <v>9039.193999999998</v>
      </c>
      <c r="G96" s="16">
        <f t="shared" si="39"/>
        <v>12266.872999999996</v>
      </c>
      <c r="H96" s="16">
        <f>C96</f>
        <v>7807.337</v>
      </c>
      <c r="I96" s="61">
        <f>G97</f>
        <v>9102.785999999996</v>
      </c>
    </row>
    <row r="97" ht="15" customHeight="1">
      <c r="B97" s="3" t="s">
        <v>356</v>
      </c>
      <c r="C97" s="56">
        <f t="shared" si="40" ref="C97:I97">C96+C95</f>
        <v>8180.5729999999985</v>
      </c>
      <c r="D97" s="56">
        <f t="shared" si="40"/>
        <v>9290.867999999999</v>
      </c>
      <c r="E97" s="56">
        <f t="shared" si="40"/>
        <v>9039.193999999998</v>
      </c>
      <c r="F97" s="56">
        <f t="shared" si="40"/>
        <v>12266.872999999996</v>
      </c>
      <c r="G97" s="56">
        <f t="shared" si="40"/>
        <v>9102.785999999996</v>
      </c>
      <c r="H97" s="56">
        <f t="shared" si="40"/>
        <v>9039.194000000001</v>
      </c>
      <c r="I97" s="57">
        <f t="shared" si="40"/>
        <v>10204.814252572947</v>
      </c>
    </row>
    <row r="98" ht="41.25" customHeight="1">
      <c r="B98" s="3" t="s">
        <v>357</v>
      </c>
      <c r="D98" s="76">
        <f>ROUND(D97-'Balance Sheet'!D44,3)</f>
        <v>0</v>
      </c>
      <c r="E98" s="76">
        <f>ROUND(E97-'Balance Sheet'!E44,3)</f>
        <v>0</v>
      </c>
      <c r="F98" s="76">
        <f>ROUND(F97-'Balance Sheet'!F44,3)</f>
        <v>0</v>
      </c>
      <c r="G98" s="76">
        <f>ROUND(G97-'Balance Sheet'!G44,3)</f>
        <v>0</v>
      </c>
      <c r="H98" s="76">
        <f>ROUND(H97-'Balance Sheet'!H44,3)</f>
        <v>0</v>
      </c>
      <c r="I98" s="77">
        <f>ROUND(I97-'Balance Sheet'!I44,3)</f>
        <v>0</v>
      </c>
      <c r="J98" s="19" t="s">
        <v>358</v>
      </c>
    </row>
    <row r="99" ht="28.5" customHeight="1">
      <c r="B99" s="3" t="s">
        <v>359</v>
      </c>
      <c r="E99" s="76">
        <f>ROUND(E95-('Balance Sheet'!E44-'Balance Sheet'!D44),3)</f>
        <v>0</v>
      </c>
      <c r="F99" s="76">
        <f>ROUND(F95-('Balance Sheet'!F44-'Balance Sheet'!E44),3)</f>
        <v>0</v>
      </c>
      <c r="G99" s="76">
        <f>ROUND(G95-('Balance Sheet'!G44-'Balance Sheet'!F44),3)</f>
        <v>0</v>
      </c>
      <c r="I99" s="77">
        <f>ROUND(I95-('Balance Sheet'!I44-'Balance Sheet'!G44),3)</f>
        <v>0</v>
      </c>
      <c r="J99" s="19" t="s">
        <v>360</v>
      </c>
    </row>
    <row r="100" ht="15" customHeight="1">
      <c r="I100" s="39"/>
    </row>
    <row r="101" ht="15" customHeight="1">
      <c r="B101" s="3" t="s">
        <v>361</v>
      </c>
      <c r="I101" s="39"/>
    </row>
    <row r="102" ht="15" customHeight="1">
      <c r="B102" s="3" t="s">
        <v>362</v>
      </c>
      <c r="C102" s="56">
        <f t="shared" si="41" ref="C102:I102">C50+C56</f>
        <v>4928.290999999998</v>
      </c>
      <c r="D102" s="56">
        <f t="shared" si="41"/>
        <v>2660.4550000000004</v>
      </c>
      <c r="E102" s="56">
        <f t="shared" si="41"/>
        <v>1872.3070000000002</v>
      </c>
      <c r="F102" s="56">
        <f t="shared" si="41"/>
        <v>5094.074999999998</v>
      </c>
      <c r="G102" s="56">
        <f t="shared" si="41"/>
        <v>1525.1680000000017</v>
      </c>
      <c r="H102" s="56">
        <f t="shared" si="41"/>
        <v>9461.053000000005</v>
      </c>
      <c r="I102" s="57">
        <f t="shared" si="41"/>
        <v>3052.028252572951</v>
      </c>
    </row>
    <row r="103" ht="15" customHeight="1">
      <c r="B103" s="4" t="s">
        <v>88</v>
      </c>
      <c r="D103" s="17">
        <f t="shared" si="42" ref="D103:I103">D102/(D120+D108)-1</f>
        <v>0.2124733050835872</v>
      </c>
      <c r="E103" s="17">
        <f t="shared" si="42"/>
        <v>0.3584964664567343</v>
      </c>
      <c r="F103" s="17">
        <f t="shared" si="42"/>
        <v>0.9144022259953497</v>
      </c>
      <c r="G103" s="17">
        <f t="shared" si="42"/>
        <v>-0.3273401903263201</v>
      </c>
      <c r="H103" s="17">
        <f t="shared" si="42"/>
        <v>0.36684351788097636</v>
      </c>
      <c r="I103" s="43">
        <f t="shared" si="42"/>
        <v>0.14718281368147568</v>
      </c>
    </row>
    <row r="104" ht="15" customHeight="1">
      <c r="B104" s="4" t="s">
        <v>89</v>
      </c>
      <c r="D104" s="45">
        <f>D102-(G120+G108)</f>
        <v>393.0860000000007</v>
      </c>
      <c r="E104" s="45">
        <f t="shared" si="1"/>
        <v>-788.1480000000001</v>
      </c>
      <c r="F104" s="45">
        <f t="shared" si="1"/>
        <v>3221.7679999999978</v>
      </c>
      <c r="G104" s="45">
        <f t="shared" si="1"/>
        <v>-3568.9069999999965</v>
      </c>
      <c r="I104" s="46">
        <f t="shared" si="4"/>
        <v>1526.860252572949</v>
      </c>
    </row>
    <row r="105" ht="15" customHeight="1">
      <c r="B105" s="4" t="s">
        <v>363</v>
      </c>
      <c r="C105" s="47">
        <f>C102/'Income Statement'!C10</f>
        <v>0.22792981785607194</v>
      </c>
      <c r="D105" s="47">
        <f>D102/'Income Statement'!D10</f>
        <v>0.23113675421515692</v>
      </c>
      <c r="E105" s="47">
        <f>E102/'Income Statement'!E10</f>
        <v>0.1553683493209807</v>
      </c>
      <c r="F105" s="47">
        <f>F102/'Income Statement'!F10</f>
        <v>0.41585110627092425</v>
      </c>
      <c r="G105" s="47">
        <f>G102/'Income Statement'!G10</f>
        <v>0.12143117266980154</v>
      </c>
      <c r="H105" s="47">
        <f>H102/'Income Statement'!H10</f>
        <v>0.2093939194347189</v>
      </c>
      <c r="I105" s="50">
        <f>I102/'Income Statement'!I10</f>
        <v>0.2371172733776498</v>
      </c>
    </row>
    <row r="106" ht="15" customHeight="1">
      <c r="B106" s="9" t="s">
        <v>364</v>
      </c>
      <c r="C106" s="16">
        <f t="shared" si="43" ref="C106:I106">-C56</f>
        <v>284.166</v>
      </c>
      <c r="D106" s="16">
        <f t="shared" si="43"/>
        <v>164.719</v>
      </c>
      <c r="E106" s="16">
        <f t="shared" si="43"/>
        <v>239.335</v>
      </c>
      <c r="F106" s="16">
        <f t="shared" si="43"/>
        <v>196.13</v>
      </c>
      <c r="G106" s="16">
        <f t="shared" si="43"/>
        <v>218.644</v>
      </c>
      <c r="H106" s="16">
        <f t="shared" si="43"/>
        <v>688.22</v>
      </c>
      <c r="I106" s="61">
        <f t="shared" si="43"/>
        <v>230</v>
      </c>
    </row>
    <row r="107" ht="15" customHeight="1">
      <c r="B107" s="9" t="s">
        <v>365</v>
      </c>
      <c r="D107" s="26">
        <v>-4016.396</v>
      </c>
      <c r="E107" s="26">
        <v>-4429.402</v>
      </c>
      <c r="F107" s="26">
        <v>-3549.657</v>
      </c>
      <c r="G107" s="26">
        <v>-3835.813</v>
      </c>
      <c r="H107" s="26">
        <v>-16223.617</v>
      </c>
      <c r="I107" s="61">
        <f>D11</f>
        <v>-4653.935</v>
      </c>
    </row>
    <row r="108" ht="15" customHeight="1">
      <c r="B108" s="9" t="s">
        <v>366</v>
      </c>
      <c r="D108" s="26">
        <v>-126.863</v>
      </c>
      <c r="E108" s="26">
        <v>-158.674</v>
      </c>
      <c r="F108" s="26">
        <v>-128.277</v>
      </c>
      <c r="G108" s="26">
        <v>-155.889</v>
      </c>
      <c r="H108" s="26">
        <v>-439.538</v>
      </c>
      <c r="I108" s="61">
        <f>D56</f>
        <v>-164.719</v>
      </c>
    </row>
    <row r="109" ht="15" customHeight="1">
      <c r="B109" s="9" t="s">
        <v>367</v>
      </c>
      <c r="D109" s="26">
        <v>-83.585</v>
      </c>
      <c r="E109" s="26">
        <v>-139.537</v>
      </c>
      <c r="F109" s="26">
        <v>-411.253</v>
      </c>
      <c r="G109" s="26">
        <v>-214.052</v>
      </c>
      <c r="H109" s="26">
        <v>-779.135</v>
      </c>
      <c r="I109" s="61">
        <f>D14</f>
        <v>24.262</v>
      </c>
    </row>
    <row r="110" ht="15" customHeight="1">
      <c r="B110" s="9" t="s">
        <v>368</v>
      </c>
      <c r="D110" s="26">
        <v>80.914</v>
      </c>
      <c r="E110" s="26">
        <v>79.539</v>
      </c>
      <c r="F110" s="26">
        <v>80.067</v>
      </c>
      <c r="G110" s="26">
        <v>80.013</v>
      </c>
      <c r="H110" s="26">
        <v>328.914</v>
      </c>
      <c r="I110" s="61">
        <f>D20</f>
        <v>87.326</v>
      </c>
    </row>
    <row r="111" ht="15" customHeight="1">
      <c r="B111" s="9" t="s">
        <v>369</v>
      </c>
      <c r="D111" s="26">
        <v>65.65</v>
      </c>
      <c r="E111" s="26">
        <v>61.827</v>
      </c>
      <c r="F111" s="26">
        <v>71.977</v>
      </c>
      <c r="G111" s="26">
        <v>80.862</v>
      </c>
      <c r="H111" s="26">
        <v>272.588</v>
      </c>
      <c r="I111" s="61">
        <f>D23</f>
        <v>80.986</v>
      </c>
    </row>
    <row r="112" ht="15" customHeight="1">
      <c r="B112" s="9" t="s">
        <v>370</v>
      </c>
      <c r="D112" s="26">
        <v>104.809</v>
      </c>
      <c r="E112" s="26">
        <v>-52.855</v>
      </c>
      <c r="F112" s="26">
        <v>28.547</v>
      </c>
      <c r="G112" s="26">
        <v>55.238</v>
      </c>
      <c r="H112" s="26">
        <v>-121.539</v>
      </c>
      <c r="I112" s="61">
        <f>D26</f>
        <v>-1.707</v>
      </c>
    </row>
    <row r="113" ht="15" customHeight="1">
      <c r="B113" s="9" t="s">
        <v>371</v>
      </c>
      <c r="D113" s="26">
        <v>128.082</v>
      </c>
      <c r="E113" s="26">
        <v>130.927</v>
      </c>
      <c r="F113" s="26">
        <v>114.73</v>
      </c>
      <c r="G113" s="26">
        <v>120.139</v>
      </c>
      <c r="H113" s="26">
        <v>494.778</v>
      </c>
      <c r="I113" s="61">
        <f>D29</f>
        <v>142.293</v>
      </c>
    </row>
    <row r="114" ht="15" customHeight="1">
      <c r="B114" s="9" t="s">
        <v>372</v>
      </c>
      <c r="D114" s="26">
        <v>-200.982</v>
      </c>
      <c r="E114" s="26">
        <v>-73.252</v>
      </c>
      <c r="F114" s="26">
        <v>-163.928</v>
      </c>
      <c r="G114" s="26">
        <v>-135.755</v>
      </c>
      <c r="H114" s="26">
        <v>-590.698</v>
      </c>
      <c r="I114" s="61">
        <f>D32</f>
        <v>20.539</v>
      </c>
    </row>
    <row r="115" ht="15" customHeight="1">
      <c r="B115" s="9" t="s">
        <v>373</v>
      </c>
      <c r="D115" s="26">
        <v>54.956</v>
      </c>
      <c r="E115" s="26">
        <v>-41.866</v>
      </c>
      <c r="F115" s="26">
        <v>-131.367</v>
      </c>
      <c r="G115" s="26">
        <v>-176.683</v>
      </c>
      <c r="H115" s="26">
        <v>22.18</v>
      </c>
      <c r="I115" s="61">
        <f>D35</f>
        <v>-169.597</v>
      </c>
    </row>
    <row r="116" ht="15" customHeight="1">
      <c r="B116" s="9" t="s">
        <v>374</v>
      </c>
      <c r="D116" s="26">
        <v>30.597</v>
      </c>
      <c r="E116" s="26">
        <v>255.379</v>
      </c>
      <c r="F116" s="26">
        <v>-276.426</v>
      </c>
      <c r="G116" s="26">
        <v>11.046</v>
      </c>
      <c r="H116" s="26">
        <v>121.353</v>
      </c>
      <c r="I116" s="61">
        <f>D38</f>
        <v>139.451</v>
      </c>
    </row>
    <row r="117" ht="15" customHeight="1">
      <c r="B117" s="9" t="s">
        <v>375</v>
      </c>
      <c r="D117" s="26">
        <v>179.011</v>
      </c>
      <c r="E117" s="26">
        <v>-124.591</v>
      </c>
      <c r="F117" s="26">
        <v>306.413</v>
      </c>
      <c r="G117" s="26">
        <v>-267.235</v>
      </c>
      <c r="H117" s="26">
        <v>191.899</v>
      </c>
      <c r="I117" s="61">
        <f>D41</f>
        <v>707.151</v>
      </c>
    </row>
    <row r="118" ht="15" customHeight="1">
      <c r="B118" s="9" t="s">
        <v>376</v>
      </c>
      <c r="D118" s="26">
        <v>39.328</v>
      </c>
      <c r="E118" s="26">
        <v>7.765</v>
      </c>
      <c r="F118" s="26">
        <v>88.913</v>
      </c>
      <c r="G118" s="26">
        <v>118.635</v>
      </c>
      <c r="H118" s="26">
        <v>77.844</v>
      </c>
      <c r="I118" s="61">
        <f>D44</f>
        <v>-3.686</v>
      </c>
    </row>
    <row r="119" ht="15" customHeight="1">
      <c r="B119" s="9" t="s">
        <v>377</v>
      </c>
      <c r="D119" s="26">
        <v>-124.313</v>
      </c>
      <c r="E119" s="26">
        <v>-167.148</v>
      </c>
      <c r="F119" s="26">
        <v>-82.28</v>
      </c>
      <c r="G119" s="26">
        <v>-370.624</v>
      </c>
      <c r="H119" s="26">
        <v>-446.351</v>
      </c>
      <c r="I119" s="61">
        <f>D47</f>
        <v>-97.569</v>
      </c>
    </row>
    <row r="120" ht="15" customHeight="1">
      <c r="B120" s="9" t="s">
        <v>378</v>
      </c>
      <c r="D120" s="26">
        <v>2321.101</v>
      </c>
      <c r="E120" s="26">
        <v>1536.894</v>
      </c>
      <c r="F120" s="26">
        <v>2789.199</v>
      </c>
      <c r="G120" s="26">
        <v>2423.258</v>
      </c>
      <c r="H120" s="26">
        <v>7361.364</v>
      </c>
      <c r="I120" s="61">
        <f>D50</f>
        <v>2825.1740000000004</v>
      </c>
    </row>
    <row r="121" ht="15" customHeight="1">
      <c r="B121" s="9" t="s">
        <v>379</v>
      </c>
      <c r="D121" s="26">
        <v>143.244</v>
      </c>
      <c r="E121" s="26">
        <v>302.012</v>
      </c>
      <c r="F121" s="26">
        <v>351.602</v>
      </c>
      <c r="G121" s="26">
        <v>169.066</v>
      </c>
      <c r="H121" s="26">
        <v>832.887</v>
      </c>
      <c r="I121" s="61">
        <f t="shared" si="44" ref="I121:I130">D79</f>
        <v>70.215</v>
      </c>
    </row>
    <row r="122" ht="15" customHeight="1">
      <c r="B122" s="9" t="s">
        <v>380</v>
      </c>
      <c r="D122" s="26">
        <v>-1700</v>
      </c>
      <c r="E122" s="26">
        <v>-963.748</v>
      </c>
      <c r="F122" s="26">
        <v>-3536.396</v>
      </c>
      <c r="G122" s="26">
        <v>-1654.327</v>
      </c>
      <c r="H122" s="26">
        <v>-6263.746</v>
      </c>
      <c r="I122" s="61">
        <f>D82</f>
        <v>-1856.885</v>
      </c>
    </row>
    <row r="123" ht="15" customHeight="1">
      <c r="B123" s="9" t="s">
        <v>381</v>
      </c>
      <c r="D123" s="26">
        <v>-2.024</v>
      </c>
      <c r="E123" s="26">
        <v>-2.553</v>
      </c>
      <c r="F123" s="26">
        <v>-27.87</v>
      </c>
      <c r="G123" s="26">
        <v>-6.114</v>
      </c>
      <c r="H123" s="26">
        <v>-8.285</v>
      </c>
      <c r="I123" s="61">
        <f>D85</f>
        <v>-6.196</v>
      </c>
    </row>
    <row r="124" ht="15" customHeight="1">
      <c r="B124" s="9" t="s">
        <v>382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61">
        <f>D59</f>
        <v>0</v>
      </c>
    </row>
    <row r="125" ht="15" customHeight="1">
      <c r="B125" s="9" t="s">
        <v>383</v>
      </c>
      <c r="D125" s="26">
        <v>-1742.246</v>
      </c>
      <c r="E125" s="26">
        <v>0</v>
      </c>
      <c r="F125" s="26">
        <v>-156.015</v>
      </c>
      <c r="G125" s="26">
        <v>-1.65</v>
      </c>
      <c r="H125" s="26">
        <v>-1742.246</v>
      </c>
      <c r="I125" s="61">
        <f>D62</f>
        <v>-3.85</v>
      </c>
    </row>
    <row r="126" ht="15" customHeight="1">
      <c r="B126" s="9" t="s">
        <v>384</v>
      </c>
      <c r="D126" s="26">
        <v>0</v>
      </c>
      <c r="E126" s="26">
        <v>0</v>
      </c>
      <c r="F126" s="26">
        <v>769.954</v>
      </c>
      <c r="G126" s="26">
        <v>962.413</v>
      </c>
      <c r="H126" s="26">
        <v>0</v>
      </c>
      <c r="I126" s="61">
        <f>D65</f>
        <v>176.25</v>
      </c>
    </row>
    <row r="127" ht="15" customHeight="1">
      <c r="B127" s="9" t="s">
        <v>385</v>
      </c>
      <c r="D127" s="26">
        <v>0</v>
      </c>
      <c r="E127" s="26">
        <v>0</v>
      </c>
      <c r="F127" s="26">
        <v>0</v>
      </c>
      <c r="G127" s="26">
        <v>-36.19</v>
      </c>
      <c r="H127" s="26">
        <v>0</v>
      </c>
      <c r="I127" s="61">
        <f>D68</f>
        <v>36.19</v>
      </c>
    </row>
    <row r="128" ht="15" customHeight="1">
      <c r="B128" s="9" t="s">
        <v>386</v>
      </c>
      <c r="D128" s="26">
        <v>1794.46</v>
      </c>
      <c r="E128" s="26">
        <v>0</v>
      </c>
      <c r="F128" s="26">
        <v>0</v>
      </c>
      <c r="G128" s="26">
        <v>0</v>
      </c>
      <c r="H128" s="26">
        <v>1794.46</v>
      </c>
      <c r="I128" s="61">
        <f>D73</f>
        <v>0</v>
      </c>
    </row>
    <row r="129" ht="15" customHeight="1">
      <c r="B129" s="9" t="s">
        <v>387</v>
      </c>
      <c r="D129" s="26">
        <v>0</v>
      </c>
      <c r="E129" s="26">
        <v>0</v>
      </c>
      <c r="F129" s="26">
        <v>-800</v>
      </c>
      <c r="G129" s="26">
        <v>-1033.45</v>
      </c>
      <c r="H129" s="26">
        <v>-400</v>
      </c>
      <c r="I129" s="61">
        <f>D76</f>
        <v>0</v>
      </c>
    </row>
    <row r="130" ht="15" customHeight="1">
      <c r="B130" s="9" t="s">
        <v>388</v>
      </c>
      <c r="D130" s="26">
        <v>-9.084</v>
      </c>
      <c r="E130" s="26">
        <v>-14.409</v>
      </c>
      <c r="F130" s="26">
        <v>-15.652</v>
      </c>
      <c r="G130" s="26">
        <v>21.957</v>
      </c>
      <c r="H130" s="26">
        <v>-29.743</v>
      </c>
      <c r="I130" s="61">
        <f t="shared" si="44"/>
        <v>55.837</v>
      </c>
    </row>
    <row r="131" ht="15" customHeight="1">
      <c r="B131" s="9" t="s">
        <v>389</v>
      </c>
      <c r="D131" s="26">
        <v>153.452</v>
      </c>
      <c r="E131" s="26">
        <v>-351.27</v>
      </c>
      <c r="F131" s="26">
        <v>150.146</v>
      </c>
      <c r="G131" s="26">
        <v>287.471</v>
      </c>
      <c r="H131" s="26">
        <v>-416.331</v>
      </c>
      <c r="I131" s="61">
        <f>D92</f>
        <v>-21.721</v>
      </c>
    </row>
    <row r="132" ht="15" customHeight="1">
      <c r="B132" s="9" t="s">
        <v>390</v>
      </c>
      <c r="C132" s="26">
        <v>5212.457</v>
      </c>
      <c r="D132" s="26">
        <v>2825.174</v>
      </c>
      <c r="E132" s="26">
        <v>2111.642</v>
      </c>
      <c r="F132" s="26">
        <v>5290.205</v>
      </c>
      <c r="G132" s="26">
        <v>1743.812</v>
      </c>
      <c r="H132" s="26">
        <v>10149.273</v>
      </c>
      <c r="I132" s="39"/>
    </row>
    <row r="133" ht="15" customHeight="1">
      <c r="I133" s="39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92553D8-0D59-1AE6-1CFA-4E350D03852F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391</v>
      </c>
    </row>
    <row r="4" ht="15" customHeight="1">
      <c r="B4" s="4" t="s">
        <v>3</v>
      </c>
    </row>
    <row r="5" ht="15" customHeight="1">
      <c r="B5" s="5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80</v>
      </c>
      <c r="I5" s="7" t="s">
        <v>81</v>
      </c>
      <c r="J5" s="5" t="s">
        <v>6</v>
      </c>
    </row>
    <row r="6" ht="15" customHeight="1">
      <c r="B6" s="33" t="s">
        <v>82</v>
      </c>
      <c r="C6" s="34">
        <v>45838</v>
      </c>
      <c r="D6" s="34">
        <v>45930</v>
      </c>
      <c r="E6" s="34">
        <v>46022</v>
      </c>
      <c r="F6" s="34">
        <v>46112</v>
      </c>
      <c r="G6" s="34">
        <v>46203</v>
      </c>
      <c r="H6" s="34">
        <v>46022</v>
      </c>
      <c r="I6" s="34">
        <v>46295</v>
      </c>
      <c r="J6" s="35"/>
    </row>
    <row r="7" ht="15" customHeight="1">
      <c r="B7" s="36" t="s">
        <v>83</v>
      </c>
      <c r="C7" s="37">
        <v>181</v>
      </c>
      <c r="D7" s="37">
        <v>92</v>
      </c>
      <c r="E7" s="37">
        <v>92</v>
      </c>
      <c r="F7" s="37">
        <v>90</v>
      </c>
      <c r="G7" s="37">
        <v>91</v>
      </c>
      <c r="H7" s="37">
        <v>365</v>
      </c>
      <c r="I7" s="37">
        <v>92</v>
      </c>
      <c r="J7" s="38"/>
    </row>
    <row r="9" ht="15" customHeight="1">
      <c r="B9" s="3" t="s">
        <v>392</v>
      </c>
      <c r="I9" s="39"/>
    </row>
    <row r="10" ht="15" customHeight="1">
      <c r="I10" s="39"/>
    </row>
    <row r="11" ht="15" customHeight="1">
      <c r="B11" s="3" t="s">
        <v>393</v>
      </c>
      <c r="I11" s="39"/>
    </row>
    <row r="12" ht="28.5" customHeight="1">
      <c r="B12" s="3" t="s">
        <v>394</v>
      </c>
      <c r="C12" s="78">
        <v>9546.101</v>
      </c>
      <c r="D12" s="78">
        <v>5071.781</v>
      </c>
      <c r="E12" s="78">
        <v>5339.27</v>
      </c>
      <c r="F12" s="78">
        <v>5245.298</v>
      </c>
      <c r="G12" s="78">
        <v>5431.667</v>
      </c>
      <c r="H12" s="48">
        <f t="shared" si="9" ref="H12:H116">C12+D12+E12</f>
        <v>19957.152000000002</v>
      </c>
      <c r="I12" s="49">
        <f>I35*(1+I50)*(1+I52)</f>
        <v>5567.8011818</v>
      </c>
      <c r="J12" s="19" t="s">
        <v>395</v>
      </c>
    </row>
    <row r="13" ht="15" customHeight="1">
      <c r="B13" s="4" t="s">
        <v>88</v>
      </c>
      <c r="C13" s="17">
        <f t="shared" si="0" ref="C13:I13">C12/C35-1</f>
        <v>0.1204508282105079</v>
      </c>
      <c r="D13" s="17">
        <f t="shared" si="0"/>
        <v>0.17335087574806662</v>
      </c>
      <c r="E13" s="17">
        <f t="shared" si="0"/>
        <v>0.182034253571715</v>
      </c>
      <c r="F13" s="17">
        <f t="shared" si="0"/>
        <v>0.1360594901819281</v>
      </c>
      <c r="G13" s="17">
        <f t="shared" si="0"/>
        <v>0.10198086712464982</v>
      </c>
      <c r="H13" s="17">
        <f t="shared" si="0"/>
        <v>0.14964731724983804</v>
      </c>
      <c r="I13" s="43">
        <f t="shared" si="0"/>
        <v>0.09780000000000011</v>
      </c>
    </row>
    <row r="14" ht="15" customHeight="1">
      <c r="B14" s="4" t="s">
        <v>89</v>
      </c>
      <c r="D14" s="45">
        <f>D12-G35</f>
        <v>142.77800000000025</v>
      </c>
      <c r="E14" s="45">
        <f t="shared" si="1" ref="E14:G139">E12-D12</f>
        <v>267.4890000000005</v>
      </c>
      <c r="F14" s="45">
        <f t="shared" si="1"/>
        <v>-93.97200000000066</v>
      </c>
      <c r="G14" s="45">
        <f t="shared" si="1"/>
        <v>186.3690000000006</v>
      </c>
      <c r="I14" s="46">
        <f t="shared" si="18" ref="I14:I139">I12-G12</f>
        <v>136.13418180000008</v>
      </c>
      <c r="J14" s="28" t="s">
        <v>396</v>
      </c>
    </row>
    <row r="15" ht="15" customHeight="1">
      <c r="B15" s="4" t="s">
        <v>90</v>
      </c>
      <c r="D15" s="17">
        <f>D12/G35-1</f>
        <v>0.028966912781347443</v>
      </c>
      <c r="E15" s="17">
        <f t="shared" si="2" ref="E15:G113">E12/D12-1</f>
        <v>0.05274064475575746</v>
      </c>
      <c r="F15" s="17">
        <f t="shared" si="2"/>
        <v>-0.017600158823210088</v>
      </c>
      <c r="G15" s="17">
        <f t="shared" si="2"/>
        <v>0.0355306790958303</v>
      </c>
      <c r="I15" s="43">
        <f t="shared" si="19" ref="I15:I113">I12/G12-1</f>
        <v>0.02506305740024195</v>
      </c>
    </row>
    <row r="16" ht="15" customHeight="1">
      <c r="B16" s="4" t="s">
        <v>91</v>
      </c>
      <c r="C16" s="17">
        <f t="shared" si="3" ref="C16:I16">C12/C137</f>
        <v>0.44150011883747675</v>
      </c>
      <c r="D16" s="17">
        <f t="shared" si="3"/>
        <v>0.44062951578963094</v>
      </c>
      <c r="E16" s="17">
        <f t="shared" si="3"/>
        <v>0.44306492817632614</v>
      </c>
      <c r="F16" s="17">
        <f t="shared" si="3"/>
        <v>0.4281960858488866</v>
      </c>
      <c r="G16" s="17">
        <f t="shared" si="3"/>
        <v>0.432459698447556</v>
      </c>
      <c r="H16" s="17">
        <f t="shared" si="3"/>
        <v>0.4416956841943954</v>
      </c>
      <c r="I16" s="43">
        <f t="shared" si="3"/>
        <v>0.4325719572957052</v>
      </c>
    </row>
    <row r="17" ht="15" customHeight="1">
      <c r="B17" s="4" t="s">
        <v>397</v>
      </c>
      <c r="C17" s="51">
        <f t="shared" si="4" ref="C17:I17">(C16-C35/C141)*10000</f>
        <v>-85.78461175465846</v>
      </c>
      <c r="D17" s="51">
        <f t="shared" si="4"/>
        <v>6.695495697869314</v>
      </c>
      <c r="E17" s="51">
        <f t="shared" si="4"/>
        <v>22.302754510526434</v>
      </c>
      <c r="F17" s="51">
        <f t="shared" si="4"/>
        <v>-97.42370923654265</v>
      </c>
      <c r="G17" s="51">
        <f t="shared" si="4"/>
        <v>-124.29655137361773</v>
      </c>
      <c r="H17" s="51">
        <f t="shared" si="4"/>
        <v>-34.05316637224986</v>
      </c>
      <c r="I17" s="52">
        <f t="shared" si="4"/>
        <v>-80.57558493925754</v>
      </c>
    </row>
    <row r="18" ht="41.25" customHeight="1">
      <c r="B18" s="9" t="s">
        <v>398</v>
      </c>
      <c r="C18" s="26">
        <v>8900</v>
      </c>
      <c r="D18" s="26">
        <v>4700</v>
      </c>
      <c r="E18" s="16">
        <f>H18-D26</f>
        <v>4900</v>
      </c>
      <c r="F18" s="26">
        <v>4900</v>
      </c>
      <c r="G18" s="26">
        <v>5100</v>
      </c>
      <c r="H18" s="26">
        <v>18500</v>
      </c>
      <c r="I18" s="61" t="s">
        <v>100</v>
      </c>
      <c r="J18" s="19" t="s">
        <v>399</v>
      </c>
    </row>
    <row r="19" ht="28.5" customHeight="1">
      <c r="B19" s="4" t="s">
        <v>142</v>
      </c>
      <c r="D19" s="17">
        <f t="shared" si="5" ref="D19:H19">D18/D25-1</f>
        <v>0.17500000000000004</v>
      </c>
      <c r="E19" s="17">
        <f t="shared" si="5"/>
        <v>0.16666666666666674</v>
      </c>
      <c r="F19" s="17">
        <f t="shared" si="5"/>
        <v>0.13953488372093026</v>
      </c>
      <c r="G19" s="17">
        <f t="shared" si="5"/>
        <v>0.10869565217391308</v>
      </c>
      <c r="H19" s="17">
        <f t="shared" si="5"/>
        <v>0.14906832298136652</v>
      </c>
      <c r="I19" s="39"/>
      <c r="J19" s="19" t="s">
        <v>400</v>
      </c>
    </row>
    <row r="20" ht="15" customHeight="1">
      <c r="B20" s="4" t="s">
        <v>156</v>
      </c>
      <c r="D20" s="45">
        <f>D18-G25</f>
        <v>100</v>
      </c>
      <c r="E20" s="45">
        <f t="shared" si="1"/>
        <v>200</v>
      </c>
      <c r="F20" s="45">
        <f t="shared" si="1"/>
        <v>0</v>
      </c>
      <c r="G20" s="45">
        <f t="shared" si="1"/>
        <v>200</v>
      </c>
      <c r="I20" s="39"/>
    </row>
    <row r="21" ht="15" customHeight="1">
      <c r="B21" s="4" t="s">
        <v>401</v>
      </c>
      <c r="D21" s="17">
        <f t="shared" si="6" ref="D21:H31">D19</f>
        <v>0.17500000000000004</v>
      </c>
      <c r="E21" s="17">
        <f t="shared" si="6"/>
        <v>0.16666666666666674</v>
      </c>
      <c r="F21" s="17">
        <f t="shared" si="6"/>
        <v>0.13953488372093026</v>
      </c>
      <c r="G21" s="17">
        <f t="shared" si="6"/>
        <v>0.10869565217391308</v>
      </c>
      <c r="H21" s="17">
        <f t="shared" si="6"/>
        <v>0.14906832298136652</v>
      </c>
      <c r="I21" s="39"/>
      <c r="J21" s="28" t="s">
        <v>402</v>
      </c>
    </row>
    <row r="22" ht="41.25" customHeight="1">
      <c r="B22" s="4" t="s">
        <v>134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39"/>
      <c r="J22" s="19" t="s">
        <v>403</v>
      </c>
    </row>
    <row r="23" ht="15" customHeight="1">
      <c r="B23" s="4" t="s">
        <v>135</v>
      </c>
      <c r="C23" s="53" t="s">
        <v>100</v>
      </c>
      <c r="D23" s="53" t="s">
        <v>100</v>
      </c>
      <c r="E23" s="53" t="s">
        <v>100</v>
      </c>
      <c r="F23" s="53" t="s">
        <v>100</v>
      </c>
      <c r="G23" s="53" t="s">
        <v>100</v>
      </c>
      <c r="H23" s="53" t="s">
        <v>100</v>
      </c>
      <c r="I23" s="54" t="s">
        <v>100</v>
      </c>
      <c r="J23" s="28" t="s">
        <v>404</v>
      </c>
    </row>
    <row r="24" ht="15" customHeight="1">
      <c r="B24" s="4" t="s">
        <v>136</v>
      </c>
      <c r="C24" s="53" t="s">
        <v>100</v>
      </c>
      <c r="D24" s="53" t="s">
        <v>100</v>
      </c>
      <c r="E24" s="53" t="s">
        <v>100</v>
      </c>
      <c r="F24" s="53" t="s">
        <v>100</v>
      </c>
      <c r="G24" s="53" t="s">
        <v>100</v>
      </c>
      <c r="H24" s="53" t="s">
        <v>100</v>
      </c>
      <c r="I24" s="54" t="s">
        <v>100</v>
      </c>
      <c r="J24" s="28" t="s">
        <v>405</v>
      </c>
    </row>
    <row r="25" ht="15" customHeight="1">
      <c r="B25" s="9" t="s">
        <v>406</v>
      </c>
      <c r="D25" s="26">
        <v>4000</v>
      </c>
      <c r="E25" s="16">
        <f>H25-D27</f>
        <v>4200</v>
      </c>
      <c r="F25" s="26">
        <v>4300</v>
      </c>
      <c r="G25" s="26">
        <v>4600</v>
      </c>
      <c r="H25" s="26">
        <v>16100</v>
      </c>
      <c r="I25" s="39"/>
    </row>
    <row r="26" ht="15" customHeight="1">
      <c r="B26" s="9" t="s">
        <v>407</v>
      </c>
      <c r="D26" s="26">
        <v>13600</v>
      </c>
      <c r="I26" s="39"/>
    </row>
    <row r="27" ht="15" customHeight="1">
      <c r="B27" s="9" t="s">
        <v>408</v>
      </c>
      <c r="D27" s="26">
        <v>11900</v>
      </c>
      <c r="I27" s="39"/>
    </row>
    <row r="28" ht="15" customHeight="1">
      <c r="B28" s="9" t="s">
        <v>409</v>
      </c>
      <c r="C28" s="16">
        <f t="shared" si="7" ref="C28:H28">C12-C18</f>
        <v>646.1010000000006</v>
      </c>
      <c r="D28" s="16">
        <f t="shared" si="7"/>
        <v>371.78099999999995</v>
      </c>
      <c r="E28" s="16">
        <f t="shared" si="7"/>
        <v>439.27000000000044</v>
      </c>
      <c r="F28" s="16">
        <f t="shared" si="7"/>
        <v>345.2979999999998</v>
      </c>
      <c r="G28" s="16">
        <f t="shared" si="7"/>
        <v>331.66700000000037</v>
      </c>
      <c r="H28" s="16">
        <f t="shared" si="7"/>
        <v>1457.1520000000019</v>
      </c>
      <c r="I28" s="61" t="s">
        <v>100</v>
      </c>
      <c r="J28" s="28" t="s">
        <v>410</v>
      </c>
    </row>
    <row r="29" ht="41.25" customHeight="1">
      <c r="B29" s="4" t="s">
        <v>142</v>
      </c>
      <c r="D29" s="17">
        <f t="shared" si="8" ref="D29:H29">D28/(D35-D25)-1</f>
        <v>0.15289509917017186</v>
      </c>
      <c r="E29" s="17">
        <f t="shared" si="8"/>
        <v>0.38563109981136834</v>
      </c>
      <c r="F29" s="17">
        <f t="shared" si="8"/>
        <v>0.0889314975181168</v>
      </c>
      <c r="G29" s="17">
        <f t="shared" si="8"/>
        <v>0.008097190603127302</v>
      </c>
      <c r="H29" s="17">
        <f t="shared" si="8"/>
        <v>0.15704928420502906</v>
      </c>
      <c r="I29" s="39"/>
      <c r="J29" s="19" t="s">
        <v>411</v>
      </c>
    </row>
    <row r="30" ht="15" customHeight="1">
      <c r="B30" s="4" t="s">
        <v>156</v>
      </c>
      <c r="D30" s="45">
        <f>D28-(G35-G25)</f>
        <v>42.77800000000025</v>
      </c>
      <c r="E30" s="45">
        <f t="shared" si="1"/>
        <v>67.48900000000049</v>
      </c>
      <c r="F30" s="45">
        <f t="shared" si="1"/>
        <v>-93.97200000000066</v>
      </c>
      <c r="G30" s="45">
        <f t="shared" si="1"/>
        <v>-13.630999999999403</v>
      </c>
      <c r="I30" s="39"/>
      <c r="J30" s="28" t="s">
        <v>412</v>
      </c>
    </row>
    <row r="31" ht="15" customHeight="1">
      <c r="B31" s="4" t="s">
        <v>401</v>
      </c>
      <c r="D31" s="17">
        <f t="shared" si="6"/>
        <v>0.15289509917017186</v>
      </c>
      <c r="E31" s="17">
        <f t="shared" si="6"/>
        <v>0.38563109981136834</v>
      </c>
      <c r="F31" s="17">
        <f t="shared" si="6"/>
        <v>0.0889314975181168</v>
      </c>
      <c r="G31" s="17">
        <f t="shared" si="6"/>
        <v>0.008097190603127302</v>
      </c>
      <c r="H31" s="17">
        <f t="shared" si="6"/>
        <v>0.15704928420502906</v>
      </c>
      <c r="I31" s="39"/>
      <c r="J31" s="28" t="s">
        <v>413</v>
      </c>
    </row>
    <row r="32" ht="15" customHeight="1">
      <c r="B32" s="4" t="s">
        <v>134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4" t="s">
        <v>100</v>
      </c>
      <c r="J32" s="28" t="s">
        <v>414</v>
      </c>
    </row>
    <row r="33" ht="15" customHeight="1">
      <c r="B33" s="4" t="s">
        <v>135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4" t="s">
        <v>100</v>
      </c>
      <c r="J33" s="28" t="s">
        <v>415</v>
      </c>
    </row>
    <row r="34" ht="15" customHeight="1">
      <c r="B34" s="4" t="s">
        <v>136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4" t="s">
        <v>100</v>
      </c>
      <c r="J34" s="28" t="s">
        <v>416</v>
      </c>
    </row>
    <row r="35" ht="28.5" customHeight="1">
      <c r="B35" s="9" t="s">
        <v>87</v>
      </c>
      <c r="C35" s="26">
        <v>8519.875</v>
      </c>
      <c r="D35" s="26">
        <v>4322.476</v>
      </c>
      <c r="E35" s="26">
        <v>4517.018</v>
      </c>
      <c r="F35" s="26">
        <v>4617.098</v>
      </c>
      <c r="G35" s="26">
        <v>4929.003</v>
      </c>
      <c r="H35" s="16">
        <f t="shared" si="9"/>
        <v>17359.369</v>
      </c>
      <c r="I35" s="61">
        <f>D12</f>
        <v>5071.781</v>
      </c>
      <c r="J35" s="19" t="s">
        <v>417</v>
      </c>
    </row>
    <row r="36" ht="54" customHeight="1">
      <c r="B36" s="9" t="s">
        <v>418</v>
      </c>
      <c r="D36" s="26">
        <v>1.816</v>
      </c>
      <c r="E36" s="26">
        <v>3.801</v>
      </c>
      <c r="F36" s="26">
        <v>-20.306</v>
      </c>
      <c r="G36" s="26">
        <v>-4.883</v>
      </c>
      <c r="I36" s="61">
        <f>I38-I12</f>
        <v>8.742318200000227</v>
      </c>
      <c r="J36" s="19" t="s">
        <v>419</v>
      </c>
    </row>
    <row r="37" ht="28.5" customHeight="1">
      <c r="B37" s="9" t="s">
        <v>420</v>
      </c>
      <c r="D37" s="26">
        <v>-2.196</v>
      </c>
      <c r="E37" s="26">
        <v>-6.612</v>
      </c>
      <c r="F37" s="26">
        <v>-0.463</v>
      </c>
      <c r="G37" s="26">
        <v>-3.284</v>
      </c>
      <c r="I37" s="39"/>
      <c r="J37" s="19" t="s">
        <v>421</v>
      </c>
    </row>
    <row r="38" ht="15" customHeight="1">
      <c r="B38" s="3" t="s">
        <v>107</v>
      </c>
      <c r="C38" s="55"/>
      <c r="D38" s="56">
        <f t="shared" si="10" ref="D38:G38">D12+D36+D37</f>
        <v>5071.401</v>
      </c>
      <c r="E38" s="56">
        <f t="shared" si="10"/>
        <v>5336.459000000001</v>
      </c>
      <c r="F38" s="56">
        <f t="shared" si="10"/>
        <v>5224.529</v>
      </c>
      <c r="G38" s="56">
        <f t="shared" si="10"/>
        <v>5423.500000000001</v>
      </c>
      <c r="H38" s="55"/>
      <c r="I38" s="57">
        <f t="shared" si="23" ref="I38:I119">I40*(1+I50)</f>
        <v>5576.543500000001</v>
      </c>
    </row>
    <row r="39" ht="15" customHeight="1">
      <c r="B39" s="9" t="s">
        <v>422</v>
      </c>
      <c r="D39" s="26">
        <v>-3.265</v>
      </c>
      <c r="E39" s="26">
        <v>-5.564</v>
      </c>
      <c r="F39" s="26">
        <v>-14.552</v>
      </c>
      <c r="G39" s="26">
        <v>-6.431</v>
      </c>
      <c r="I39" s="61">
        <f t="shared" si="24" ref="I39:I120">D37</f>
        <v>-2.196</v>
      </c>
    </row>
    <row r="40" ht="15" customHeight="1">
      <c r="B40" s="9" t="s">
        <v>423</v>
      </c>
      <c r="D40" s="16">
        <f t="shared" si="11" ref="D40:I121">D35+D39</f>
        <v>4319.210999999999</v>
      </c>
      <c r="E40" s="16">
        <f t="shared" si="11"/>
        <v>4511.454</v>
      </c>
      <c r="F40" s="16">
        <f t="shared" si="11"/>
        <v>4602.546</v>
      </c>
      <c r="G40" s="16">
        <f t="shared" si="11"/>
        <v>4922.572</v>
      </c>
      <c r="I40" s="61">
        <f t="shared" si="11"/>
        <v>5069.585</v>
      </c>
    </row>
    <row r="41" ht="15" customHeight="1">
      <c r="B41" s="3" t="s">
        <v>424</v>
      </c>
      <c r="I41" s="39"/>
    </row>
    <row r="42" ht="15" customHeight="1">
      <c r="B42" s="4" t="s">
        <v>401</v>
      </c>
      <c r="C42" s="17">
        <f t="shared" si="12" ref="C42:I42">C13</f>
        <v>0.1204508282105079</v>
      </c>
      <c r="D42" s="17">
        <f t="shared" si="12"/>
        <v>0.17335087574806662</v>
      </c>
      <c r="E42" s="17">
        <f t="shared" si="12"/>
        <v>0.182034253571715</v>
      </c>
      <c r="F42" s="17">
        <f t="shared" si="12"/>
        <v>0.1360594901819281</v>
      </c>
      <c r="G42" s="17">
        <f t="shared" si="12"/>
        <v>0.10198086712464982</v>
      </c>
      <c r="H42" s="17">
        <f t="shared" si="12"/>
        <v>0.14964731724983804</v>
      </c>
      <c r="I42" s="43">
        <f t="shared" si="12"/>
        <v>0.09780000000000011</v>
      </c>
    </row>
    <row r="43" ht="28.5" customHeight="1">
      <c r="B43" s="4" t="s">
        <v>425</v>
      </c>
      <c r="D43" s="17">
        <f t="shared" si="13" ref="D43:I148">(1+D42)/(1+D46)-1</f>
        <v>-0.000680480721070631</v>
      </c>
      <c r="E43" s="17">
        <f t="shared" si="13"/>
        <v>-0.0007056811617729419</v>
      </c>
      <c r="F43" s="17">
        <f t="shared" si="13"/>
        <v>0.0008109941200198367</v>
      </c>
      <c r="G43" s="17">
        <f t="shared" si="13"/>
        <v>0.00019916309459233617</v>
      </c>
      <c r="I43" s="43">
        <f t="shared" si="13"/>
        <v>-0.0020000000000000018</v>
      </c>
      <c r="J43" s="19" t="s">
        <v>426</v>
      </c>
    </row>
    <row r="44" ht="15" customHeight="1">
      <c r="B44" s="4" t="s">
        <v>427</v>
      </c>
      <c r="E44" s="51">
        <f t="shared" si="14" ref="E44:G152">(E43-D43)*10000</f>
        <v>-0.2520044070231098</v>
      </c>
      <c r="F44" s="51">
        <f t="shared" si="14"/>
        <v>15.166752817927787</v>
      </c>
      <c r="G44" s="51">
        <f t="shared" si="14"/>
        <v>-6.118310254275006</v>
      </c>
      <c r="I44" s="52">
        <f t="shared" si="16" ref="I44:I152">(I43-G43)*10000</f>
        <v>-21.99163094592338</v>
      </c>
    </row>
    <row r="45" ht="28.5" customHeight="1">
      <c r="B45" s="4" t="s">
        <v>135</v>
      </c>
      <c r="C45" s="53" t="s">
        <v>100</v>
      </c>
      <c r="D45" s="53" t="s">
        <v>100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4" t="s">
        <v>100</v>
      </c>
      <c r="J45" s="19" t="s">
        <v>428</v>
      </c>
    </row>
    <row r="46" ht="28.5" customHeight="1">
      <c r="B46" s="4" t="s">
        <v>429</v>
      </c>
      <c r="D46" s="17">
        <f t="shared" si="15" ref="D46:I127">D38/D40-1</f>
        <v>0.17414986209286853</v>
      </c>
      <c r="E46" s="17">
        <f t="shared" si="15"/>
        <v>0.18286898192910783</v>
      </c>
      <c r="F46" s="17">
        <f t="shared" si="15"/>
        <v>0.1351388992092637</v>
      </c>
      <c r="G46" s="17">
        <f t="shared" si="15"/>
        <v>0.10176143690737294</v>
      </c>
      <c r="I46" s="43">
        <f t="shared" si="15"/>
        <v>0.10000000000000009</v>
      </c>
      <c r="J46" s="19" t="s">
        <v>430</v>
      </c>
    </row>
    <row r="47" ht="15" customHeight="1">
      <c r="B47" s="4" t="s">
        <v>427</v>
      </c>
      <c r="E47" s="51">
        <f t="shared" si="14"/>
        <v>87.19119836239298</v>
      </c>
      <c r="F47" s="51">
        <f t="shared" si="14"/>
        <v>-477.30082719844137</v>
      </c>
      <c r="G47" s="51">
        <f t="shared" si="14"/>
        <v>-333.7746230189076</v>
      </c>
      <c r="I47" s="52">
        <f t="shared" si="16"/>
        <v>-17.614369073728486</v>
      </c>
    </row>
    <row r="48" ht="28.5" customHeight="1">
      <c r="B48" s="4" t="s">
        <v>136</v>
      </c>
      <c r="C48" s="53" t="s">
        <v>100</v>
      </c>
      <c r="D48" s="53" t="s">
        <v>100</v>
      </c>
      <c r="E48" s="53" t="s">
        <v>100</v>
      </c>
      <c r="F48" s="53" t="s">
        <v>100</v>
      </c>
      <c r="G48" s="53" t="s">
        <v>100</v>
      </c>
      <c r="H48" s="53" t="s">
        <v>100</v>
      </c>
      <c r="I48" s="54" t="s">
        <v>100</v>
      </c>
      <c r="J48" s="19" t="s">
        <v>431</v>
      </c>
    </row>
    <row r="49" ht="15" customHeight="1">
      <c r="B49" s="3" t="s">
        <v>432</v>
      </c>
      <c r="I49" s="39"/>
    </row>
    <row r="50" ht="41.25" customHeight="1">
      <c r="B50" s="4" t="s">
        <v>433</v>
      </c>
      <c r="I50" s="72">
        <v>0.1</v>
      </c>
      <c r="J50" s="19" t="s">
        <v>434</v>
      </c>
    </row>
    <row r="51" ht="15" customHeight="1">
      <c r="B51" s="4" t="s">
        <v>435</v>
      </c>
      <c r="I51" s="52">
        <f t="shared" si="26" ref="I51:I132">(I50-G46)*10000</f>
        <v>-17.614369073729318</v>
      </c>
    </row>
    <row r="52" ht="15" customHeight="1">
      <c r="B52" s="4" t="s">
        <v>436</v>
      </c>
      <c r="I52" s="72">
        <v>-0.002</v>
      </c>
      <c r="J52" s="28" t="s">
        <v>437</v>
      </c>
    </row>
    <row r="53" ht="15" customHeight="1">
      <c r="B53" s="4" t="s">
        <v>435</v>
      </c>
      <c r="I53" s="52">
        <f t="shared" si="27" ref="I53:I134">(I52-G43)*10000</f>
        <v>-21.99163094592336</v>
      </c>
    </row>
    <row r="54" ht="15" customHeight="1">
      <c r="I54" s="39"/>
    </row>
    <row r="55" ht="15" customHeight="1">
      <c r="B55" s="3" t="s">
        <v>438</v>
      </c>
      <c r="I55" s="39"/>
    </row>
    <row r="56" ht="28.5" customHeight="1">
      <c r="B56" s="3" t="s">
        <v>439</v>
      </c>
      <c r="C56" s="78">
        <v>6942.851</v>
      </c>
      <c r="D56" s="78">
        <v>3699.052</v>
      </c>
      <c r="E56" s="78">
        <v>3872.743</v>
      </c>
      <c r="F56" s="78">
        <v>3998.419</v>
      </c>
      <c r="G56" s="78">
        <v>4033.515</v>
      </c>
      <c r="H56" s="48">
        <f t="shared" si="9"/>
        <v>14514.646</v>
      </c>
      <c r="I56" s="49">
        <f t="shared" si="28" ref="I56:I110">I62*(1+I77)*(1+I79)</f>
        <v>4143.62256462</v>
      </c>
      <c r="J56" s="19" t="s">
        <v>395</v>
      </c>
    </row>
    <row r="57" ht="15" customHeight="1">
      <c r="B57" s="4" t="s">
        <v>88</v>
      </c>
      <c r="C57" s="17">
        <f t="shared" si="17" ref="C57:I111">C56/C62-1</f>
        <v>0.16374316644499243</v>
      </c>
      <c r="D57" s="17">
        <f t="shared" si="17"/>
        <v>0.18049852782829</v>
      </c>
      <c r="E57" s="17">
        <f t="shared" si="17"/>
        <v>0.17798341892758374</v>
      </c>
      <c r="F57" s="17">
        <f t="shared" si="17"/>
        <v>0.17439045594940605</v>
      </c>
      <c r="G57" s="17">
        <f t="shared" si="17"/>
        <v>0.13999872815787784</v>
      </c>
      <c r="H57" s="17">
        <f t="shared" si="17"/>
        <v>0.17176111958995843</v>
      </c>
      <c r="I57" s="43">
        <f t="shared" si="17"/>
        <v>0.12018499999999999</v>
      </c>
    </row>
    <row r="58" ht="15" customHeight="1">
      <c r="B58" s="4" t="s">
        <v>89</v>
      </c>
      <c r="D58" s="45">
        <f t="shared" si="29" ref="D58:D112">D56-G62</f>
        <v>160.87699999999995</v>
      </c>
      <c r="E58" s="45">
        <f t="shared" si="1"/>
        <v>173.6909999999998</v>
      </c>
      <c r="F58" s="45">
        <f t="shared" si="1"/>
        <v>125.67599999999993</v>
      </c>
      <c r="G58" s="45">
        <f t="shared" si="1"/>
        <v>35.096000000000004</v>
      </c>
      <c r="I58" s="46">
        <f t="shared" si="18"/>
        <v>110.10756462000018</v>
      </c>
      <c r="J58" s="28" t="s">
        <v>396</v>
      </c>
    </row>
    <row r="59" ht="15" customHeight="1">
      <c r="B59" s="4" t="s">
        <v>90</v>
      </c>
      <c r="D59" s="17">
        <f t="shared" si="30" ref="D59:D113">D56/G62-1</f>
        <v>0.04546892112459111</v>
      </c>
      <c r="E59" s="17">
        <f t="shared" si="2"/>
        <v>0.04695554428540061</v>
      </c>
      <c r="F59" s="17">
        <f t="shared" si="2"/>
        <v>0.032451417509501645</v>
      </c>
      <c r="G59" s="17">
        <f t="shared" si="2"/>
        <v>0.00877746929473866</v>
      </c>
      <c r="I59" s="43">
        <f t="shared" si="19"/>
        <v>0.027298166641254618</v>
      </c>
    </row>
    <row r="60" ht="15" customHeight="1">
      <c r="B60" s="4" t="s">
        <v>91</v>
      </c>
      <c r="C60" s="17">
        <f t="shared" si="20" ref="C60:I60">C56/C137</f>
        <v>0.32110172955124755</v>
      </c>
      <c r="D60" s="17">
        <f t="shared" si="20"/>
        <v>0.3213686654925885</v>
      </c>
      <c r="E60" s="17">
        <f t="shared" si="20"/>
        <v>0.3213691383167305</v>
      </c>
      <c r="F60" s="17">
        <f t="shared" si="20"/>
        <v>0.32640802588981965</v>
      </c>
      <c r="G60" s="17">
        <f t="shared" si="20"/>
        <v>0.321141314551075</v>
      </c>
      <c r="H60" s="17">
        <f t="shared" si="20"/>
        <v>0.32124105161946176</v>
      </c>
      <c r="I60" s="43">
        <f t="shared" si="20"/>
        <v>0.3219250947629667</v>
      </c>
    </row>
    <row r="61" ht="15" customHeight="1">
      <c r="B61" s="4" t="s">
        <v>397</v>
      </c>
      <c r="C61" s="51">
        <f t="shared" si="21" ref="C61:I61">(C60-C62/C141)*10000</f>
        <v>59.382963310518065</v>
      </c>
      <c r="D61" s="51">
        <f t="shared" si="21"/>
        <v>24.31187178994709</v>
      </c>
      <c r="E61" s="51">
        <f t="shared" si="21"/>
        <v>5.18132711213759</v>
      </c>
      <c r="F61" s="51">
        <f t="shared" si="21"/>
        <v>34.695582093616785</v>
      </c>
      <c r="G61" s="51">
        <f t="shared" si="21"/>
        <v>17.874028938256735</v>
      </c>
      <c r="H61" s="51">
        <f t="shared" si="21"/>
        <v>36.32636484308449</v>
      </c>
      <c r="I61" s="52">
        <f t="shared" si="21"/>
        <v>5.564292703781892</v>
      </c>
    </row>
    <row r="62" ht="28.5" customHeight="1">
      <c r="B62" s="9" t="s">
        <v>87</v>
      </c>
      <c r="C62" s="26">
        <v>5965.965</v>
      </c>
      <c r="D62" s="26">
        <v>3133.466</v>
      </c>
      <c r="E62" s="26">
        <v>3287.604</v>
      </c>
      <c r="F62" s="26">
        <v>3404.676</v>
      </c>
      <c r="G62" s="26">
        <v>3538.175</v>
      </c>
      <c r="H62" s="16">
        <f t="shared" si="9"/>
        <v>12387.035</v>
      </c>
      <c r="I62" s="61">
        <f t="shared" si="33" ref="I62:I116">D56</f>
        <v>3699.052</v>
      </c>
      <c r="J62" s="19" t="s">
        <v>417</v>
      </c>
    </row>
    <row r="63" ht="54" customHeight="1">
      <c r="B63" s="9" t="s">
        <v>418</v>
      </c>
      <c r="D63" s="26">
        <v>-199.597</v>
      </c>
      <c r="E63" s="26">
        <v>-198.888</v>
      </c>
      <c r="F63" s="26">
        <v>-418.871</v>
      </c>
      <c r="G63" s="26">
        <v>-130.725</v>
      </c>
      <c r="I63" s="61">
        <f t="shared" si="34" ref="I63:I117">I65-I56</f>
        <v>31.209475380000185</v>
      </c>
      <c r="J63" s="19" t="s">
        <v>419</v>
      </c>
    </row>
    <row r="64" ht="28.5" customHeight="1">
      <c r="B64" s="9" t="s">
        <v>420</v>
      </c>
      <c r="D64" s="26">
        <v>113.58</v>
      </c>
      <c r="E64" s="26">
        <v>87.364</v>
      </c>
      <c r="F64" s="26">
        <v>113.651</v>
      </c>
      <c r="G64" s="26">
        <v>58.49</v>
      </c>
      <c r="I64" s="39"/>
      <c r="J64" s="19" t="s">
        <v>421</v>
      </c>
    </row>
    <row r="65" ht="15" customHeight="1">
      <c r="B65" s="3" t="s">
        <v>107</v>
      </c>
      <c r="C65" s="55"/>
      <c r="D65" s="56">
        <f t="shared" si="22" ref="D65:G119">D56+D63+D64</f>
        <v>3613.035</v>
      </c>
      <c r="E65" s="56">
        <f t="shared" si="22"/>
        <v>3761.219</v>
      </c>
      <c r="F65" s="56">
        <f t="shared" si="22"/>
        <v>3693.1989999999996</v>
      </c>
      <c r="G65" s="56">
        <f t="shared" si="22"/>
        <v>3961.2799999999997</v>
      </c>
      <c r="H65" s="55"/>
      <c r="I65" s="57">
        <f t="shared" si="23"/>
        <v>4174.83204</v>
      </c>
    </row>
    <row r="66" ht="15" customHeight="1">
      <c r="B66" s="9" t="s">
        <v>422</v>
      </c>
      <c r="D66" s="26">
        <v>-1.857</v>
      </c>
      <c r="E66" s="26">
        <v>-12.789</v>
      </c>
      <c r="F66" s="26">
        <v>-105.225</v>
      </c>
      <c r="G66" s="26">
        <v>42.049</v>
      </c>
      <c r="I66" s="61">
        <f t="shared" si="24"/>
        <v>113.58</v>
      </c>
    </row>
    <row r="67" ht="15" customHeight="1">
      <c r="B67" s="9" t="s">
        <v>423</v>
      </c>
      <c r="D67" s="16">
        <f t="shared" si="11"/>
        <v>3131.609</v>
      </c>
      <c r="E67" s="16">
        <f t="shared" si="11"/>
        <v>3274.8149999999996</v>
      </c>
      <c r="F67" s="16">
        <f t="shared" si="11"/>
        <v>3299.451</v>
      </c>
      <c r="G67" s="16">
        <f t="shared" si="11"/>
        <v>3580.224</v>
      </c>
      <c r="I67" s="61">
        <f t="shared" si="11"/>
        <v>3812.632</v>
      </c>
    </row>
    <row r="68" ht="15" customHeight="1">
      <c r="B68" s="3" t="s">
        <v>424</v>
      </c>
      <c r="I68" s="39"/>
    </row>
    <row r="69" ht="15" customHeight="1">
      <c r="B69" s="4" t="s">
        <v>401</v>
      </c>
      <c r="C69" s="17">
        <f t="shared" si="25" ref="C69:I123">C57</f>
        <v>0.16374316644499243</v>
      </c>
      <c r="D69" s="17">
        <f t="shared" si="25"/>
        <v>0.18049852782829</v>
      </c>
      <c r="E69" s="17">
        <f t="shared" si="25"/>
        <v>0.17798341892758374</v>
      </c>
      <c r="F69" s="17">
        <f t="shared" si="25"/>
        <v>0.17439045594940605</v>
      </c>
      <c r="G69" s="17">
        <f t="shared" si="25"/>
        <v>0.13999872815787784</v>
      </c>
      <c r="H69" s="17">
        <f t="shared" si="25"/>
        <v>0.17176111958995843</v>
      </c>
      <c r="I69" s="43">
        <f t="shared" si="25"/>
        <v>0.12018499999999999</v>
      </c>
    </row>
    <row r="70" ht="28.5" customHeight="1">
      <c r="B70" s="4" t="s">
        <v>425</v>
      </c>
      <c r="D70" s="17">
        <f t="shared" si="13"/>
        <v>0.023200664879754473</v>
      </c>
      <c r="E70" s="17">
        <f t="shared" si="13"/>
        <v>0.02564561384363273</v>
      </c>
      <c r="F70" s="17">
        <f t="shared" si="13"/>
        <v>0.04918358427821623</v>
      </c>
      <c r="G70" s="17">
        <f t="shared" si="13"/>
        <v>0.030336357571368433</v>
      </c>
      <c r="I70" s="43">
        <f t="shared" si="13"/>
        <v>0.02299999999999991</v>
      </c>
      <c r="J70" s="19" t="s">
        <v>426</v>
      </c>
    </row>
    <row r="71" ht="15" customHeight="1">
      <c r="B71" s="4" t="s">
        <v>427</v>
      </c>
      <c r="E71" s="51">
        <f t="shared" si="14"/>
        <v>24.449489638782573</v>
      </c>
      <c r="F71" s="51">
        <f t="shared" si="14"/>
        <v>235.379704345835</v>
      </c>
      <c r="G71" s="51">
        <f t="shared" si="14"/>
        <v>-188.47226706847798</v>
      </c>
      <c r="I71" s="52">
        <f t="shared" si="16"/>
        <v>-73.36357571368524</v>
      </c>
    </row>
    <row r="72" ht="28.5" customHeight="1">
      <c r="B72" s="4" t="s">
        <v>135</v>
      </c>
      <c r="C72" s="53" t="s">
        <v>100</v>
      </c>
      <c r="D72" s="53" t="s">
        <v>100</v>
      </c>
      <c r="E72" s="53" t="s">
        <v>100</v>
      </c>
      <c r="F72" s="53" t="s">
        <v>100</v>
      </c>
      <c r="G72" s="53" t="s">
        <v>100</v>
      </c>
      <c r="H72" s="53" t="s">
        <v>100</v>
      </c>
      <c r="I72" s="54" t="s">
        <v>100</v>
      </c>
      <c r="J72" s="19" t="s">
        <v>428</v>
      </c>
    </row>
    <row r="73" ht="28.5" customHeight="1">
      <c r="B73" s="4" t="s">
        <v>429</v>
      </c>
      <c r="D73" s="17">
        <f t="shared" si="15"/>
        <v>0.1537311969661601</v>
      </c>
      <c r="E73" s="17">
        <f t="shared" si="15"/>
        <v>0.14852869551409786</v>
      </c>
      <c r="F73" s="17">
        <f t="shared" si="15"/>
        <v>0.11933742916624612</v>
      </c>
      <c r="G73" s="17">
        <f t="shared" si="15"/>
        <v>0.10643356393342973</v>
      </c>
      <c r="I73" s="43">
        <f t="shared" si="15"/>
        <v>0.09499999999999997</v>
      </c>
      <c r="J73" s="19" t="s">
        <v>430</v>
      </c>
    </row>
    <row r="74" ht="15" customHeight="1">
      <c r="B74" s="4" t="s">
        <v>427</v>
      </c>
      <c r="E74" s="51">
        <f t="shared" si="14"/>
        <v>-52.02501452062247</v>
      </c>
      <c r="F74" s="51">
        <f t="shared" si="14"/>
        <v>-291.9126634785174</v>
      </c>
      <c r="G74" s="51">
        <f t="shared" si="14"/>
        <v>-129.03865232816392</v>
      </c>
      <c r="I74" s="52">
        <f t="shared" si="16"/>
        <v>-114.33563933429758</v>
      </c>
    </row>
    <row r="75" ht="28.5" customHeight="1">
      <c r="B75" s="4" t="s">
        <v>136</v>
      </c>
      <c r="C75" s="53" t="s">
        <v>100</v>
      </c>
      <c r="D75" s="53" t="s">
        <v>100</v>
      </c>
      <c r="E75" s="53" t="s">
        <v>100</v>
      </c>
      <c r="F75" s="53" t="s">
        <v>100</v>
      </c>
      <c r="G75" s="53" t="s">
        <v>100</v>
      </c>
      <c r="H75" s="53" t="s">
        <v>100</v>
      </c>
      <c r="I75" s="54" t="s">
        <v>100</v>
      </c>
      <c r="J75" s="19" t="s">
        <v>431</v>
      </c>
    </row>
    <row r="76" ht="15" customHeight="1">
      <c r="B76" s="3" t="s">
        <v>432</v>
      </c>
      <c r="I76" s="39"/>
    </row>
    <row r="77" ht="28.5" customHeight="1">
      <c r="B77" s="4" t="s">
        <v>433</v>
      </c>
      <c r="I77" s="72">
        <v>0.095</v>
      </c>
      <c r="J77" s="19" t="s">
        <v>440</v>
      </c>
    </row>
    <row r="78" ht="15" customHeight="1">
      <c r="B78" s="4" t="s">
        <v>435</v>
      </c>
      <c r="I78" s="52">
        <f t="shared" si="26"/>
        <v>-114.3356393342973</v>
      </c>
    </row>
    <row r="79" ht="28.5" customHeight="1">
      <c r="B79" s="4" t="s">
        <v>436</v>
      </c>
      <c r="I79" s="72">
        <v>0.023</v>
      </c>
      <c r="J79" s="19" t="s">
        <v>441</v>
      </c>
    </row>
    <row r="80" ht="15" customHeight="1">
      <c r="B80" s="4" t="s">
        <v>435</v>
      </c>
      <c r="I80" s="52">
        <f t="shared" si="27"/>
        <v>-73.36357571368434</v>
      </c>
    </row>
    <row r="81" ht="15" customHeight="1">
      <c r="I81" s="39"/>
    </row>
    <row r="82" ht="15" customHeight="1">
      <c r="B82" s="3" t="s">
        <v>442</v>
      </c>
      <c r="I82" s="39"/>
    </row>
    <row r="83" ht="28.5" customHeight="1">
      <c r="B83" s="3" t="s">
        <v>443</v>
      </c>
      <c r="C83" s="78">
        <v>2568.669</v>
      </c>
      <c r="D83" s="78">
        <v>1370.913</v>
      </c>
      <c r="E83" s="78">
        <v>1417.939</v>
      </c>
      <c r="F83" s="78">
        <v>1497.058</v>
      </c>
      <c r="G83" s="78">
        <v>1584.29</v>
      </c>
      <c r="H83" s="48">
        <f t="shared" si="9"/>
        <v>5357.521</v>
      </c>
      <c r="I83" s="49">
        <f t="shared" si="28"/>
        <v>1609.7260446000003</v>
      </c>
      <c r="J83" s="19" t="s">
        <v>395</v>
      </c>
    </row>
    <row r="84" ht="15" customHeight="1">
      <c r="B84" s="4" t="s">
        <v>88</v>
      </c>
      <c r="C84" s="17">
        <f t="shared" si="17"/>
        <v>0.08421406300057455</v>
      </c>
      <c r="D84" s="17">
        <f t="shared" si="17"/>
        <v>0.10478027096636922</v>
      </c>
      <c r="E84" s="17">
        <f t="shared" si="17"/>
        <v>0.15301060116070397</v>
      </c>
      <c r="F84" s="17">
        <f t="shared" si="17"/>
        <v>0.1863203622376448</v>
      </c>
      <c r="G84" s="17">
        <f t="shared" si="17"/>
        <v>0.21240343298373432</v>
      </c>
      <c r="H84" s="17">
        <f t="shared" si="17"/>
        <v>0.10696790952383317</v>
      </c>
      <c r="I84" s="43">
        <f t="shared" si="17"/>
        <v>0.17420000000000013</v>
      </c>
    </row>
    <row r="85" ht="15" customHeight="1">
      <c r="B85" s="4" t="s">
        <v>89</v>
      </c>
      <c r="D85" s="45">
        <f t="shared" si="29"/>
        <v>64.17800000000011</v>
      </c>
      <c r="E85" s="45">
        <f t="shared" si="1"/>
        <v>47.02600000000007</v>
      </c>
      <c r="F85" s="45">
        <f t="shared" si="1"/>
        <v>79.11899999999991</v>
      </c>
      <c r="G85" s="45">
        <f t="shared" si="1"/>
        <v>87.23199999999997</v>
      </c>
      <c r="I85" s="46">
        <f t="shared" si="18"/>
        <v>25.436044600000287</v>
      </c>
      <c r="J85" s="28" t="s">
        <v>396</v>
      </c>
    </row>
    <row r="86" ht="15" customHeight="1">
      <c r="B86" s="4" t="s">
        <v>90</v>
      </c>
      <c r="D86" s="17">
        <f t="shared" si="30"/>
        <v>0.04911324790412763</v>
      </c>
      <c r="E86" s="17">
        <f t="shared" si="2"/>
        <v>0.03430268733318598</v>
      </c>
      <c r="F86" s="17">
        <f t="shared" si="2"/>
        <v>0.0557985921820332</v>
      </c>
      <c r="G86" s="17">
        <f t="shared" si="2"/>
        <v>0.05826895150354905</v>
      </c>
      <c r="I86" s="43">
        <f t="shared" si="19"/>
        <v>0.016055169571227657</v>
      </c>
    </row>
    <row r="87" ht="15" customHeight="1">
      <c r="B87" s="4" t="s">
        <v>91</v>
      </c>
      <c r="C87" s="17">
        <f t="shared" si="31" ref="C87:I87">C83/C137</f>
        <v>0.11879904358377755</v>
      </c>
      <c r="D87" s="17">
        <f t="shared" si="31"/>
        <v>0.1191030786581105</v>
      </c>
      <c r="E87" s="17">
        <f t="shared" si="31"/>
        <v>0.11766384565556934</v>
      </c>
      <c r="F87" s="17">
        <f t="shared" si="31"/>
        <v>0.12221124059848695</v>
      </c>
      <c r="G87" s="17">
        <f t="shared" si="31"/>
        <v>0.12613836151102018</v>
      </c>
      <c r="H87" s="17">
        <f t="shared" si="31"/>
        <v>0.1185737275379193</v>
      </c>
      <c r="I87" s="43">
        <f t="shared" si="31"/>
        <v>0.12506235820679637</v>
      </c>
    </row>
    <row r="88" ht="15" customHeight="1">
      <c r="B88" s="4" t="s">
        <v>397</v>
      </c>
      <c r="C88" s="51">
        <f t="shared" si="32" ref="C88:I88">(C87-C89/C141)*10000</f>
        <v>-63.559637459547346</v>
      </c>
      <c r="D88" s="51">
        <f t="shared" si="32"/>
        <v>-72.00179567608919</v>
      </c>
      <c r="E88" s="51">
        <f t="shared" si="32"/>
        <v>-23.546425852595256</v>
      </c>
      <c r="F88" s="51">
        <f t="shared" si="32"/>
        <v>25.149663351294176</v>
      </c>
      <c r="G88" s="51">
        <f t="shared" si="32"/>
        <v>81.93111841505355</v>
      </c>
      <c r="H88" s="51">
        <f t="shared" si="32"/>
        <v>-55.21044883871479</v>
      </c>
      <c r="I88" s="52">
        <f t="shared" si="32"/>
        <v>59.592795486858726</v>
      </c>
    </row>
    <row r="89" ht="28.5" customHeight="1">
      <c r="B89" s="9" t="s">
        <v>87</v>
      </c>
      <c r="C89" s="26">
        <v>2369.153</v>
      </c>
      <c r="D89" s="26">
        <v>1240.892</v>
      </c>
      <c r="E89" s="26">
        <v>1229.771</v>
      </c>
      <c r="F89" s="26">
        <v>1261.934</v>
      </c>
      <c r="G89" s="26">
        <v>1306.735</v>
      </c>
      <c r="H89" s="16">
        <f t="shared" si="9"/>
        <v>4839.816</v>
      </c>
      <c r="I89" s="61">
        <f t="shared" si="33"/>
        <v>1370.913</v>
      </c>
      <c r="J89" s="19" t="s">
        <v>417</v>
      </c>
    </row>
    <row r="90" ht="54" customHeight="1">
      <c r="B90" s="9" t="s">
        <v>418</v>
      </c>
      <c r="D90" s="26">
        <v>53.678</v>
      </c>
      <c r="E90" s="26">
        <v>-1.052</v>
      </c>
      <c r="F90" s="26">
        <v>-60.512</v>
      </c>
      <c r="G90" s="26">
        <v>-67.459</v>
      </c>
      <c r="I90" s="61">
        <f t="shared" si="34"/>
        <v>-16.903224600000158</v>
      </c>
      <c r="J90" s="19" t="s">
        <v>419</v>
      </c>
    </row>
    <row r="91" ht="28.5" customHeight="1">
      <c r="B91" s="9" t="s">
        <v>420</v>
      </c>
      <c r="D91" s="26">
        <v>26.3</v>
      </c>
      <c r="E91" s="26">
        <v>27.711</v>
      </c>
      <c r="F91" s="26">
        <v>31.286</v>
      </c>
      <c r="G91" s="26">
        <v>11.494</v>
      </c>
      <c r="I91" s="39"/>
      <c r="J91" s="19" t="s">
        <v>421</v>
      </c>
    </row>
    <row r="92" ht="15" customHeight="1">
      <c r="B92" s="3" t="s">
        <v>107</v>
      </c>
      <c r="C92" s="55"/>
      <c r="D92" s="56">
        <f t="shared" si="22"/>
        <v>1450.8909999999998</v>
      </c>
      <c r="E92" s="56">
        <f t="shared" si="22"/>
        <v>1444.5980000000002</v>
      </c>
      <c r="F92" s="56">
        <f t="shared" si="22"/>
        <v>1467.832</v>
      </c>
      <c r="G92" s="56">
        <f t="shared" si="22"/>
        <v>1528.3249999999998</v>
      </c>
      <c r="H92" s="55"/>
      <c r="I92" s="57">
        <f t="shared" si="23"/>
        <v>1592.82282</v>
      </c>
    </row>
    <row r="93" ht="15" customHeight="1">
      <c r="B93" s="9" t="s">
        <v>422</v>
      </c>
      <c r="D93" s="26">
        <v>-34.654</v>
      </c>
      <c r="E93" s="26">
        <v>-28.307</v>
      </c>
      <c r="F93" s="26">
        <v>-13.936</v>
      </c>
      <c r="G93" s="26">
        <v>14.033</v>
      </c>
      <c r="I93" s="61">
        <f t="shared" si="24"/>
        <v>26.3</v>
      </c>
    </row>
    <row r="94" ht="15" customHeight="1">
      <c r="B94" s="9" t="s">
        <v>423</v>
      </c>
      <c r="D94" s="16">
        <f t="shared" si="11"/>
        <v>1206.238</v>
      </c>
      <c r="E94" s="16">
        <f t="shared" si="11"/>
        <v>1201.464</v>
      </c>
      <c r="F94" s="16">
        <f t="shared" si="11"/>
        <v>1247.998</v>
      </c>
      <c r="G94" s="16">
        <f t="shared" si="11"/>
        <v>1320.7679999999998</v>
      </c>
      <c r="I94" s="61">
        <f t="shared" si="11"/>
        <v>1397.213</v>
      </c>
    </row>
    <row r="95" ht="15" customHeight="1">
      <c r="B95" s="3" t="s">
        <v>424</v>
      </c>
      <c r="I95" s="39"/>
    </row>
    <row r="96" ht="15" customHeight="1">
      <c r="B96" s="4" t="s">
        <v>401</v>
      </c>
      <c r="C96" s="17">
        <f t="shared" si="25"/>
        <v>0.08421406300057455</v>
      </c>
      <c r="D96" s="17">
        <f t="shared" si="25"/>
        <v>0.10478027096636922</v>
      </c>
      <c r="E96" s="17">
        <f t="shared" si="25"/>
        <v>0.15301060116070397</v>
      </c>
      <c r="F96" s="17">
        <f t="shared" si="25"/>
        <v>0.1863203622376448</v>
      </c>
      <c r="G96" s="17">
        <f t="shared" si="25"/>
        <v>0.21240343298373432</v>
      </c>
      <c r="H96" s="17">
        <f t="shared" si="25"/>
        <v>0.10696790952383317</v>
      </c>
      <c r="I96" s="43">
        <f t="shared" si="25"/>
        <v>0.17420000000000013</v>
      </c>
    </row>
    <row r="97" ht="28.5" customHeight="1">
      <c r="B97" s="4" t="s">
        <v>425</v>
      </c>
      <c r="D97" s="17">
        <f t="shared" si="13"/>
        <v>-0.0815106410544062</v>
      </c>
      <c r="E97" s="17">
        <f t="shared" si="13"/>
        <v>-0.0410475932315123</v>
      </c>
      <c r="F97" s="17">
        <f t="shared" si="13"/>
        <v>0.008647746766561992</v>
      </c>
      <c r="G97" s="17">
        <f t="shared" si="13"/>
        <v>0.0477507450150072</v>
      </c>
      <c r="I97" s="43">
        <f t="shared" si="13"/>
        <v>0.030000000000000027</v>
      </c>
      <c r="J97" s="19" t="s">
        <v>426</v>
      </c>
    </row>
    <row r="98" ht="15" customHeight="1">
      <c r="B98" s="4" t="s">
        <v>427</v>
      </c>
      <c r="E98" s="51">
        <f t="shared" si="14"/>
        <v>404.63047822893895</v>
      </c>
      <c r="F98" s="51">
        <f t="shared" si="14"/>
        <v>496.953399980743</v>
      </c>
      <c r="G98" s="51">
        <f t="shared" si="14"/>
        <v>391.0299824844521</v>
      </c>
      <c r="I98" s="52">
        <f t="shared" si="16"/>
        <v>-177.50745015007175</v>
      </c>
    </row>
    <row r="99" ht="28.5" customHeight="1">
      <c r="B99" s="4" t="s">
        <v>135</v>
      </c>
      <c r="C99" s="53" t="s">
        <v>100</v>
      </c>
      <c r="D99" s="53" t="s">
        <v>100</v>
      </c>
      <c r="E99" s="53" t="s">
        <v>100</v>
      </c>
      <c r="F99" s="53" t="s">
        <v>100</v>
      </c>
      <c r="G99" s="53" t="s">
        <v>100</v>
      </c>
      <c r="H99" s="53" t="s">
        <v>100</v>
      </c>
      <c r="I99" s="54" t="s">
        <v>100</v>
      </c>
      <c r="J99" s="19" t="s">
        <v>428</v>
      </c>
    </row>
    <row r="100" ht="28.5" customHeight="1">
      <c r="B100" s="4" t="s">
        <v>429</v>
      </c>
      <c r="D100" s="17">
        <f t="shared" si="15"/>
        <v>0.20282315761897718</v>
      </c>
      <c r="E100" s="17">
        <f t="shared" si="15"/>
        <v>0.20236478163307448</v>
      </c>
      <c r="F100" s="17">
        <f t="shared" si="15"/>
        <v>0.17614932075211653</v>
      </c>
      <c r="G100" s="17">
        <f t="shared" si="15"/>
        <v>0.1571487195328778</v>
      </c>
      <c r="I100" s="43">
        <f t="shared" si="15"/>
        <v>0.14000000000000012</v>
      </c>
      <c r="J100" s="19" t="s">
        <v>430</v>
      </c>
    </row>
    <row r="101" ht="15" customHeight="1">
      <c r="B101" s="4" t="s">
        <v>427</v>
      </c>
      <c r="E101" s="51">
        <f t="shared" si="14"/>
        <v>-4.583759859027037</v>
      </c>
      <c r="F101" s="51">
        <f t="shared" si="14"/>
        <v>-262.15460880957943</v>
      </c>
      <c r="G101" s="51">
        <f t="shared" si="14"/>
        <v>-190.00601219238743</v>
      </c>
      <c r="I101" s="52">
        <f t="shared" si="16"/>
        <v>-171.48719532877666</v>
      </c>
    </row>
    <row r="102" ht="28.5" customHeight="1">
      <c r="B102" s="4" t="s">
        <v>136</v>
      </c>
      <c r="C102" s="53" t="s">
        <v>100</v>
      </c>
      <c r="D102" s="53" t="s">
        <v>100</v>
      </c>
      <c r="E102" s="53" t="s">
        <v>100</v>
      </c>
      <c r="F102" s="53" t="s">
        <v>100</v>
      </c>
      <c r="G102" s="53" t="s">
        <v>100</v>
      </c>
      <c r="H102" s="53" t="s">
        <v>100</v>
      </c>
      <c r="I102" s="54" t="s">
        <v>100</v>
      </c>
      <c r="J102" s="19" t="s">
        <v>431</v>
      </c>
    </row>
    <row r="103" ht="15" customHeight="1">
      <c r="B103" s="3" t="s">
        <v>432</v>
      </c>
      <c r="I103" s="39"/>
    </row>
    <row r="104" ht="28.5" customHeight="1">
      <c r="B104" s="4" t="s">
        <v>433</v>
      </c>
      <c r="I104" s="72">
        <v>0.14</v>
      </c>
      <c r="J104" s="19" t="s">
        <v>444</v>
      </c>
    </row>
    <row r="105" ht="15" customHeight="1">
      <c r="B105" s="4" t="s">
        <v>435</v>
      </c>
      <c r="I105" s="52">
        <f t="shared" si="26"/>
        <v>-171.48719532877777</v>
      </c>
    </row>
    <row r="106" ht="28.5" customHeight="1">
      <c r="B106" s="4" t="s">
        <v>436</v>
      </c>
      <c r="I106" s="72">
        <v>0.03</v>
      </c>
      <c r="J106" s="19" t="s">
        <v>445</v>
      </c>
    </row>
    <row r="107" ht="15" customHeight="1">
      <c r="B107" s="4" t="s">
        <v>435</v>
      </c>
      <c r="I107" s="52">
        <f t="shared" si="27"/>
        <v>-177.50745015007203</v>
      </c>
    </row>
    <row r="108" ht="15" customHeight="1">
      <c r="I108" s="39"/>
    </row>
    <row r="109" ht="15" customHeight="1">
      <c r="B109" s="3" t="s">
        <v>446</v>
      </c>
      <c r="I109" s="39"/>
    </row>
    <row r="110" ht="28.5" customHeight="1">
      <c r="B110" s="3" t="s">
        <v>447</v>
      </c>
      <c r="C110" s="78">
        <v>2564.346</v>
      </c>
      <c r="D110" s="78">
        <v>1368.561</v>
      </c>
      <c r="E110" s="78">
        <v>1420.81</v>
      </c>
      <c r="F110" s="78">
        <v>1508.982</v>
      </c>
      <c r="G110" s="78">
        <v>1510.466</v>
      </c>
      <c r="H110" s="48">
        <f t="shared" si="9"/>
        <v>5353.717000000001</v>
      </c>
      <c r="I110" s="49">
        <f t="shared" si="28"/>
        <v>1550.2374727499998</v>
      </c>
      <c r="J110" s="19" t="s">
        <v>395</v>
      </c>
    </row>
    <row r="111" ht="15" customHeight="1">
      <c r="B111" s="4" t="s">
        <v>88</v>
      </c>
      <c r="C111" s="17">
        <f t="shared" si="17"/>
        <v>0.23597414058610244</v>
      </c>
      <c r="D111" s="17">
        <f t="shared" si="17"/>
        <v>0.21340421626979733</v>
      </c>
      <c r="E111" s="17">
        <f t="shared" si="17"/>
        <v>0.17216942216942233</v>
      </c>
      <c r="F111" s="17">
        <f t="shared" si="17"/>
        <v>0.19846746824896955</v>
      </c>
      <c r="G111" s="17">
        <f t="shared" si="17"/>
        <v>0.15722086063008467</v>
      </c>
      <c r="H111" s="17">
        <f t="shared" si="17"/>
        <v>0.21268969947534933</v>
      </c>
      <c r="I111" s="43">
        <f t="shared" si="17"/>
        <v>0.13274999999999992</v>
      </c>
    </row>
    <row r="112" ht="15" customHeight="1">
      <c r="B112" s="4" t="s">
        <v>89</v>
      </c>
      <c r="D112" s="45">
        <f t="shared" si="29"/>
        <v>63.30799999999999</v>
      </c>
      <c r="E112" s="45">
        <f t="shared" si="1"/>
        <v>52.249000000000024</v>
      </c>
      <c r="F112" s="45">
        <f t="shared" si="1"/>
        <v>88.17200000000003</v>
      </c>
      <c r="G112" s="45">
        <f t="shared" si="1"/>
        <v>1.4839999999999236</v>
      </c>
      <c r="I112" s="46">
        <f t="shared" si="18"/>
        <v>39.77147274999993</v>
      </c>
      <c r="J112" s="28" t="s">
        <v>396</v>
      </c>
    </row>
    <row r="113" ht="15" customHeight="1">
      <c r="B113" s="4" t="s">
        <v>90</v>
      </c>
      <c r="D113" s="17">
        <f t="shared" si="30"/>
        <v>0.04850247423296472</v>
      </c>
      <c r="E113" s="17">
        <f t="shared" si="2"/>
        <v>0.038178057097929985</v>
      </c>
      <c r="F113" s="17">
        <f t="shared" si="2"/>
        <v>0.062057558716506867</v>
      </c>
      <c r="G113" s="17">
        <f t="shared" si="2"/>
        <v>0.0009834444678598064</v>
      </c>
      <c r="I113" s="43">
        <f t="shared" si="19"/>
        <v>0.026330597808888134</v>
      </c>
    </row>
    <row r="114" ht="15" customHeight="1">
      <c r="B114" s="4" t="s">
        <v>91</v>
      </c>
      <c r="C114" s="17">
        <f t="shared" si="35" ref="C114:I114">C110/C137</f>
        <v>0.11859910802749814</v>
      </c>
      <c r="D114" s="17">
        <f t="shared" si="35"/>
        <v>0.11889874005966998</v>
      </c>
      <c r="E114" s="17">
        <f t="shared" si="35"/>
        <v>0.11790208785137403</v>
      </c>
      <c r="F114" s="17">
        <f t="shared" si="35"/>
        <v>0.12318464766280668</v>
      </c>
      <c r="G114" s="17">
        <f t="shared" si="35"/>
        <v>0.12026062549034873</v>
      </c>
      <c r="H114" s="17">
        <f t="shared" si="35"/>
        <v>0.11848953664822345</v>
      </c>
      <c r="I114" s="43">
        <f t="shared" si="35"/>
        <v>0.12044058973453176</v>
      </c>
    </row>
    <row r="115" ht="15" customHeight="1">
      <c r="B115" s="4" t="s">
        <v>397</v>
      </c>
      <c r="C115" s="51">
        <f t="shared" si="36" ref="C115:I115">(C114-C116/C141)*10000</f>
        <v>89.96128590368745</v>
      </c>
      <c r="D115" s="51">
        <f t="shared" si="36"/>
        <v>40.99442818827181</v>
      </c>
      <c r="E115" s="51">
        <f t="shared" si="36"/>
        <v>-3.9376557700691874</v>
      </c>
      <c r="F115" s="51">
        <f t="shared" si="36"/>
        <v>37.57846379162974</v>
      </c>
      <c r="G115" s="51">
        <f t="shared" si="36"/>
        <v>24.491404020307307</v>
      </c>
      <c r="H115" s="51">
        <f t="shared" si="36"/>
        <v>52.937250367879884</v>
      </c>
      <c r="I115" s="52">
        <f t="shared" si="36"/>
        <v>15.418496748617756</v>
      </c>
    </row>
    <row r="116" ht="28.5" customHeight="1">
      <c r="B116" s="9" t="s">
        <v>87</v>
      </c>
      <c r="C116" s="26">
        <v>2074.757</v>
      </c>
      <c r="D116" s="26">
        <v>1127.869</v>
      </c>
      <c r="E116" s="26">
        <v>1212.12</v>
      </c>
      <c r="F116" s="26">
        <v>1259.093</v>
      </c>
      <c r="G116" s="26">
        <v>1305.253</v>
      </c>
      <c r="H116" s="16">
        <f t="shared" si="9"/>
        <v>4414.746</v>
      </c>
      <c r="I116" s="61">
        <f t="shared" si="33"/>
        <v>1368.561</v>
      </c>
      <c r="J116" s="19" t="s">
        <v>417</v>
      </c>
    </row>
    <row r="117" ht="54" customHeight="1">
      <c r="B117" s="9" t="s">
        <v>418</v>
      </c>
      <c r="D117" s="26">
        <v>-14.75</v>
      </c>
      <c r="E117" s="26">
        <v>28.413</v>
      </c>
      <c r="F117" s="26">
        <v>-40.823</v>
      </c>
      <c r="G117" s="26">
        <v>28.88</v>
      </c>
      <c r="I117" s="61">
        <f t="shared" si="34"/>
        <v>14.04082725000012</v>
      </c>
      <c r="J117" s="19" t="s">
        <v>419</v>
      </c>
    </row>
    <row r="118" ht="28.5" customHeight="1">
      <c r="B118" s="9" t="s">
        <v>420</v>
      </c>
      <c r="D118" s="26">
        <v>-8.319</v>
      </c>
      <c r="E118" s="26">
        <v>-19.274</v>
      </c>
      <c r="F118" s="26">
        <v>-11.957</v>
      </c>
      <c r="G118" s="26">
        <v>-19.07</v>
      </c>
      <c r="I118" s="39"/>
      <c r="J118" s="19" t="s">
        <v>421</v>
      </c>
    </row>
    <row r="119" ht="15" customHeight="1">
      <c r="B119" s="3" t="s">
        <v>107</v>
      </c>
      <c r="C119" s="55"/>
      <c r="D119" s="56">
        <f t="shared" si="22"/>
        <v>1345.492</v>
      </c>
      <c r="E119" s="56">
        <f t="shared" si="22"/>
        <v>1429.949</v>
      </c>
      <c r="F119" s="56">
        <f t="shared" si="22"/>
        <v>1456.2019999999998</v>
      </c>
      <c r="G119" s="56">
        <f t="shared" si="22"/>
        <v>1520.276</v>
      </c>
      <c r="H119" s="55"/>
      <c r="I119" s="57">
        <f t="shared" si="23"/>
        <v>1564.2783</v>
      </c>
    </row>
    <row r="120" ht="15" customHeight="1">
      <c r="B120" s="9" t="s">
        <v>422</v>
      </c>
      <c r="D120" s="26">
        <v>-8.408</v>
      </c>
      <c r="E120" s="26">
        <v>-7.107</v>
      </c>
      <c r="F120" s="26">
        <v>-31.083</v>
      </c>
      <c r="G120" s="26">
        <v>-12.266</v>
      </c>
      <c r="I120" s="61">
        <f t="shared" si="24"/>
        <v>-8.319</v>
      </c>
    </row>
    <row r="121" ht="15" customHeight="1">
      <c r="B121" s="9" t="s">
        <v>423</v>
      </c>
      <c r="D121" s="16">
        <f t="shared" si="11"/>
        <v>1119.461</v>
      </c>
      <c r="E121" s="16">
        <f t="shared" si="11"/>
        <v>1205.013</v>
      </c>
      <c r="F121" s="16">
        <f t="shared" si="11"/>
        <v>1228.01</v>
      </c>
      <c r="G121" s="16">
        <f t="shared" si="11"/>
        <v>1292.9869999999999</v>
      </c>
      <c r="I121" s="61">
        <f t="shared" si="11"/>
        <v>1360.242</v>
      </c>
    </row>
    <row r="122" ht="15" customHeight="1">
      <c r="B122" s="3" t="s">
        <v>424</v>
      </c>
      <c r="I122" s="39"/>
    </row>
    <row r="123" ht="15" customHeight="1">
      <c r="B123" s="4" t="s">
        <v>401</v>
      </c>
      <c r="C123" s="17">
        <f t="shared" si="25"/>
        <v>0.23597414058610244</v>
      </c>
      <c r="D123" s="17">
        <f t="shared" si="25"/>
        <v>0.21340421626979733</v>
      </c>
      <c r="E123" s="17">
        <f t="shared" si="25"/>
        <v>0.17216942216942233</v>
      </c>
      <c r="F123" s="17">
        <f t="shared" si="25"/>
        <v>0.19846746824896955</v>
      </c>
      <c r="G123" s="17">
        <f t="shared" si="25"/>
        <v>0.15722086063008467</v>
      </c>
      <c r="H123" s="17">
        <f t="shared" si="25"/>
        <v>0.21268969947534933</v>
      </c>
      <c r="I123" s="43">
        <f t="shared" si="25"/>
        <v>0.13274999999999992</v>
      </c>
    </row>
    <row r="124" ht="28.5" customHeight="1">
      <c r="B124" s="4" t="s">
        <v>425</v>
      </c>
      <c r="D124" s="17">
        <f t="shared" si="13"/>
        <v>0.009562819659725719</v>
      </c>
      <c r="E124" s="17">
        <f t="shared" si="13"/>
        <v>-0.012216944858423728</v>
      </c>
      <c r="F124" s="17">
        <f t="shared" si="13"/>
        <v>0.01066338027582514</v>
      </c>
      <c r="G124" s="17">
        <f t="shared" si="13"/>
        <v>-0.015789548132371323</v>
      </c>
      <c r="I124" s="43">
        <f t="shared" si="13"/>
        <v>-0.015000000000000013</v>
      </c>
      <c r="J124" s="19" t="s">
        <v>426</v>
      </c>
    </row>
    <row r="125" ht="15" customHeight="1">
      <c r="B125" s="4" t="s">
        <v>427</v>
      </c>
      <c r="E125" s="51">
        <f t="shared" si="14"/>
        <v>-217.79764518149446</v>
      </c>
      <c r="F125" s="51">
        <f t="shared" si="14"/>
        <v>228.8032513424887</v>
      </c>
      <c r="G125" s="51">
        <f t="shared" si="14"/>
        <v>-264.52928408196465</v>
      </c>
      <c r="I125" s="52">
        <f t="shared" si="16"/>
        <v>7.895481323713094</v>
      </c>
    </row>
    <row r="126" ht="28.5" customHeight="1">
      <c r="B126" s="4" t="s">
        <v>135</v>
      </c>
      <c r="C126" s="53" t="s">
        <v>100</v>
      </c>
      <c r="D126" s="53" t="s">
        <v>100</v>
      </c>
      <c r="E126" s="53" t="s">
        <v>100</v>
      </c>
      <c r="F126" s="53" t="s">
        <v>100</v>
      </c>
      <c r="G126" s="53" t="s">
        <v>100</v>
      </c>
      <c r="H126" s="53" t="s">
        <v>100</v>
      </c>
      <c r="I126" s="54" t="s">
        <v>100</v>
      </c>
      <c r="J126" s="19" t="s">
        <v>428</v>
      </c>
    </row>
    <row r="127" ht="28.5" customHeight="1">
      <c r="B127" s="4" t="s">
        <v>429</v>
      </c>
      <c r="D127" s="17">
        <f t="shared" si="15"/>
        <v>0.20191056231525706</v>
      </c>
      <c r="E127" s="17">
        <f t="shared" si="15"/>
        <v>0.18666686583464265</v>
      </c>
      <c r="F127" s="17">
        <f t="shared" si="15"/>
        <v>0.18582259102124565</v>
      </c>
      <c r="G127" s="17">
        <f t="shared" si="15"/>
        <v>0.17578599011436324</v>
      </c>
      <c r="I127" s="43">
        <f t="shared" si="15"/>
        <v>0.1499999999999999</v>
      </c>
      <c r="J127" s="19" t="s">
        <v>430</v>
      </c>
    </row>
    <row r="128" ht="15" customHeight="1">
      <c r="B128" s="4" t="s">
        <v>427</v>
      </c>
      <c r="E128" s="51">
        <f t="shared" si="14"/>
        <v>-152.4369648061441</v>
      </c>
      <c r="F128" s="51">
        <f t="shared" si="14"/>
        <v>-8.442748133969946</v>
      </c>
      <c r="G128" s="51">
        <f t="shared" si="14"/>
        <v>-100.3660090688241</v>
      </c>
      <c r="I128" s="52">
        <f t="shared" si="16"/>
        <v>-257.85990114363335</v>
      </c>
    </row>
    <row r="129" ht="28.5" customHeight="1">
      <c r="B129" s="4" t="s">
        <v>136</v>
      </c>
      <c r="C129" s="53" t="s">
        <v>100</v>
      </c>
      <c r="D129" s="53" t="s">
        <v>100</v>
      </c>
      <c r="E129" s="53" t="s">
        <v>100</v>
      </c>
      <c r="F129" s="53" t="s">
        <v>100</v>
      </c>
      <c r="G129" s="53" t="s">
        <v>100</v>
      </c>
      <c r="H129" s="53" t="s">
        <v>100</v>
      </c>
      <c r="I129" s="54" t="s">
        <v>100</v>
      </c>
      <c r="J129" s="19" t="s">
        <v>431</v>
      </c>
    </row>
    <row r="130" ht="15" customHeight="1">
      <c r="B130" s="3" t="s">
        <v>432</v>
      </c>
      <c r="I130" s="39"/>
    </row>
    <row r="131" ht="28.5" customHeight="1">
      <c r="B131" s="4" t="s">
        <v>433</v>
      </c>
      <c r="I131" s="72">
        <v>0.15</v>
      </c>
      <c r="J131" s="19" t="s">
        <v>448</v>
      </c>
    </row>
    <row r="132" ht="15" customHeight="1">
      <c r="B132" s="4" t="s">
        <v>435</v>
      </c>
      <c r="I132" s="52">
        <f t="shared" si="26"/>
        <v>-257.8599011436325</v>
      </c>
    </row>
    <row r="133" ht="28.5" customHeight="1">
      <c r="B133" s="4" t="s">
        <v>436</v>
      </c>
      <c r="I133" s="72">
        <v>-0.015</v>
      </c>
      <c r="J133" s="19" t="s">
        <v>449</v>
      </c>
    </row>
    <row r="134" ht="15" customHeight="1">
      <c r="B134" s="4" t="s">
        <v>435</v>
      </c>
      <c r="I134" s="52">
        <f t="shared" si="27"/>
        <v>7.895481323713232</v>
      </c>
    </row>
    <row r="135" ht="15" customHeight="1">
      <c r="I135" s="39"/>
    </row>
    <row r="136" ht="15" customHeight="1">
      <c r="B136" s="3" t="s">
        <v>450</v>
      </c>
      <c r="I136" s="39"/>
    </row>
    <row r="137" ht="15" customHeight="1">
      <c r="B137" s="3" t="s">
        <v>451</v>
      </c>
      <c r="C137" s="56">
        <f t="shared" si="37" ref="C137:I137">C12+C56+C83+C110</f>
        <v>21621.967</v>
      </c>
      <c r="D137" s="56">
        <f t="shared" si="37"/>
        <v>11510.307</v>
      </c>
      <c r="E137" s="56">
        <f t="shared" si="37"/>
        <v>12050.762</v>
      </c>
      <c r="F137" s="56">
        <f t="shared" si="37"/>
        <v>12249.757000000001</v>
      </c>
      <c r="G137" s="56">
        <f t="shared" si="37"/>
        <v>12559.938000000002</v>
      </c>
      <c r="H137" s="56">
        <f t="shared" si="37"/>
        <v>45183.03600000001</v>
      </c>
      <c r="I137" s="57">
        <f t="shared" si="37"/>
        <v>12871.38726377</v>
      </c>
    </row>
    <row r="138" ht="15" customHeight="1">
      <c r="B138" s="4" t="s">
        <v>88</v>
      </c>
      <c r="C138" s="17">
        <f t="shared" si="38" ref="C138:I138">C137/C141-1</f>
        <v>0.1422214767759744</v>
      </c>
      <c r="D138" s="17">
        <f t="shared" si="38"/>
        <v>0.1715679344200025</v>
      </c>
      <c r="E138" s="17">
        <f t="shared" si="38"/>
        <v>0.1760841956673458</v>
      </c>
      <c r="F138" s="17">
        <f t="shared" si="38"/>
        <v>0.16190725785301296</v>
      </c>
      <c r="G138" s="17">
        <f t="shared" si="38"/>
        <v>0.13365374252899542</v>
      </c>
      <c r="H138" s="17">
        <f t="shared" si="38"/>
        <v>0.15851068919677536</v>
      </c>
      <c r="I138" s="43">
        <f t="shared" si="38"/>
        <v>0.1182488237516166</v>
      </c>
    </row>
    <row r="139" ht="15" customHeight="1">
      <c r="B139" s="4" t="s">
        <v>89</v>
      </c>
      <c r="D139" s="45">
        <f>D137-G141</f>
        <v>431.1409999999996</v>
      </c>
      <c r="E139" s="45">
        <f t="shared" si="1"/>
        <v>540.4549999999999</v>
      </c>
      <c r="F139" s="45">
        <f t="shared" si="1"/>
        <v>198.9950000000008</v>
      </c>
      <c r="G139" s="45">
        <f t="shared" si="1"/>
        <v>310.1810000000005</v>
      </c>
      <c r="I139" s="46">
        <f t="shared" si="18"/>
        <v>311.44926376999865</v>
      </c>
    </row>
    <row r="140" ht="15" customHeight="1">
      <c r="B140" s="4" t="s">
        <v>91</v>
      </c>
      <c r="C140" s="17">
        <f t="shared" si="39" ref="C140:I140">C137/C137</f>
        <v>1</v>
      </c>
      <c r="D140" s="17">
        <f t="shared" si="39"/>
        <v>1</v>
      </c>
      <c r="E140" s="17">
        <f t="shared" si="39"/>
        <v>1</v>
      </c>
      <c r="F140" s="17">
        <f t="shared" si="39"/>
        <v>1</v>
      </c>
      <c r="G140" s="17">
        <f t="shared" si="39"/>
        <v>1</v>
      </c>
      <c r="H140" s="17">
        <f t="shared" si="39"/>
        <v>1</v>
      </c>
      <c r="I140" s="43">
        <f t="shared" si="39"/>
        <v>1</v>
      </c>
    </row>
    <row r="141" ht="15" customHeight="1">
      <c r="B141" s="9" t="s">
        <v>87</v>
      </c>
      <c r="C141" s="16">
        <f t="shared" si="40" ref="C141:I146">C35+C62+C89+C116</f>
        <v>18929.75</v>
      </c>
      <c r="D141" s="16">
        <f t="shared" si="40"/>
        <v>9824.703</v>
      </c>
      <c r="E141" s="16">
        <f t="shared" si="40"/>
        <v>10246.512999999999</v>
      </c>
      <c r="F141" s="16">
        <f t="shared" si="40"/>
        <v>10542.801</v>
      </c>
      <c r="G141" s="16">
        <f t="shared" si="40"/>
        <v>11079.166000000001</v>
      </c>
      <c r="H141" s="16">
        <f t="shared" si="40"/>
        <v>39000.966</v>
      </c>
      <c r="I141" s="61">
        <f t="shared" si="40"/>
        <v>11510.307</v>
      </c>
    </row>
    <row r="142" ht="15" customHeight="1">
      <c r="B142" s="9" t="s">
        <v>418</v>
      </c>
      <c r="D142" s="16">
        <f t="shared" si="40"/>
        <v>-158.853</v>
      </c>
      <c r="E142" s="16">
        <f t="shared" si="40"/>
        <v>-167.726</v>
      </c>
      <c r="F142" s="16">
        <f t="shared" si="40"/>
        <v>-540.512</v>
      </c>
      <c r="G142" s="16">
        <f t="shared" si="40"/>
        <v>-174.187</v>
      </c>
      <c r="I142" s="61">
        <f t="shared" si="40"/>
        <v>37.089396230000375</v>
      </c>
    </row>
    <row r="143" ht="15" customHeight="1">
      <c r="B143" s="9" t="s">
        <v>420</v>
      </c>
      <c r="D143" s="16">
        <f t="shared" si="40"/>
        <v>129.365</v>
      </c>
      <c r="E143" s="16">
        <f t="shared" si="40"/>
        <v>89.18900000000001</v>
      </c>
      <c r="F143" s="16">
        <f t="shared" si="40"/>
        <v>132.517</v>
      </c>
      <c r="G143" s="16">
        <f t="shared" si="40"/>
        <v>47.63</v>
      </c>
      <c r="I143" s="39"/>
    </row>
    <row r="144" ht="15" customHeight="1">
      <c r="B144" s="3" t="s">
        <v>107</v>
      </c>
      <c r="C144" s="55"/>
      <c r="D144" s="56">
        <f t="shared" si="40"/>
        <v>11480.819</v>
      </c>
      <c r="E144" s="56">
        <f t="shared" si="40"/>
        <v>11972.225</v>
      </c>
      <c r="F144" s="56">
        <f t="shared" si="40"/>
        <v>11841.761999999999</v>
      </c>
      <c r="G144" s="56">
        <f t="shared" si="40"/>
        <v>12433.381</v>
      </c>
      <c r="H144" s="55"/>
      <c r="I144" s="57">
        <f t="shared" si="40"/>
        <v>12908.47666</v>
      </c>
    </row>
    <row r="145" ht="15" customHeight="1">
      <c r="B145" s="9" t="s">
        <v>422</v>
      </c>
      <c r="D145" s="16">
        <f t="shared" si="40"/>
        <v>-48.184000000000005</v>
      </c>
      <c r="E145" s="16">
        <f t="shared" si="40"/>
        <v>-53.766999999999996</v>
      </c>
      <c r="F145" s="16">
        <f t="shared" si="40"/>
        <v>-164.796</v>
      </c>
      <c r="G145" s="16">
        <f t="shared" si="40"/>
        <v>37.385000000000005</v>
      </c>
      <c r="I145" s="61">
        <f t="shared" si="40"/>
        <v>129.365</v>
      </c>
    </row>
    <row r="146" ht="15" customHeight="1">
      <c r="B146" s="9" t="s">
        <v>423</v>
      </c>
      <c r="D146" s="16">
        <f t="shared" si="40"/>
        <v>9776.518999999998</v>
      </c>
      <c r="E146" s="16">
        <f t="shared" si="40"/>
        <v>10192.746</v>
      </c>
      <c r="F146" s="16">
        <f t="shared" si="40"/>
        <v>10378.005000000001</v>
      </c>
      <c r="G146" s="16">
        <f t="shared" si="40"/>
        <v>11116.551</v>
      </c>
      <c r="I146" s="61">
        <f t="shared" si="40"/>
        <v>11639.672</v>
      </c>
    </row>
    <row r="147" ht="15" customHeight="1">
      <c r="B147" s="4" t="s">
        <v>401</v>
      </c>
      <c r="C147" s="17">
        <f t="shared" si="41" ref="C147:I147">C138</f>
        <v>0.1422214767759744</v>
      </c>
      <c r="D147" s="17">
        <f t="shared" si="41"/>
        <v>0.1715679344200025</v>
      </c>
      <c r="E147" s="17">
        <f t="shared" si="41"/>
        <v>0.1760841956673458</v>
      </c>
      <c r="F147" s="17">
        <f t="shared" si="41"/>
        <v>0.16190725785301296</v>
      </c>
      <c r="G147" s="17">
        <f t="shared" si="41"/>
        <v>0.13365374252899542</v>
      </c>
      <c r="H147" s="17">
        <f t="shared" si="41"/>
        <v>0.15851068919677536</v>
      </c>
      <c r="I147" s="43">
        <f t="shared" si="41"/>
        <v>0.1182488237516166</v>
      </c>
    </row>
    <row r="148" ht="15" customHeight="1">
      <c r="B148" s="4" t="s">
        <v>425</v>
      </c>
      <c r="D148" s="17">
        <f t="shared" si="13"/>
        <v>-0.0023485109687813033</v>
      </c>
      <c r="E148" s="17">
        <f t="shared" si="13"/>
        <v>0.0012781651741056166</v>
      </c>
      <c r="F148" s="17">
        <f t="shared" si="13"/>
        <v>0.018284215772522705</v>
      </c>
      <c r="G148" s="17">
        <f t="shared" si="13"/>
        <v>0.01358750650080176</v>
      </c>
      <c r="I148" s="43">
        <f t="shared" si="13"/>
        <v>0.00833350562487123</v>
      </c>
    </row>
    <row r="149" ht="15" customHeight="1">
      <c r="B149" s="4" t="s">
        <v>427</v>
      </c>
      <c r="E149" s="51">
        <f t="shared" si="14"/>
        <v>36.2667614288692</v>
      </c>
      <c r="F149" s="51">
        <f t="shared" si="14"/>
        <v>170.06050598417087</v>
      </c>
      <c r="G149" s="51">
        <f t="shared" si="14"/>
        <v>-46.96709271720945</v>
      </c>
      <c r="I149" s="52">
        <f t="shared" si="16"/>
        <v>-52.54000875930531</v>
      </c>
    </row>
    <row r="150" ht="15" customHeight="1">
      <c r="B150" s="4" t="s">
        <v>135</v>
      </c>
      <c r="C150" s="53" t="s">
        <v>100</v>
      </c>
      <c r="D150" s="53" t="s">
        <v>100</v>
      </c>
      <c r="E150" s="53" t="s">
        <v>100</v>
      </c>
      <c r="F150" s="53" t="s">
        <v>100</v>
      </c>
      <c r="G150" s="53" t="s">
        <v>100</v>
      </c>
      <c r="H150" s="53" t="s">
        <v>100</v>
      </c>
      <c r="I150" s="54" t="s">
        <v>100</v>
      </c>
      <c r="J150" s="28" t="s">
        <v>404</v>
      </c>
    </row>
    <row r="151" ht="15" customHeight="1">
      <c r="B151" s="4" t="s">
        <v>429</v>
      </c>
      <c r="D151" s="17">
        <f t="shared" si="42" ref="D151:I151">D144/D146-1</f>
        <v>0.17432585156332236</v>
      </c>
      <c r="E151" s="17">
        <f t="shared" si="42"/>
        <v>0.1745828847299835</v>
      </c>
      <c r="F151" s="17">
        <f t="shared" si="42"/>
        <v>0.1410441602215453</v>
      </c>
      <c r="G151" s="17">
        <f t="shared" si="42"/>
        <v>0.11845670478190584</v>
      </c>
      <c r="I151" s="43">
        <f t="shared" si="42"/>
        <v>0.10900690844209349</v>
      </c>
      <c r="J151" s="28" t="s">
        <v>452</v>
      </c>
    </row>
    <row r="152" ht="15" customHeight="1">
      <c r="B152" s="4" t="s">
        <v>427</v>
      </c>
      <c r="E152" s="51">
        <f t="shared" si="14"/>
        <v>2.5703316666114695</v>
      </c>
      <c r="F152" s="51">
        <f t="shared" si="14"/>
        <v>-335.387245084382</v>
      </c>
      <c r="G152" s="51">
        <f t="shared" si="14"/>
        <v>-225.8745543963947</v>
      </c>
      <c r="I152" s="52">
        <f t="shared" si="16"/>
        <v>-94.49796339812355</v>
      </c>
    </row>
    <row r="153" ht="15" customHeight="1">
      <c r="B153" s="4" t="s">
        <v>136</v>
      </c>
      <c r="C153" s="53" t="s">
        <v>100</v>
      </c>
      <c r="D153" s="53" t="s">
        <v>100</v>
      </c>
      <c r="E153" s="53" t="s">
        <v>100</v>
      </c>
      <c r="F153" s="53" t="s">
        <v>100</v>
      </c>
      <c r="G153" s="53" t="s">
        <v>100</v>
      </c>
      <c r="H153" s="53" t="s">
        <v>100</v>
      </c>
      <c r="I153" s="54" t="s">
        <v>100</v>
      </c>
      <c r="J153" s="28" t="s">
        <v>453</v>
      </c>
    </row>
    <row r="154" ht="15" customHeight="1">
      <c r="I154" s="39"/>
    </row>
    <row r="155" ht="41.25" customHeight="1">
      <c r="B155" s="3" t="s">
        <v>454</v>
      </c>
      <c r="C155" s="76">
        <f>ROUND(C137-'Income Statement'!C10,3)</f>
        <v>0</v>
      </c>
      <c r="D155" s="76">
        <f>ROUND(D137-'Income Statement'!D10,3)</f>
        <v>0</v>
      </c>
      <c r="E155" s="76">
        <f>ROUND(E137-'Income Statement'!E10,3)</f>
        <v>0</v>
      </c>
      <c r="F155" s="76">
        <f>ROUND(F137-'Income Statement'!F10,3)</f>
        <v>0</v>
      </c>
      <c r="G155" s="76">
        <f>ROUND(G137-'Income Statement'!G10,3)</f>
        <v>0</v>
      </c>
      <c r="H155" s="76">
        <f>ROUND(H137-'Income Statement'!H10,3)</f>
        <v>0</v>
      </c>
      <c r="I155" s="77">
        <f>ROUND(I137-'Income Statement'!I10,3)</f>
        <v>0</v>
      </c>
      <c r="J155" s="19" t="s">
        <v>455</v>
      </c>
    </row>
    <row r="156" ht="15" customHeight="1">
      <c r="I156" s="39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204D2DD-FE2C-EFA8-0918-62DB4B3B2C19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456</v>
      </c>
    </row>
    <row r="4" ht="15" customHeight="1">
      <c r="B4" s="4" t="s">
        <v>3</v>
      </c>
    </row>
    <row r="5" ht="15" customHeight="1">
      <c r="B5" s="5" t="s">
        <v>74</v>
      </c>
      <c r="C5" s="7" t="s">
        <v>75</v>
      </c>
      <c r="D5" s="7" t="s">
        <v>76</v>
      </c>
      <c r="E5" s="7" t="s">
        <v>77</v>
      </c>
      <c r="F5" s="7" t="s">
        <v>78</v>
      </c>
      <c r="G5" s="7" t="s">
        <v>79</v>
      </c>
      <c r="H5" s="7" t="s">
        <v>80</v>
      </c>
      <c r="I5" s="7" t="s">
        <v>81</v>
      </c>
      <c r="J5" s="5" t="s">
        <v>6</v>
      </c>
    </row>
    <row r="6" ht="15" customHeight="1">
      <c r="B6" s="33" t="s">
        <v>82</v>
      </c>
      <c r="C6" s="34">
        <v>45838</v>
      </c>
      <c r="D6" s="34">
        <v>45930</v>
      </c>
      <c r="E6" s="34">
        <v>46022</v>
      </c>
      <c r="F6" s="34">
        <v>46112</v>
      </c>
      <c r="G6" s="34">
        <v>46203</v>
      </c>
      <c r="H6" s="34">
        <v>46022</v>
      </c>
      <c r="I6" s="34">
        <v>46295</v>
      </c>
      <c r="J6" s="35"/>
    </row>
    <row r="7" ht="15" customHeight="1">
      <c r="B7" s="36" t="s">
        <v>83</v>
      </c>
      <c r="C7" s="37">
        <v>181</v>
      </c>
      <c r="D7" s="37">
        <v>92</v>
      </c>
      <c r="E7" s="37">
        <v>92</v>
      </c>
      <c r="F7" s="37">
        <v>90</v>
      </c>
      <c r="G7" s="37">
        <v>91</v>
      </c>
      <c r="H7" s="37">
        <v>365</v>
      </c>
      <c r="I7" s="37">
        <v>92</v>
      </c>
      <c r="J7" s="38"/>
    </row>
    <row r="9" ht="15" customHeight="1">
      <c r="B9" s="3" t="s">
        <v>457</v>
      </c>
      <c r="I9" s="39"/>
    </row>
    <row r="10" ht="15" customHeight="1">
      <c r="B10" s="9" t="s">
        <v>458</v>
      </c>
      <c r="E10" s="16">
        <f t="shared" si="0" ref="E10:G10">D18</f>
        <v>4237.32334</v>
      </c>
      <c r="F10" s="16">
        <f t="shared" si="0"/>
        <v>4222.16215</v>
      </c>
      <c r="G10" s="16">
        <f t="shared" si="0"/>
        <v>4212.794271</v>
      </c>
      <c r="I10" s="61">
        <f>G18</f>
        <v>4163.939676</v>
      </c>
    </row>
    <row r="11" ht="54" customHeight="1">
      <c r="B11" s="9" t="s">
        <v>459</v>
      </c>
      <c r="C11" s="16">
        <f>D15-D11</f>
        <v>52.38736</v>
      </c>
      <c r="D11" s="26">
        <v>15.26661</v>
      </c>
      <c r="E11" s="16">
        <f>E15-D15</f>
        <v>18.882244999999998</v>
      </c>
      <c r="F11" s="26">
        <v>13.497098</v>
      </c>
      <c r="G11" s="26">
        <v>52.934688</v>
      </c>
      <c r="H11" s="16">
        <f>C11+D11+E11</f>
        <v>86.536215</v>
      </c>
      <c r="I11" s="61">
        <f>I23/I26</f>
        <v>40.54054054054054</v>
      </c>
      <c r="J11" s="19" t="s">
        <v>460</v>
      </c>
    </row>
    <row r="12" ht="28.5" customHeight="1">
      <c r="B12" s="4" t="s">
        <v>142</v>
      </c>
      <c r="C12" s="17" t="s">
        <v>100</v>
      </c>
      <c r="D12" s="17" t="s">
        <v>100</v>
      </c>
      <c r="E12" s="17" t="s">
        <v>100</v>
      </c>
      <c r="F12" s="17" t="s">
        <v>100</v>
      </c>
      <c r="G12" s="17" t="s">
        <v>100</v>
      </c>
      <c r="H12" s="17" t="s">
        <v>100</v>
      </c>
      <c r="I12" s="43">
        <f t="shared" si="7" ref="I12:I33">I11/D11-1</f>
        <v>1.6555037785428817</v>
      </c>
      <c r="J12" s="19" t="s">
        <v>461</v>
      </c>
    </row>
    <row r="13" ht="15" customHeight="1">
      <c r="B13" s="4" t="s">
        <v>462</v>
      </c>
      <c r="E13" s="45">
        <f t="shared" si="1" ref="E13:G37">E11-D11</f>
        <v>3.6156349999999975</v>
      </c>
      <c r="F13" s="45">
        <f t="shared" si="1"/>
        <v>-5.385146999999998</v>
      </c>
      <c r="G13" s="45">
        <f t="shared" si="1"/>
        <v>39.43759</v>
      </c>
      <c r="I13" s="46">
        <f t="shared" si="5" ref="I13:I37">I11-G11</f>
        <v>-12.394147459459461</v>
      </c>
    </row>
    <row r="14" ht="28.5" customHeight="1">
      <c r="B14" s="9" t="s">
        <v>463</v>
      </c>
      <c r="E14" s="16">
        <f t="shared" si="2" ref="E14:G14">E18-E10+E11</f>
        <v>3.7210550000001916</v>
      </c>
      <c r="F14" s="16">
        <f t="shared" si="2"/>
        <v>4.129218999999642</v>
      </c>
      <c r="G14" s="16">
        <f t="shared" si="2"/>
        <v>4.080093000000211</v>
      </c>
      <c r="I14" s="67">
        <v>2</v>
      </c>
      <c r="J14" s="19" t="s">
        <v>464</v>
      </c>
    </row>
    <row r="15" ht="15" customHeight="1">
      <c r="B15" s="9" t="s">
        <v>465</v>
      </c>
      <c r="C15" s="55"/>
      <c r="D15" s="26">
        <v>67.65397</v>
      </c>
      <c r="E15" s="26">
        <v>86.536215</v>
      </c>
      <c r="I15" s="39"/>
      <c r="J15" s="28" t="s">
        <v>466</v>
      </c>
    </row>
    <row r="16" ht="28.5" customHeight="1">
      <c r="B16" s="4" t="s">
        <v>467</v>
      </c>
      <c r="C16" s="45" t="s">
        <v>100</v>
      </c>
      <c r="D16" s="45" t="s">
        <v>100</v>
      </c>
      <c r="E16" s="45" t="s">
        <v>100</v>
      </c>
      <c r="F16" s="45" t="s">
        <v>100</v>
      </c>
      <c r="G16" s="45" t="s">
        <v>100</v>
      </c>
      <c r="H16" s="45" t="s">
        <v>100</v>
      </c>
      <c r="I16" s="46" t="s">
        <v>100</v>
      </c>
      <c r="J16" s="19" t="s">
        <v>468</v>
      </c>
    </row>
    <row r="17" ht="15" customHeight="1">
      <c r="B17" s="4" t="s">
        <v>462</v>
      </c>
      <c r="F17" s="45">
        <f t="shared" si="3" ref="F17:G17">F14-E14</f>
        <v>0.4081639999994504</v>
      </c>
      <c r="G17" s="45">
        <f t="shared" si="3"/>
        <v>-0.0491259999994309</v>
      </c>
      <c r="I17" s="46">
        <f>I14-G14</f>
        <v>-2.080093000000211</v>
      </c>
    </row>
    <row r="18" ht="15" customHeight="1">
      <c r="B18" s="3" t="s">
        <v>469</v>
      </c>
      <c r="C18" s="55"/>
      <c r="D18" s="66">
        <v>4237.32334</v>
      </c>
      <c r="E18" s="66">
        <v>4222.16215</v>
      </c>
      <c r="F18" s="66">
        <v>4212.794271</v>
      </c>
      <c r="G18" s="66">
        <v>4163.939676</v>
      </c>
      <c r="H18" s="56">
        <f>E18</f>
        <v>4222.16215</v>
      </c>
      <c r="I18" s="57">
        <f>I10-I11+I14</f>
        <v>4125.399135459459</v>
      </c>
    </row>
    <row r="19" ht="15" customHeight="1">
      <c r="B19" s="4" t="s">
        <v>191</v>
      </c>
      <c r="E19" s="45">
        <f t="shared" si="4" ref="E19:G39">E18-D18</f>
        <v>-15.161189999999806</v>
      </c>
      <c r="F19" s="45">
        <f t="shared" si="4"/>
        <v>-9.367879000000357</v>
      </c>
      <c r="G19" s="45">
        <f t="shared" si="4"/>
        <v>-48.85459499999979</v>
      </c>
      <c r="I19" s="46">
        <f t="shared" si="9" ref="I19:I39">I18-G18</f>
        <v>-38.54054054054086</v>
      </c>
    </row>
    <row r="20" ht="15" customHeight="1">
      <c r="B20" s="9" t="s">
        <v>470</v>
      </c>
      <c r="D20" s="26">
        <v>327.60541</v>
      </c>
      <c r="E20" s="26">
        <v>346.541145</v>
      </c>
      <c r="G20" s="26">
        <v>413.373678</v>
      </c>
      <c r="I20" s="39"/>
    </row>
    <row r="21" ht="15" customHeight="1">
      <c r="I21" s="39"/>
    </row>
    <row r="22" ht="15" customHeight="1">
      <c r="B22" s="3" t="s">
        <v>471</v>
      </c>
      <c r="I22" s="39"/>
    </row>
    <row r="23" ht="28.5" customHeight="1">
      <c r="B23" s="9" t="s">
        <v>472</v>
      </c>
      <c r="C23" s="15">
        <f>-'Cash Flow Statement'!C82</f>
        <v>5190.723</v>
      </c>
      <c r="D23" s="15">
        <f>-'Cash Flow Statement'!D82</f>
        <v>1856.885</v>
      </c>
      <c r="E23" s="15">
        <f>-'Cash Flow Statement'!E82</f>
        <v>2079.559</v>
      </c>
      <c r="F23" s="15">
        <f>-'Cash Flow Statement'!F82</f>
        <v>1270.588</v>
      </c>
      <c r="G23" s="15">
        <f>-'Cash Flow Statement'!G82</f>
        <v>4714.403</v>
      </c>
      <c r="H23" s="15">
        <f>-'Cash Flow Statement'!H82</f>
        <v>9127.167000000001</v>
      </c>
      <c r="I23" s="67">
        <v>3000</v>
      </c>
      <c r="J23" s="19" t="s">
        <v>473</v>
      </c>
    </row>
    <row r="24" ht="15" customHeight="1">
      <c r="B24" s="4" t="s">
        <v>88</v>
      </c>
      <c r="D24" s="47">
        <f>D23/-'Cash Flow Statement'!D122-1</f>
        <v>0.09228529411764708</v>
      </c>
      <c r="E24" s="47">
        <f>E23/-'Cash Flow Statement'!E122-1</f>
        <v>1.1577829474094887</v>
      </c>
      <c r="F24" s="47">
        <f>F23/-'Cash Flow Statement'!F122-1</f>
        <v>-0.6407110515903762</v>
      </c>
      <c r="G24" s="47">
        <f>G23/-'Cash Flow Statement'!G122-1</f>
        <v>1.8497407102707024</v>
      </c>
      <c r="H24" s="47">
        <f>H23/-'Cash Flow Statement'!H122-1</f>
        <v>0.45714194030217725</v>
      </c>
      <c r="I24" s="50">
        <f>I23/-'Cash Flow Statement'!I122-1</f>
        <v>0.615608936471564</v>
      </c>
    </row>
    <row r="25" ht="15" customHeight="1">
      <c r="B25" s="4" t="s">
        <v>89</v>
      </c>
      <c r="D25" s="45">
        <f>D23+'Cash Flow Statement'!G122</f>
        <v>202.558</v>
      </c>
      <c r="E25" s="45">
        <f t="shared" si="1"/>
        <v>222.6740000000002</v>
      </c>
      <c r="F25" s="45">
        <f t="shared" si="1"/>
        <v>-808.9710000000002</v>
      </c>
      <c r="G25" s="45">
        <f t="shared" si="1"/>
        <v>3443.8150000000005</v>
      </c>
      <c r="I25" s="46">
        <f t="shared" si="5"/>
        <v>-1714.4030000000002</v>
      </c>
    </row>
    <row r="26" ht="28.5" customHeight="1">
      <c r="B26" s="9" t="s">
        <v>474</v>
      </c>
      <c r="D26" s="22">
        <f t="shared" si="6" ref="D26:G26">D23/D11</f>
        <v>121.63047330088344</v>
      </c>
      <c r="E26" s="22">
        <f t="shared" si="6"/>
        <v>110.1330376763992</v>
      </c>
      <c r="F26" s="22">
        <f t="shared" si="6"/>
        <v>94.1378657841856</v>
      </c>
      <c r="G26" s="22">
        <f t="shared" si="6"/>
        <v>89.06074972993135</v>
      </c>
      <c r="I26" s="79">
        <v>74</v>
      </c>
      <c r="J26" s="19" t="s">
        <v>475</v>
      </c>
    </row>
    <row r="27" ht="28.5" customHeight="1">
      <c r="B27" s="4" t="s">
        <v>88</v>
      </c>
      <c r="C27" s="17" t="s">
        <v>100</v>
      </c>
      <c r="D27" s="17" t="s">
        <v>100</v>
      </c>
      <c r="E27" s="17" t="s">
        <v>100</v>
      </c>
      <c r="F27" s="17" t="s">
        <v>100</v>
      </c>
      <c r="G27" s="17" t="s">
        <v>100</v>
      </c>
      <c r="H27" s="17" t="s">
        <v>100</v>
      </c>
      <c r="I27" s="43">
        <f t="shared" si="7"/>
        <v>-0.39159983520788855</v>
      </c>
      <c r="J27" s="19" t="s">
        <v>476</v>
      </c>
    </row>
    <row r="28" ht="15" customHeight="1">
      <c r="B28" s="4" t="s">
        <v>194</v>
      </c>
      <c r="E28" s="64">
        <f t="shared" si="1"/>
        <v>-11.49743562448424</v>
      </c>
      <c r="F28" s="64">
        <f t="shared" si="1"/>
        <v>-15.995171892213591</v>
      </c>
      <c r="G28" s="64">
        <f t="shared" si="1"/>
        <v>-5.077116054254262</v>
      </c>
      <c r="I28" s="65">
        <f t="shared" si="5"/>
        <v>-15.060749729931345</v>
      </c>
    </row>
    <row r="29" ht="15" customHeight="1">
      <c r="B29" s="9" t="s">
        <v>477</v>
      </c>
      <c r="C29" s="15">
        <f>'Cash Flow Statement'!C79</f>
        <v>520.668</v>
      </c>
      <c r="D29" s="15">
        <f>'Cash Flow Statement'!D79</f>
        <v>70.215</v>
      </c>
      <c r="E29" s="15">
        <f>'Cash Flow Statement'!E79</f>
        <v>76.082</v>
      </c>
      <c r="F29" s="15">
        <f>'Cash Flow Statement'!F79</f>
        <v>49.31</v>
      </c>
      <c r="G29" s="15">
        <f>'Cash Flow Statement'!G79</f>
        <v>59.98</v>
      </c>
      <c r="H29" s="15">
        <f>'Cash Flow Statement'!H79</f>
        <v>666.965</v>
      </c>
      <c r="I29" s="42">
        <f>'Cash Flow Statement'!I79</f>
        <v>60</v>
      </c>
    </row>
    <row r="30" ht="15" customHeight="1">
      <c r="I30" s="39"/>
    </row>
    <row r="31" ht="15" customHeight="1">
      <c r="B31" s="3" t="s">
        <v>478</v>
      </c>
      <c r="I31" s="39"/>
    </row>
    <row r="32" ht="28.5" customHeight="1">
      <c r="B32" s="9" t="s">
        <v>479</v>
      </c>
      <c r="C32" s="26">
        <v>4262.347</v>
      </c>
      <c r="D32" s="26">
        <v>4244.553</v>
      </c>
      <c r="E32" s="26">
        <v>4229.221</v>
      </c>
      <c r="F32" s="26">
        <v>4222.787</v>
      </c>
      <c r="G32" s="26">
        <v>4189.303</v>
      </c>
      <c r="H32" s="26">
        <v>4249.512</v>
      </c>
      <c r="I32" s="61">
        <f>G18-I11*I40+I14*I40</f>
        <v>4144.66940572973</v>
      </c>
      <c r="J32" s="19" t="s">
        <v>480</v>
      </c>
    </row>
    <row r="33" ht="28.5" customHeight="1">
      <c r="B33" s="4" t="s">
        <v>88</v>
      </c>
      <c r="D33" s="47">
        <f>D32/'Income Statement'!D129-1</f>
        <v>-0.008835486725870423</v>
      </c>
      <c r="E33" s="47">
        <f>E32/'Income Statement'!E129-1</f>
        <v>-0.01120790693074536</v>
      </c>
      <c r="F33" s="47">
        <f>F32/'Income Statement'!F129-1</f>
        <v>-0.011680683971123429</v>
      </c>
      <c r="G33" s="47">
        <f>G32/'Income Statement'!G129-1</f>
        <v>-0.01477124779403749</v>
      </c>
      <c r="H33" s="47">
        <f>H32/'Income Statement'!H129-1</f>
        <v>-0.010634917050254544</v>
      </c>
      <c r="I33" s="43">
        <f t="shared" si="7"/>
        <v>-0.023532182133258805</v>
      </c>
      <c r="J33" s="19" t="s">
        <v>481</v>
      </c>
    </row>
    <row r="34" ht="15" customHeight="1">
      <c r="B34" s="4" t="s">
        <v>191</v>
      </c>
      <c r="D34" s="45">
        <f>D32-'Income Statement'!G129</f>
        <v>-7.5590000000001965</v>
      </c>
      <c r="E34" s="45">
        <f t="shared" si="1"/>
        <v>-15.332000000000335</v>
      </c>
      <c r="F34" s="45">
        <f t="shared" si="1"/>
        <v>-6.433999999999287</v>
      </c>
      <c r="G34" s="45">
        <f t="shared" si="1"/>
        <v>-33.48400000000038</v>
      </c>
      <c r="I34" s="46">
        <f t="shared" si="5"/>
        <v>-44.633594270269896</v>
      </c>
    </row>
    <row r="35" ht="28.5" customHeight="1">
      <c r="B35" s="9" t="s">
        <v>482</v>
      </c>
      <c r="C35" s="16">
        <f t="shared" si="8" ref="C35:H35">C38-C32</f>
        <v>96.82000000000062</v>
      </c>
      <c r="D35" s="16">
        <f t="shared" si="8"/>
        <v>95.83899999999994</v>
      </c>
      <c r="E35" s="16">
        <f t="shared" si="8"/>
        <v>87.92300000000068</v>
      </c>
      <c r="F35" s="16">
        <f t="shared" si="8"/>
        <v>75.64999999999964</v>
      </c>
      <c r="G35" s="16">
        <f t="shared" si="8"/>
        <v>71.9970000000003</v>
      </c>
      <c r="H35" s="16">
        <f t="shared" si="8"/>
        <v>94.35100000000057</v>
      </c>
      <c r="I35" s="61">
        <f>I46+I47</f>
        <v>62.99579551851352</v>
      </c>
      <c r="J35" s="19" t="s">
        <v>483</v>
      </c>
    </row>
    <row r="36" ht="28.5" customHeight="1">
      <c r="B36" s="4" t="s">
        <v>484</v>
      </c>
      <c r="D36" s="44">
        <f>D35-('Income Statement'!D127-'Income Statement'!D129)</f>
        <v>-0.7509999999992942</v>
      </c>
      <c r="E36" s="44">
        <f>E35-('Income Statement'!E127-'Income Statement'!E129)</f>
        <v>-12.778999999999542</v>
      </c>
      <c r="F36" s="44">
        <f>F35-('Income Statement'!F127-'Income Statement'!F129)</f>
        <v>-21.278000000000247</v>
      </c>
      <c r="G36" s="44">
        <f>G35-('Income Statement'!G127-'Income Statement'!G129)</f>
        <v>-24.71599999999944</v>
      </c>
      <c r="H36" s="44">
        <f>H35-('Income Statement'!H127-'Income Statement'!H129)</f>
        <v>-3.0659999999998035</v>
      </c>
      <c r="I36" s="80">
        <f>I35-('Income Statement'!I127-'Income Statement'!I129)</f>
        <v>-32.843204481486424</v>
      </c>
      <c r="J36" s="19" t="s">
        <v>485</v>
      </c>
    </row>
    <row r="37" ht="15" customHeight="1">
      <c r="B37" s="4" t="s">
        <v>191</v>
      </c>
      <c r="D37" s="45">
        <f>D35-('Income Statement'!G127-'Income Statement'!G129)</f>
        <v>-0.8739999999997963</v>
      </c>
      <c r="E37" s="45">
        <f t="shared" si="1"/>
        <v>-7.915999999999258</v>
      </c>
      <c r="F37" s="45">
        <f t="shared" si="1"/>
        <v>-12.273000000001048</v>
      </c>
      <c r="G37" s="45">
        <f t="shared" si="1"/>
        <v>-3.652999999999338</v>
      </c>
      <c r="I37" s="46">
        <f t="shared" si="5"/>
        <v>-9.00120448148678</v>
      </c>
    </row>
    <row r="38" ht="15" customHeight="1">
      <c r="B38" s="3" t="s">
        <v>486</v>
      </c>
      <c r="C38" s="66">
        <v>4359.167</v>
      </c>
      <c r="D38" s="66">
        <v>4340.392</v>
      </c>
      <c r="E38" s="66">
        <v>4317.144</v>
      </c>
      <c r="F38" s="66">
        <v>4298.437</v>
      </c>
      <c r="G38" s="66">
        <v>4261.3</v>
      </c>
      <c r="H38" s="66">
        <v>4343.863</v>
      </c>
      <c r="I38" s="57">
        <f>I32+I35</f>
        <v>4207.665201248244</v>
      </c>
    </row>
    <row r="39" ht="15" customHeight="1">
      <c r="B39" s="4" t="s">
        <v>191</v>
      </c>
      <c r="D39" s="45">
        <f>D38-'Income Statement'!G127</f>
        <v>-8.432999999999993</v>
      </c>
      <c r="E39" s="45">
        <f t="shared" si="4"/>
        <v>-23.247999999999593</v>
      </c>
      <c r="F39" s="45">
        <f t="shared" si="4"/>
        <v>-18.707000000000335</v>
      </c>
      <c r="G39" s="45">
        <f t="shared" si="4"/>
        <v>-37.136999999999716</v>
      </c>
      <c r="I39" s="46">
        <f t="shared" si="9"/>
        <v>-53.634798751756534</v>
      </c>
    </row>
    <row r="40" ht="15" customHeight="1">
      <c r="B40" s="4" t="s">
        <v>487</v>
      </c>
      <c r="I40" s="72">
        <v>0.5</v>
      </c>
      <c r="J40" s="28" t="s">
        <v>488</v>
      </c>
    </row>
    <row r="41" ht="15" customHeight="1">
      <c r="I41" s="39"/>
    </row>
    <row r="42" ht="15" customHeight="1">
      <c r="B42" s="3" t="s">
        <v>489</v>
      </c>
      <c r="I42" s="39"/>
    </row>
    <row r="43" ht="15" customHeight="1">
      <c r="B43" s="3" t="s">
        <v>490</v>
      </c>
      <c r="C43" s="55"/>
      <c r="D43" s="55"/>
      <c r="E43" s="55"/>
      <c r="F43" s="55"/>
      <c r="G43" s="55"/>
      <c r="H43" s="55"/>
      <c r="I43" s="57">
        <f>I38</f>
        <v>4207.665201248244</v>
      </c>
    </row>
    <row r="44" ht="15" customHeight="1">
      <c r="B44" s="9" t="s">
        <v>491</v>
      </c>
      <c r="G44" s="26">
        <v>123.891603</v>
      </c>
      <c r="I44" s="39"/>
    </row>
    <row r="45" ht="15" customHeight="1">
      <c r="B45" s="9" t="s">
        <v>492</v>
      </c>
      <c r="G45" s="31">
        <v>39.21</v>
      </c>
      <c r="I45" s="39"/>
    </row>
    <row r="46" ht="15" customHeight="1">
      <c r="B46" s="9" t="s">
        <v>493</v>
      </c>
      <c r="I46" s="61">
        <f>G44*(1-G45/I26)</f>
        <v>58.24579551851352</v>
      </c>
    </row>
    <row r="47" ht="66.75" customHeight="1">
      <c r="B47" s="9" t="s">
        <v>494</v>
      </c>
      <c r="I47" s="67">
        <v>4.75</v>
      </c>
      <c r="J47" s="19" t="s">
        <v>495</v>
      </c>
    </row>
    <row r="48" ht="15" customHeight="1">
      <c r="I48" s="39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1CE957B-CF08-ACE8-1E48-4556FE4CF664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496</v>
      </c>
    </row>
    <row r="4" ht="15" customHeight="1">
      <c r="B4" s="4" t="s">
        <v>3</v>
      </c>
    </row>
    <row r="6" ht="15" customHeight="1">
      <c r="J6" s="9"/>
    </row>
    <row r="7" ht="15" customHeight="1">
      <c r="J7" s="9"/>
    </row>
    <row r="9" ht="15" customHeight="1">
      <c r="B9" s="3" t="s">
        <v>497</v>
      </c>
    </row>
    <row r="10" ht="28.5" customHeight="1">
      <c r="B10" s="13" t="s">
        <v>498</v>
      </c>
      <c r="C10" s="14" t="s">
        <v>499</v>
      </c>
      <c r="D10" s="14" t="s">
        <v>74</v>
      </c>
      <c r="E10" s="14" t="s">
        <v>500</v>
      </c>
      <c r="F10" s="14" t="s">
        <v>501</v>
      </c>
      <c r="G10" s="14" t="s">
        <v>502</v>
      </c>
      <c r="H10" s="14" t="s">
        <v>503</v>
      </c>
      <c r="I10" s="14" t="s">
        <v>504</v>
      </c>
      <c r="J10" s="13" t="s">
        <v>505</v>
      </c>
    </row>
    <row r="11" ht="15" customHeight="1">
      <c r="B11" s="9" t="s">
        <v>506</v>
      </c>
      <c r="C11" s="8" t="s">
        <v>507</v>
      </c>
      <c r="D11" s="8" t="s">
        <v>508</v>
      </c>
      <c r="E11" s="26">
        <v>11526</v>
      </c>
      <c r="F11" s="26">
        <v>11526</v>
      </c>
      <c r="G11" s="16">
        <f t="shared" si="0" ref="G11:G45">(E11+F11)/2</f>
        <v>11526</v>
      </c>
      <c r="H11" s="15">
        <f>'Income Statement'!D10</f>
        <v>11510.307</v>
      </c>
      <c r="I11" s="16">
        <f t="shared" si="1" ref="I11:I34">H11-G11</f>
        <v>-15.692999999999302</v>
      </c>
      <c r="J11" s="81" t="str">
        <f t="shared" si="2" ref="J11:J15">IF(I11&gt;0,"Beat",IF(I11&lt;0,"Miss","In line"))&amp;"  ·  S5"</f>
        <v>Miss  ·  S5</v>
      </c>
    </row>
    <row r="12" ht="15" customHeight="1">
      <c r="B12" s="9" t="s">
        <v>173</v>
      </c>
      <c r="C12" s="8" t="s">
        <v>507</v>
      </c>
      <c r="D12" s="8" t="s">
        <v>508</v>
      </c>
      <c r="E12" s="26">
        <v>3625</v>
      </c>
      <c r="F12" s="26">
        <v>3625</v>
      </c>
      <c r="G12" s="16">
        <f t="shared" si="0"/>
        <v>3625</v>
      </c>
      <c r="H12" s="15">
        <f>'Income Statement'!D43</f>
        <v>3248.2470000000008</v>
      </c>
      <c r="I12" s="16">
        <f t="shared" si="1"/>
        <v>-376.75299999999925</v>
      </c>
      <c r="J12" s="81" t="str">
        <f t="shared" si="2"/>
        <v>Miss  ·  S5</v>
      </c>
    </row>
    <row r="13" ht="15" customHeight="1">
      <c r="B13" s="4" t="s">
        <v>510</v>
      </c>
      <c r="C13" s="8" t="s">
        <v>507</v>
      </c>
      <c r="D13" s="8" t="s">
        <v>508</v>
      </c>
      <c r="E13" s="29">
        <v>0.315</v>
      </c>
      <c r="F13" s="29">
        <v>0.315</v>
      </c>
      <c r="G13" s="17">
        <f t="shared" si="0"/>
        <v>0.315</v>
      </c>
      <c r="H13" s="47">
        <f>'Income Statement'!D46</f>
        <v>0.2822033330648783</v>
      </c>
      <c r="I13" s="51">
        <f t="shared" si="4" ref="I13:I32">(H13-G13)*10000</f>
        <v>-327.96666935121675</v>
      </c>
      <c r="J13" s="82" t="str">
        <f t="shared" si="2"/>
        <v>Miss  ·  S5</v>
      </c>
    </row>
    <row r="14" ht="15" customHeight="1">
      <c r="B14" s="9" t="s">
        <v>309</v>
      </c>
      <c r="C14" s="8" t="s">
        <v>507</v>
      </c>
      <c r="D14" s="8" t="s">
        <v>508</v>
      </c>
      <c r="E14" s="26">
        <v>2979</v>
      </c>
      <c r="F14" s="26">
        <v>2979</v>
      </c>
      <c r="G14" s="16">
        <f t="shared" si="0"/>
        <v>2979</v>
      </c>
      <c r="H14" s="15">
        <f>'Income Statement'!D62</f>
        <v>2546.9160000000006</v>
      </c>
      <c r="I14" s="16">
        <f t="shared" si="1"/>
        <v>-432.0839999999994</v>
      </c>
      <c r="J14" s="81" t="str">
        <f t="shared" si="2"/>
        <v>Miss  ·  S5</v>
      </c>
    </row>
    <row r="15" ht="15" customHeight="1">
      <c r="B15" s="9" t="s">
        <v>511</v>
      </c>
      <c r="C15" s="8" t="s">
        <v>507</v>
      </c>
      <c r="D15" s="8" t="s">
        <v>508</v>
      </c>
      <c r="E15" s="31">
        <v>0.687</v>
      </c>
      <c r="F15" s="31">
        <v>0.687</v>
      </c>
      <c r="G15" s="22">
        <f t="shared" si="0"/>
        <v>0.687</v>
      </c>
      <c r="H15" s="21">
        <f>'Income Statement'!D83</f>
        <v>0.59</v>
      </c>
      <c r="I15" s="22">
        <f t="shared" si="1"/>
        <v>-0.09700000000000009</v>
      </c>
      <c r="J15" s="83" t="str">
        <f t="shared" si="2"/>
        <v>Miss  ·  S5</v>
      </c>
    </row>
    <row r="16" ht="15" customHeight="1">
      <c r="B16" s="9" t="s">
        <v>506</v>
      </c>
      <c r="C16" s="8" t="s">
        <v>512</v>
      </c>
      <c r="D16" s="8" t="s">
        <v>513</v>
      </c>
      <c r="E16" s="26">
        <v>11960</v>
      </c>
      <c r="F16" s="26">
        <v>11960</v>
      </c>
      <c r="G16" s="16">
        <f t="shared" si="0"/>
        <v>11960</v>
      </c>
      <c r="H16" s="15">
        <f>'Income Statement'!E10</f>
        <v>12050.762</v>
      </c>
      <c r="I16" s="16">
        <f t="shared" si="1"/>
        <v>90.76200000000063</v>
      </c>
      <c r="J16" s="81" t="str">
        <f t="shared" si="3" ref="J16:J22">IF(I16&gt;0,"Beat",IF(I16&lt;0,"Miss","In line"))&amp;"  ·  S4"</f>
        <v>Beat  ·  S4</v>
      </c>
    </row>
    <row r="17" ht="15" customHeight="1">
      <c r="B17" s="9" t="s">
        <v>173</v>
      </c>
      <c r="C17" s="8" t="s">
        <v>512</v>
      </c>
      <c r="D17" s="8" t="s">
        <v>513</v>
      </c>
      <c r="E17" s="26">
        <v>2860</v>
      </c>
      <c r="F17" s="26">
        <v>2860</v>
      </c>
      <c r="G17" s="16">
        <f t="shared" si="0"/>
        <v>2860</v>
      </c>
      <c r="H17" s="15">
        <f>'Income Statement'!E43</f>
        <v>2956.6630000000005</v>
      </c>
      <c r="I17" s="16">
        <f t="shared" si="1"/>
        <v>96.66300000000047</v>
      </c>
      <c r="J17" s="81" t="str">
        <f t="shared" si="3"/>
        <v>Beat  ·  S4</v>
      </c>
    </row>
    <row r="18" ht="15" customHeight="1">
      <c r="B18" s="4" t="s">
        <v>510</v>
      </c>
      <c r="C18" s="8" t="s">
        <v>512</v>
      </c>
      <c r="D18" s="8" t="s">
        <v>513</v>
      </c>
      <c r="E18" s="29">
        <v>0.239</v>
      </c>
      <c r="F18" s="29">
        <v>0.239</v>
      </c>
      <c r="G18" s="17">
        <f t="shared" si="0"/>
        <v>0.239</v>
      </c>
      <c r="H18" s="47">
        <f>'Income Statement'!E46</f>
        <v>0.24535070894272082</v>
      </c>
      <c r="I18" s="51">
        <f t="shared" si="4"/>
        <v>63.507089427208285</v>
      </c>
      <c r="J18" s="82" t="str">
        <f t="shared" si="3"/>
        <v>Beat  ·  S4</v>
      </c>
    </row>
    <row r="19" ht="15" customHeight="1">
      <c r="B19" s="9" t="s">
        <v>309</v>
      </c>
      <c r="C19" s="8" t="s">
        <v>512</v>
      </c>
      <c r="D19" s="8" t="s">
        <v>513</v>
      </c>
      <c r="E19" s="26">
        <v>2355</v>
      </c>
      <c r="F19" s="26">
        <v>2355</v>
      </c>
      <c r="G19" s="16">
        <f t="shared" si="0"/>
        <v>2355</v>
      </c>
      <c r="H19" s="15">
        <f>'Income Statement'!E62</f>
        <v>2418.5210000000006</v>
      </c>
      <c r="I19" s="16">
        <f t="shared" si="1"/>
        <v>63.52100000000064</v>
      </c>
      <c r="J19" s="81" t="str">
        <f t="shared" si="3"/>
        <v>Beat  ·  S4</v>
      </c>
    </row>
    <row r="20" ht="15" customHeight="1">
      <c r="B20" s="9" t="s">
        <v>515</v>
      </c>
      <c r="C20" s="8" t="s">
        <v>512</v>
      </c>
      <c r="D20" s="8" t="s">
        <v>513</v>
      </c>
      <c r="E20" s="31">
        <v>0.545</v>
      </c>
      <c r="F20" s="31">
        <v>0.545</v>
      </c>
      <c r="G20" s="22">
        <f t="shared" si="0"/>
        <v>0.545</v>
      </c>
      <c r="H20" s="21">
        <f>'Income Statement'!E83</f>
        <v>0.56</v>
      </c>
      <c r="I20" s="22">
        <f t="shared" si="1"/>
        <v>0.015000000000000013</v>
      </c>
      <c r="J20" s="83" t="str">
        <f t="shared" si="3"/>
        <v>Beat  ·  S4</v>
      </c>
    </row>
    <row r="21" ht="15" customHeight="1">
      <c r="B21" s="9" t="s">
        <v>506</v>
      </c>
      <c r="C21" s="8" t="s">
        <v>512</v>
      </c>
      <c r="D21" s="8" t="s">
        <v>516</v>
      </c>
      <c r="E21" s="26">
        <v>45100</v>
      </c>
      <c r="F21" s="26">
        <v>45100</v>
      </c>
      <c r="G21" s="16">
        <f t="shared" si="0"/>
        <v>45100</v>
      </c>
      <c r="H21" s="15">
        <f>'Income Statement'!H10</f>
        <v>45183.03600000001</v>
      </c>
      <c r="I21" s="16">
        <f t="shared" si="1"/>
        <v>83.03600000000733</v>
      </c>
      <c r="J21" s="81" t="str">
        <f t="shared" si="3"/>
        <v>Beat  ·  S4</v>
      </c>
    </row>
    <row r="22" ht="15" customHeight="1">
      <c r="B22" s="4" t="s">
        <v>510</v>
      </c>
      <c r="C22" s="8" t="s">
        <v>512</v>
      </c>
      <c r="D22" s="8" t="s">
        <v>516</v>
      </c>
      <c r="E22" s="29">
        <v>0.29</v>
      </c>
      <c r="F22" s="29">
        <v>0.29</v>
      </c>
      <c r="G22" s="17">
        <f t="shared" si="0"/>
        <v>0.29</v>
      </c>
      <c r="H22" s="47">
        <f>'Income Statement'!H46</f>
        <v>0.2949470460550726</v>
      </c>
      <c r="I22" s="51">
        <f t="shared" si="4"/>
        <v>49.47046055072624</v>
      </c>
      <c r="J22" s="82" t="str">
        <f t="shared" si="3"/>
        <v>Beat  ·  S4</v>
      </c>
    </row>
    <row r="23" ht="15" customHeight="1">
      <c r="B23" s="9" t="s">
        <v>506</v>
      </c>
      <c r="C23" s="8" t="s">
        <v>517</v>
      </c>
      <c r="D23" s="8" t="s">
        <v>518</v>
      </c>
      <c r="E23" s="26">
        <v>12157</v>
      </c>
      <c r="F23" s="26">
        <v>12157</v>
      </c>
      <c r="G23" s="16">
        <f t="shared" si="0"/>
        <v>12157</v>
      </c>
      <c r="H23" s="15">
        <f>'Income Statement'!F10</f>
        <v>12249.757</v>
      </c>
      <c r="I23" s="16">
        <f t="shared" si="1"/>
        <v>92.7569999999996</v>
      </c>
      <c r="J23" s="81" t="str">
        <f t="shared" si="5" ref="J23:J27">IF(I23&gt;0,"Beat",IF(I23&lt;0,"Miss","In line"))&amp;"  ·  S3"</f>
        <v>Beat  ·  S3</v>
      </c>
    </row>
    <row r="24" ht="15" customHeight="1">
      <c r="B24" s="9" t="s">
        <v>173</v>
      </c>
      <c r="C24" s="8" t="s">
        <v>517</v>
      </c>
      <c r="D24" s="8" t="s">
        <v>518</v>
      </c>
      <c r="E24" s="26">
        <v>3906</v>
      </c>
      <c r="F24" s="26">
        <v>3906</v>
      </c>
      <c r="G24" s="16">
        <f t="shared" si="0"/>
        <v>3906</v>
      </c>
      <c r="H24" s="15">
        <f>'Income Statement'!F43</f>
        <v>3956.9969999999994</v>
      </c>
      <c r="I24" s="16">
        <f t="shared" si="1"/>
        <v>50.99699999999939</v>
      </c>
      <c r="J24" s="81" t="str">
        <f t="shared" si="5"/>
        <v>Beat  ·  S3</v>
      </c>
    </row>
    <row r="25" ht="15" customHeight="1">
      <c r="B25" s="4" t="s">
        <v>510</v>
      </c>
      <c r="C25" s="8" t="s">
        <v>517</v>
      </c>
      <c r="D25" s="8" t="s">
        <v>518</v>
      </c>
      <c r="E25" s="29">
        <v>0.321</v>
      </c>
      <c r="F25" s="29">
        <v>0.321</v>
      </c>
      <c r="G25" s="17">
        <f t="shared" si="0"/>
        <v>0.321</v>
      </c>
      <c r="H25" s="47">
        <f>'Income Statement'!F46</f>
        <v>0.3230265710576952</v>
      </c>
      <c r="I25" s="51">
        <f t="shared" si="4"/>
        <v>20.265710576952145</v>
      </c>
      <c r="J25" s="82" t="str">
        <f t="shared" si="5"/>
        <v>Beat  ·  S3</v>
      </c>
    </row>
    <row r="26" ht="15" customHeight="1">
      <c r="B26" s="9" t="s">
        <v>309</v>
      </c>
      <c r="C26" s="8" t="s">
        <v>517</v>
      </c>
      <c r="D26" s="8" t="s">
        <v>518</v>
      </c>
      <c r="E26" s="26">
        <v>3264</v>
      </c>
      <c r="F26" s="26">
        <v>3264</v>
      </c>
      <c r="G26" s="16">
        <f t="shared" si="0"/>
        <v>3264</v>
      </c>
      <c r="H26" s="15">
        <f>'Income Statement'!F62</f>
        <v>5282.790999999999</v>
      </c>
      <c r="I26" s="16">
        <f t="shared" si="1"/>
        <v>2018.7909999999993</v>
      </c>
      <c r="J26" s="81" t="str">
        <f t="shared" si="5"/>
        <v>Beat  ·  S3</v>
      </c>
    </row>
    <row r="27" ht="15" customHeight="1">
      <c r="B27" s="9" t="s">
        <v>520</v>
      </c>
      <c r="C27" s="8" t="s">
        <v>517</v>
      </c>
      <c r="D27" s="8" t="s">
        <v>518</v>
      </c>
      <c r="E27" s="31">
        <v>0.76</v>
      </c>
      <c r="F27" s="31">
        <v>0.76</v>
      </c>
      <c r="G27" s="22">
        <f t="shared" si="0"/>
        <v>0.76</v>
      </c>
      <c r="H27" s="21">
        <f>'Income Statement'!F83</f>
        <v>1.23</v>
      </c>
      <c r="I27" s="22">
        <f t="shared" si="1"/>
        <v>0.47</v>
      </c>
      <c r="J27" s="83" t="str">
        <f t="shared" si="5"/>
        <v>Beat  ·  S3</v>
      </c>
    </row>
    <row r="28" ht="15" customHeight="1">
      <c r="B28" s="9" t="s">
        <v>506</v>
      </c>
      <c r="C28" s="8" t="s">
        <v>517</v>
      </c>
      <c r="D28" s="8" t="s">
        <v>521</v>
      </c>
      <c r="E28" s="26">
        <v>50700</v>
      </c>
      <c r="F28" s="26">
        <v>51700</v>
      </c>
      <c r="G28" s="16">
        <f t="shared" si="0"/>
        <v>51200</v>
      </c>
      <c r="J28" s="28" t="s">
        <v>522</v>
      </c>
    </row>
    <row r="29" ht="15" customHeight="1">
      <c r="B29" s="4" t="s">
        <v>523</v>
      </c>
      <c r="C29" s="8" t="s">
        <v>517</v>
      </c>
      <c r="D29" s="8" t="s">
        <v>521</v>
      </c>
      <c r="E29" s="29">
        <v>0.315</v>
      </c>
      <c r="F29" s="29">
        <v>0.315</v>
      </c>
      <c r="G29" s="17">
        <f t="shared" si="0"/>
        <v>0.315</v>
      </c>
      <c r="J29" s="28" t="s">
        <v>522</v>
      </c>
    </row>
    <row r="30" ht="15" customHeight="1">
      <c r="B30" s="9" t="s">
        <v>506</v>
      </c>
      <c r="C30" s="8" t="s">
        <v>524</v>
      </c>
      <c r="D30" s="8" t="s">
        <v>525</v>
      </c>
      <c r="E30" s="26">
        <v>12574</v>
      </c>
      <c r="F30" s="26">
        <v>12574</v>
      </c>
      <c r="G30" s="16">
        <f t="shared" si="0"/>
        <v>12574</v>
      </c>
      <c r="H30" s="15">
        <f>'Income Statement'!G10</f>
        <v>12559.938</v>
      </c>
      <c r="I30" s="16">
        <f t="shared" si="1"/>
        <v>-14.061999999999898</v>
      </c>
      <c r="J30" s="81" t="str">
        <f t="shared" si="6" ref="J30:J34">IF(I30&gt;0,"Beat",IF(I30&lt;0,"Miss","In line"))&amp;"  ·  S2"</f>
        <v>Miss  ·  S2</v>
      </c>
    </row>
    <row r="31" ht="15" customHeight="1">
      <c r="B31" s="9" t="s">
        <v>173</v>
      </c>
      <c r="C31" s="8" t="s">
        <v>524</v>
      </c>
      <c r="D31" s="8" t="s">
        <v>525</v>
      </c>
      <c r="E31" s="26">
        <v>4105</v>
      </c>
      <c r="F31" s="26">
        <v>4105</v>
      </c>
      <c r="G31" s="16">
        <f t="shared" si="0"/>
        <v>4105</v>
      </c>
      <c r="H31" s="15">
        <f>'Income Statement'!G43</f>
        <v>4192.610000000001</v>
      </c>
      <c r="I31" s="16">
        <f t="shared" si="1"/>
        <v>87.61000000000058</v>
      </c>
      <c r="J31" s="81" t="str">
        <f t="shared" si="6"/>
        <v>Beat  ·  S2</v>
      </c>
    </row>
    <row r="32" ht="15" customHeight="1">
      <c r="B32" s="4" t="s">
        <v>510</v>
      </c>
      <c r="C32" s="8" t="s">
        <v>524</v>
      </c>
      <c r="D32" s="8" t="s">
        <v>525</v>
      </c>
      <c r="E32" s="29">
        <v>0.326</v>
      </c>
      <c r="F32" s="29">
        <v>0.326</v>
      </c>
      <c r="G32" s="17">
        <f t="shared" si="0"/>
        <v>0.326</v>
      </c>
      <c r="H32" s="47">
        <f>'Income Statement'!G46</f>
        <v>0.33380817644163535</v>
      </c>
      <c r="I32" s="51">
        <f t="shared" si="4"/>
        <v>78.0817644163534</v>
      </c>
      <c r="J32" s="82" t="str">
        <f t="shared" si="6"/>
        <v>Beat  ·  S2</v>
      </c>
    </row>
    <row r="33" ht="15" customHeight="1">
      <c r="B33" s="9" t="s">
        <v>309</v>
      </c>
      <c r="C33" s="8" t="s">
        <v>524</v>
      </c>
      <c r="D33" s="8" t="s">
        <v>525</v>
      </c>
      <c r="E33" s="26">
        <v>3327</v>
      </c>
      <c r="F33" s="26">
        <v>3327</v>
      </c>
      <c r="G33" s="16">
        <f t="shared" si="0"/>
        <v>3327</v>
      </c>
      <c r="H33" s="15">
        <f>'Income Statement'!G62</f>
        <v>3401.4140000000007</v>
      </c>
      <c r="I33" s="16">
        <f t="shared" si="1"/>
        <v>74.41400000000067</v>
      </c>
      <c r="J33" s="81" t="str">
        <f t="shared" si="6"/>
        <v>Beat  ·  S2</v>
      </c>
    </row>
    <row r="34" ht="15" customHeight="1">
      <c r="B34" s="9" t="s">
        <v>520</v>
      </c>
      <c r="C34" s="8" t="s">
        <v>524</v>
      </c>
      <c r="D34" s="8" t="s">
        <v>525</v>
      </c>
      <c r="E34" s="31">
        <v>0.78</v>
      </c>
      <c r="F34" s="31">
        <v>0.78</v>
      </c>
      <c r="G34" s="22">
        <f t="shared" si="0"/>
        <v>0.78</v>
      </c>
      <c r="H34" s="21">
        <f>'Income Statement'!G83</f>
        <v>0.8</v>
      </c>
      <c r="I34" s="22">
        <f t="shared" si="1"/>
        <v>0.020000000000000018</v>
      </c>
      <c r="J34" s="83" t="str">
        <f t="shared" si="6"/>
        <v>Beat  ·  S2</v>
      </c>
    </row>
    <row r="35" ht="15" customHeight="1">
      <c r="B35" s="9" t="s">
        <v>528</v>
      </c>
      <c r="C35" s="8" t="s">
        <v>524</v>
      </c>
      <c r="D35" s="8" t="s">
        <v>521</v>
      </c>
      <c r="E35" s="26">
        <v>50700</v>
      </c>
      <c r="F35" s="26">
        <v>51700</v>
      </c>
      <c r="G35" s="16">
        <f t="shared" si="0"/>
        <v>51200</v>
      </c>
      <c r="J35" s="28" t="s">
        <v>529</v>
      </c>
    </row>
    <row r="36" ht="15" customHeight="1">
      <c r="B36" s="9" t="s">
        <v>506</v>
      </c>
      <c r="C36" s="8" t="s">
        <v>530</v>
      </c>
      <c r="D36" s="8" t="s">
        <v>531</v>
      </c>
      <c r="E36" s="26">
        <v>12860</v>
      </c>
      <c r="F36" s="26">
        <v>12860</v>
      </c>
      <c r="G36" s="16">
        <f t="shared" si="0"/>
        <v>12860</v>
      </c>
      <c r="J36" s="28" t="s">
        <v>532</v>
      </c>
    </row>
    <row r="37" ht="15" customHeight="1">
      <c r="B37" s="9" t="s">
        <v>173</v>
      </c>
      <c r="C37" s="8" t="s">
        <v>530</v>
      </c>
      <c r="D37" s="8" t="s">
        <v>531</v>
      </c>
      <c r="E37" s="26">
        <v>4268</v>
      </c>
      <c r="F37" s="26">
        <v>4268</v>
      </c>
      <c r="G37" s="16">
        <f t="shared" si="0"/>
        <v>4268</v>
      </c>
      <c r="J37" s="28" t="s">
        <v>532</v>
      </c>
    </row>
    <row r="38" ht="15" customHeight="1">
      <c r="B38" s="4" t="s">
        <v>533</v>
      </c>
      <c r="C38" s="8" t="s">
        <v>530</v>
      </c>
      <c r="D38" s="8" t="s">
        <v>531</v>
      </c>
      <c r="E38" s="29">
        <v>0.332</v>
      </c>
      <c r="F38" s="29">
        <v>0.332</v>
      </c>
      <c r="G38" s="17">
        <f t="shared" si="0"/>
        <v>0.332</v>
      </c>
      <c r="J38" s="28" t="s">
        <v>532</v>
      </c>
    </row>
    <row r="39" ht="15" customHeight="1">
      <c r="B39" s="9" t="s">
        <v>309</v>
      </c>
      <c r="C39" s="8" t="s">
        <v>530</v>
      </c>
      <c r="D39" s="8" t="s">
        <v>531</v>
      </c>
      <c r="E39" s="26">
        <v>3452</v>
      </c>
      <c r="F39" s="26">
        <v>3452</v>
      </c>
      <c r="G39" s="16">
        <f t="shared" si="0"/>
        <v>3452</v>
      </c>
      <c r="J39" s="28" t="s">
        <v>532</v>
      </c>
    </row>
    <row r="40" ht="15" customHeight="1">
      <c r="B40" s="9" t="s">
        <v>520</v>
      </c>
      <c r="C40" s="8" t="s">
        <v>530</v>
      </c>
      <c r="D40" s="8" t="s">
        <v>531</v>
      </c>
      <c r="E40" s="31">
        <v>0.82</v>
      </c>
      <c r="F40" s="31">
        <v>0.82</v>
      </c>
      <c r="G40" s="22">
        <f t="shared" si="0"/>
        <v>0.82</v>
      </c>
      <c r="J40" s="28" t="s">
        <v>532</v>
      </c>
    </row>
    <row r="41" ht="15" customHeight="1">
      <c r="B41" s="9" t="s">
        <v>534</v>
      </c>
      <c r="C41" s="8" t="s">
        <v>530</v>
      </c>
      <c r="D41" s="8" t="s">
        <v>521</v>
      </c>
      <c r="E41" s="26">
        <v>51000</v>
      </c>
      <c r="F41" s="26">
        <v>51400</v>
      </c>
      <c r="G41" s="16">
        <f t="shared" si="0"/>
        <v>51200</v>
      </c>
      <c r="J41" s="28" t="s">
        <v>532</v>
      </c>
    </row>
    <row r="42" ht="15" customHeight="1">
      <c r="B42" s="4" t="s">
        <v>533</v>
      </c>
      <c r="C42" s="8" t="s">
        <v>530</v>
      </c>
      <c r="D42" s="8" t="s">
        <v>521</v>
      </c>
      <c r="E42" s="29">
        <v>0.315</v>
      </c>
      <c r="F42" s="29">
        <v>0.315</v>
      </c>
      <c r="G42" s="17">
        <f t="shared" si="0"/>
        <v>0.315</v>
      </c>
      <c r="J42" s="28" t="s">
        <v>532</v>
      </c>
    </row>
    <row r="43" ht="15" customHeight="1">
      <c r="B43" s="9" t="s">
        <v>535</v>
      </c>
      <c r="C43" s="8" t="s">
        <v>530</v>
      </c>
      <c r="D43" s="8" t="s">
        <v>521</v>
      </c>
      <c r="E43" s="26">
        <v>12500</v>
      </c>
      <c r="F43" s="26">
        <v>12500</v>
      </c>
      <c r="G43" s="16">
        <f t="shared" si="0"/>
        <v>12500</v>
      </c>
      <c r="J43" s="28" t="s">
        <v>532</v>
      </c>
    </row>
    <row r="44" ht="15" customHeight="1">
      <c r="B44" s="9" t="s">
        <v>536</v>
      </c>
      <c r="C44" s="8" t="s">
        <v>530</v>
      </c>
      <c r="D44" s="8" t="s">
        <v>521</v>
      </c>
      <c r="E44" s="26">
        <v>3000</v>
      </c>
      <c r="F44" s="26">
        <v>3000</v>
      </c>
      <c r="G44" s="16">
        <f t="shared" si="0"/>
        <v>3000</v>
      </c>
      <c r="J44" s="28" t="s">
        <v>532</v>
      </c>
    </row>
    <row r="45" ht="15" customHeight="1">
      <c r="B45" s="4" t="s">
        <v>537</v>
      </c>
      <c r="C45" s="8" t="s">
        <v>530</v>
      </c>
      <c r="D45" s="8" t="s">
        <v>521</v>
      </c>
      <c r="E45" s="29">
        <v>0.1</v>
      </c>
      <c r="F45" s="29">
        <v>0.1</v>
      </c>
      <c r="G45" s="17">
        <f t="shared" si="0"/>
        <v>0.1</v>
      </c>
      <c r="J45" s="28" t="s">
        <v>532</v>
      </c>
    </row>
    <row r="47" ht="15" customHeight="1">
      <c r="B47" s="3" t="s">
        <v>538</v>
      </c>
    </row>
    <row r="48" ht="15" customHeight="1">
      <c r="B48" s="9" t="s">
        <v>539</v>
      </c>
      <c r="I48" s="16">
        <f t="shared" si="7" ref="I48:I49">AVERAGE(I11,I16,I23,I30)</f>
        <v>38.44100000000026</v>
      </c>
    </row>
    <row r="49" ht="28.5" customHeight="1">
      <c r="B49" s="9" t="s">
        <v>540</v>
      </c>
      <c r="I49" s="16">
        <f t="shared" si="7"/>
        <v>-35.3707499999997</v>
      </c>
      <c r="J49" s="19" t="s">
        <v>541</v>
      </c>
    </row>
    <row r="50" ht="15" customHeight="1">
      <c r="B50" s="9" t="s">
        <v>542</v>
      </c>
      <c r="I50" s="16">
        <f>MEDIAN(I12,I17,I24,I31)</f>
        <v>69.30349999999999</v>
      </c>
    </row>
    <row r="51" ht="15" customHeight="1">
      <c r="B51" s="9" t="s">
        <v>543</v>
      </c>
      <c r="I51" s="84">
        <f>COUNTIF(I15,"&gt;0")+COUNTIF(I20,"&gt;0")+COUNTIF(I27,"&gt;0")+COUNTIF(I34,"&gt;0")</f>
        <v>3</v>
      </c>
    </row>
    <row r="52" ht="15" customHeight="1">
      <c r="B52" s="9" t="s">
        <v>544</v>
      </c>
      <c r="I52" s="21">
        <f>'Income Statement'!I99-G40</f>
        <v>0.006836463020122752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12A8B32-DB68-A5C8-CFD8-AC6F1B80AA0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6.00390625" customWidth="1"/>
    <col min="3" max="3" width="12.00390625" customWidth="1"/>
    <col min="4" max="4" width="44.00390625" customWidth="1"/>
    <col min="5" max="5" width="100.00390625" customWidth="1"/>
    <col min="6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545</v>
      </c>
    </row>
    <row r="4" ht="15" customHeight="1">
      <c r="B4" s="4" t="s">
        <v>3</v>
      </c>
    </row>
    <row r="6" ht="15" customHeight="1">
      <c r="J6" s="9"/>
    </row>
    <row r="7" ht="15" customHeight="1">
      <c r="J7" s="9"/>
    </row>
    <row r="9" ht="28.5" customHeight="1">
      <c r="B9" s="13" t="s">
        <v>546</v>
      </c>
      <c r="C9" s="14" t="s">
        <v>547</v>
      </c>
      <c r="D9" s="13" t="s">
        <v>548</v>
      </c>
      <c r="E9" s="13" t="s">
        <v>549</v>
      </c>
      <c r="F9" s="14"/>
      <c r="G9" s="14"/>
      <c r="H9" s="14"/>
      <c r="I9" s="14"/>
      <c r="J9" s="13" t="s">
        <v>550</v>
      </c>
    </row>
    <row r="10" ht="28.5" customHeight="1">
      <c r="B10" s="85" t="s">
        <v>551</v>
      </c>
      <c r="C10" s="86" t="s">
        <v>530</v>
      </c>
      <c r="D10" s="87" t="s">
        <v>552</v>
      </c>
      <c r="E10" s="87" t="s">
        <v>553</v>
      </c>
      <c r="J10" s="87" t="s">
        <v>554</v>
      </c>
    </row>
    <row r="11" ht="28.5" customHeight="1">
      <c r="B11" s="85" t="s">
        <v>555</v>
      </c>
      <c r="C11" s="86" t="s">
        <v>524</v>
      </c>
      <c r="D11" s="87" t="s">
        <v>552</v>
      </c>
      <c r="E11" s="87" t="s">
        <v>556</v>
      </c>
      <c r="J11" s="87" t="s">
        <v>557</v>
      </c>
    </row>
    <row r="12" ht="41.25" customHeight="1">
      <c r="B12" s="85" t="s">
        <v>558</v>
      </c>
      <c r="C12" s="86" t="s">
        <v>517</v>
      </c>
      <c r="D12" s="87" t="s">
        <v>552</v>
      </c>
      <c r="E12" s="87" t="s">
        <v>559</v>
      </c>
      <c r="J12" s="87" t="s">
        <v>560</v>
      </c>
    </row>
    <row r="13" ht="28.5" customHeight="1">
      <c r="B13" s="85" t="s">
        <v>561</v>
      </c>
      <c r="C13" s="86" t="s">
        <v>512</v>
      </c>
      <c r="D13" s="87" t="s">
        <v>552</v>
      </c>
      <c r="E13" s="87" t="s">
        <v>562</v>
      </c>
      <c r="J13" s="87" t="s">
        <v>563</v>
      </c>
    </row>
    <row r="14" ht="15" customHeight="1">
      <c r="B14" s="85" t="s">
        <v>564</v>
      </c>
      <c r="C14" s="86" t="s">
        <v>507</v>
      </c>
      <c r="D14" s="87" t="s">
        <v>552</v>
      </c>
      <c r="E14" s="87" t="s">
        <v>565</v>
      </c>
      <c r="J14" s="87" t="s">
        <v>566</v>
      </c>
    </row>
    <row r="15" ht="28.5" customHeight="1">
      <c r="B15" s="85" t="s">
        <v>567</v>
      </c>
      <c r="C15" s="86" t="s">
        <v>568</v>
      </c>
      <c r="D15" s="87" t="s">
        <v>569</v>
      </c>
      <c r="E15" s="87" t="s">
        <v>570</v>
      </c>
      <c r="J15" s="87" t="s">
        <v>571</v>
      </c>
    </row>
    <row r="16" ht="15" customHeight="1">
      <c r="B16" s="85" t="s">
        <v>572</v>
      </c>
      <c r="C16" s="86" t="s">
        <v>573</v>
      </c>
      <c r="D16" s="87" t="s">
        <v>574</v>
      </c>
      <c r="E16" s="87" t="s">
        <v>575</v>
      </c>
      <c r="J16" s="87" t="s">
        <v>576</v>
      </c>
    </row>
    <row r="17" ht="28.5" customHeight="1">
      <c r="B17" s="85" t="s">
        <v>577</v>
      </c>
      <c r="C17" s="86" t="s">
        <v>578</v>
      </c>
      <c r="D17" s="87" t="s">
        <v>579</v>
      </c>
      <c r="E17" s="87" t="s">
        <v>580</v>
      </c>
      <c r="J17" s="87" t="s">
        <v>581</v>
      </c>
    </row>
    <row r="18" ht="28.5" customHeight="1">
      <c r="B18" s="85" t="s">
        <v>582</v>
      </c>
      <c r="C18" s="86" t="s">
        <v>583</v>
      </c>
      <c r="D18" s="87" t="s">
        <v>584</v>
      </c>
      <c r="E18" s="87" t="s">
        <v>585</v>
      </c>
      <c r="J18" s="87" t="s">
        <v>586</v>
      </c>
    </row>
    <row r="19" ht="28.5" customHeight="1">
      <c r="B19" s="85" t="s">
        <v>587</v>
      </c>
      <c r="C19" s="86" t="s">
        <v>588</v>
      </c>
      <c r="D19" s="87" t="s">
        <v>589</v>
      </c>
      <c r="E19" s="87" t="s">
        <v>590</v>
      </c>
      <c r="J19" s="87" t="s">
        <v>591</v>
      </c>
    </row>
    <row r="20" ht="28.5" customHeight="1">
      <c r="B20" s="85" t="s">
        <v>592</v>
      </c>
      <c r="C20" s="86" t="s">
        <v>593</v>
      </c>
      <c r="D20" s="87" t="s">
        <v>594</v>
      </c>
      <c r="E20" s="87" t="s">
        <v>595</v>
      </c>
      <c r="J20" s="87" t="s">
        <v>596</v>
      </c>
    </row>
    <row r="21" ht="28.5" customHeight="1">
      <c r="B21" s="85" t="s">
        <v>597</v>
      </c>
      <c r="C21" s="86" t="s">
        <v>598</v>
      </c>
      <c r="D21" s="87" t="s">
        <v>599</v>
      </c>
      <c r="E21" s="87" t="s">
        <v>600</v>
      </c>
      <c r="J21" s="87" t="s">
        <v>601</v>
      </c>
    </row>
    <row r="22" ht="15" customHeight="1">
      <c r="B22" s="85" t="s">
        <v>602</v>
      </c>
      <c r="C22" s="86" t="s">
        <v>603</v>
      </c>
      <c r="D22" s="87" t="s">
        <v>604</v>
      </c>
      <c r="E22" s="87" t="s">
        <v>605</v>
      </c>
      <c r="J22" s="87" t="s">
        <v>606</v>
      </c>
    </row>
    <row r="23" ht="28.5" customHeight="1">
      <c r="B23" s="85" t="s">
        <v>607</v>
      </c>
      <c r="C23" s="86" t="s">
        <v>608</v>
      </c>
      <c r="D23" s="87" t="s">
        <v>609</v>
      </c>
      <c r="E23" s="87" t="s">
        <v>610</v>
      </c>
      <c r="J23" s="87" t="s">
        <v>611</v>
      </c>
    </row>
    <row r="24" ht="15" customHeight="1">
      <c r="B24" s="85" t="s">
        <v>612</v>
      </c>
      <c r="C24" s="86" t="s">
        <v>613</v>
      </c>
      <c r="D24" s="87" t="s">
        <v>614</v>
      </c>
      <c r="E24" s="87" t="s">
        <v>615</v>
      </c>
      <c r="J24" s="87" t="s">
        <v>616</v>
      </c>
    </row>
    <row r="25" ht="28.5" customHeight="1">
      <c r="B25" s="85" t="s">
        <v>617</v>
      </c>
      <c r="C25" s="86" t="s">
        <v>618</v>
      </c>
      <c r="D25" s="87" t="s">
        <v>604</v>
      </c>
      <c r="E25" s="87" t="s">
        <v>619</v>
      </c>
      <c r="J25" s="87" t="s">
        <v>620</v>
      </c>
    </row>
    <row r="26" ht="15" customHeight="1">
      <c r="B26" s="85" t="s">
        <v>621</v>
      </c>
      <c r="C26" s="86" t="s">
        <v>622</v>
      </c>
      <c r="D26" s="87" t="s">
        <v>623</v>
      </c>
      <c r="E26" s="87" t="s">
        <v>624</v>
      </c>
      <c r="J26" s="87" t="s">
        <v>625</v>
      </c>
    </row>
    <row r="27" ht="15" customHeight="1">
      <c r="B27" s="85" t="s">
        <v>626</v>
      </c>
      <c r="C27" s="86" t="s">
        <v>627</v>
      </c>
      <c r="D27" s="87" t="s">
        <v>628</v>
      </c>
      <c r="E27" s="87" t="s">
        <v>629</v>
      </c>
      <c r="J27" s="87" t="s">
        <v>630</v>
      </c>
    </row>
    <row r="28" ht="28.5" customHeight="1">
      <c r="B28" s="85" t="s">
        <v>631</v>
      </c>
      <c r="C28" s="86" t="s">
        <v>603</v>
      </c>
      <c r="D28" s="87" t="s">
        <v>632</v>
      </c>
      <c r="E28" s="87" t="s">
        <v>633</v>
      </c>
      <c r="J28" s="87" t="s">
        <v>634</v>
      </c>
    </row>
    <row r="29" ht="28.5" customHeight="1">
      <c r="B29" s="85" t="s">
        <v>635</v>
      </c>
      <c r="C29" s="86" t="s">
        <v>627</v>
      </c>
      <c r="D29" s="87" t="s">
        <v>636</v>
      </c>
      <c r="E29" s="87" t="s">
        <v>637</v>
      </c>
      <c r="J29" s="87" t="s">
        <v>638</v>
      </c>
    </row>
    <row r="30" ht="28.5" customHeight="1">
      <c r="B30" s="85" t="s">
        <v>639</v>
      </c>
      <c r="C30" s="86" t="s">
        <v>640</v>
      </c>
      <c r="D30" s="87" t="s">
        <v>641</v>
      </c>
      <c r="E30" s="87" t="s">
        <v>642</v>
      </c>
      <c r="J30" s="87" t="s">
        <v>643</v>
      </c>
    </row>
    <row r="31" ht="15" customHeight="1">
      <c r="B31" s="85" t="s">
        <v>644</v>
      </c>
      <c r="C31" s="86" t="s">
        <v>645</v>
      </c>
      <c r="D31" s="87" t="s">
        <v>646</v>
      </c>
      <c r="E31" s="87" t="s">
        <v>647</v>
      </c>
      <c r="J31" s="87" t="s">
        <v>648</v>
      </c>
    </row>
    <row r="32" ht="28.5" customHeight="1">
      <c r="B32" s="85" t="s">
        <v>649</v>
      </c>
      <c r="C32" s="86" t="s">
        <v>603</v>
      </c>
      <c r="D32" s="87" t="s">
        <v>650</v>
      </c>
      <c r="E32" s="87" t="s">
        <v>651</v>
      </c>
      <c r="J32" s="87" t="s">
        <v>652</v>
      </c>
    </row>
    <row r="33" ht="28.5" customHeight="1">
      <c r="B33" s="85" t="s">
        <v>653</v>
      </c>
      <c r="C33" s="86" t="s">
        <v>640</v>
      </c>
      <c r="D33" s="87" t="s">
        <v>654</v>
      </c>
      <c r="E33" s="87" t="s">
        <v>655</v>
      </c>
      <c r="J33" s="87" t="s">
        <v>656</v>
      </c>
    </row>
    <row r="34" ht="28.5" customHeight="1">
      <c r="B34" s="85" t="s">
        <v>657</v>
      </c>
      <c r="C34" s="86" t="s">
        <v>530</v>
      </c>
      <c r="D34" s="87" t="s">
        <v>609</v>
      </c>
      <c r="E34" s="87" t="s">
        <v>658</v>
      </c>
      <c r="J34" s="87" t="s">
        <v>659</v>
      </c>
    </row>
    <row r="35" ht="28.5" customHeight="1">
      <c r="B35" s="85" t="s">
        <v>660</v>
      </c>
      <c r="C35" s="86" t="s">
        <v>661</v>
      </c>
      <c r="D35" s="87" t="s">
        <v>662</v>
      </c>
      <c r="E35" s="87" t="s">
        <v>663</v>
      </c>
      <c r="J35" s="87" t="s">
        <v>664</v>
      </c>
    </row>
    <row r="36" ht="28.5" customHeight="1">
      <c r="B36" s="85" t="s">
        <v>665</v>
      </c>
      <c r="C36" s="86" t="s">
        <v>661</v>
      </c>
      <c r="D36" s="87" t="s">
        <v>662</v>
      </c>
      <c r="E36" s="87" t="s">
        <v>666</v>
      </c>
      <c r="J36" s="87" t="s">
        <v>667</v>
      </c>
    </row>
    <row r="38" ht="15" customHeight="1">
      <c r="B38" s="3" t="s">
        <v>668</v>
      </c>
    </row>
    <row r="39" ht="15" customHeight="1">
      <c r="B39" s="9" t="s">
        <v>669</v>
      </c>
    </row>
    <row r="40" ht="15" customHeight="1">
      <c r="B40" s="9" t="s">
        <v>670</v>
      </c>
    </row>
    <row r="41" ht="15" customHeight="1">
      <c r="B41" s="9" t="s">
        <v>671</v>
      </c>
    </row>
    <row r="42" ht="15" customHeight="1">
      <c r="B42" s="9" t="s">
        <v>672</v>
      </c>
    </row>
    <row r="43" ht="15" customHeight="1">
      <c r="B43" s="9" t="s">
        <v>673</v>
      </c>
    </row>
    <row r="44" ht="15" customHeight="1">
      <c r="B44" s="9" t="s">
        <v>674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CE0D747-7A28-3A1E-9598-23EEC238BF8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9" width="12.00390625" customWidth="1"/>
    <col min="10" max="10" width="60.00390625" customWidth="1"/>
  </cols>
  <sheetData>
    <row r="2" ht="15" customHeight="1">
      <c r="B2" s="2" t="s">
        <v>1</v>
      </c>
    </row>
    <row r="3" ht="15" customHeight="1">
      <c r="B3" s="3" t="s">
        <v>675</v>
      </c>
    </row>
    <row r="4" ht="15" customHeight="1">
      <c r="B4" s="4" t="s">
        <v>3</v>
      </c>
    </row>
    <row r="6" ht="15" customHeight="1">
      <c r="J6" s="9"/>
    </row>
    <row r="7" ht="15" customHeight="1">
      <c r="J7" s="9"/>
    </row>
    <row r="9" ht="15" customHeight="1">
      <c r="B9" s="3" t="s">
        <v>676</v>
      </c>
    </row>
    <row r="10" ht="15" customHeight="1">
      <c r="B10" s="13" t="s">
        <v>677</v>
      </c>
      <c r="C10" s="14" t="s">
        <v>678</v>
      </c>
    </row>
    <row r="11" ht="15" customHeight="1">
      <c r="B11" s="9" t="s">
        <v>679</v>
      </c>
      <c r="C11" s="9" t="s">
        <v>680</v>
      </c>
    </row>
    <row r="12" ht="15" customHeight="1">
      <c r="B12" s="9" t="s">
        <v>681</v>
      </c>
      <c r="C12" s="9" t="s">
        <v>8</v>
      </c>
    </row>
    <row r="13" ht="15" customHeight="1">
      <c r="B13" s="9" t="s">
        <v>682</v>
      </c>
      <c r="C13" s="9" t="s">
        <v>683</v>
      </c>
    </row>
    <row r="14" ht="15" customHeight="1">
      <c r="B14" s="9" t="s">
        <v>684</v>
      </c>
      <c r="C14" s="9" t="s">
        <v>685</v>
      </c>
    </row>
    <row r="15" ht="15" customHeight="1">
      <c r="B15" s="9" t="s">
        <v>686</v>
      </c>
      <c r="C15" s="9" t="s">
        <v>687</v>
      </c>
    </row>
    <row r="16" ht="15" customHeight="1">
      <c r="B16" s="9" t="s">
        <v>688</v>
      </c>
      <c r="C16" s="9" t="s">
        <v>689</v>
      </c>
    </row>
    <row r="17" ht="15" customHeight="1">
      <c r="B17" s="9" t="s">
        <v>690</v>
      </c>
      <c r="C17" s="9" t="s">
        <v>691</v>
      </c>
    </row>
    <row r="18" ht="15" customHeight="1">
      <c r="B18" s="9" t="s">
        <v>692</v>
      </c>
      <c r="C18" s="9" t="s">
        <v>693</v>
      </c>
    </row>
    <row r="19" ht="15" customHeight="1">
      <c r="B19" s="9" t="s">
        <v>694</v>
      </c>
      <c r="C19" s="9" t="s">
        <v>695</v>
      </c>
    </row>
    <row r="20" ht="15" customHeight="1">
      <c r="B20" s="9" t="s">
        <v>696</v>
      </c>
      <c r="C20" s="9" t="s">
        <v>697</v>
      </c>
    </row>
    <row r="21" ht="15" customHeight="1">
      <c r="B21" s="9" t="s">
        <v>698</v>
      </c>
      <c r="C21" s="88">
        <v>35</v>
      </c>
    </row>
    <row r="22" ht="15" customHeight="1">
      <c r="B22" s="9" t="s">
        <v>699</v>
      </c>
      <c r="C22" s="88">
        <v>35</v>
      </c>
    </row>
    <row r="23" ht="15" customHeight="1">
      <c r="B23" s="9" t="s">
        <v>700</v>
      </c>
      <c r="C23" s="88">
        <v>53</v>
      </c>
    </row>
    <row r="24" ht="15" customHeight="1">
      <c r="B24" s="9" t="s">
        <v>701</v>
      </c>
      <c r="C24" s="88">
        <v>0.82</v>
      </c>
    </row>
    <row r="25" ht="15" customHeight="1">
      <c r="B25" s="9" t="s">
        <v>702</v>
      </c>
      <c r="C25" s="88">
        <v>0.82</v>
      </c>
    </row>
    <row r="26" ht="15" customHeight="1">
      <c r="B26" s="9" t="s">
        <v>703</v>
      </c>
      <c r="C26" s="88">
        <v>0.87</v>
      </c>
    </row>
    <row r="27" ht="15" customHeight="1">
      <c r="B27" s="9" t="s">
        <v>704</v>
      </c>
      <c r="C27" s="88">
        <v>0.79</v>
      </c>
    </row>
    <row r="28" ht="15" customHeight="1">
      <c r="B28" s="9" t="s">
        <v>705</v>
      </c>
      <c r="C28" s="88">
        <v>0.02</v>
      </c>
    </row>
    <row r="29" ht="15" customHeight="1">
      <c r="B29" s="9" t="s">
        <v>706</v>
      </c>
      <c r="C29" s="88">
        <v>35</v>
      </c>
    </row>
    <row r="30" ht="15" customHeight="1">
      <c r="B30" s="9" t="s">
        <v>707</v>
      </c>
      <c r="C30" s="88">
        <v>0.82</v>
      </c>
    </row>
    <row r="31" ht="15" customHeight="1">
      <c r="B31" s="9" t="s">
        <v>708</v>
      </c>
    </row>
    <row r="32" ht="15" customHeight="1">
      <c r="B32" s="9" t="s">
        <v>709</v>
      </c>
    </row>
    <row r="33" ht="15" customHeight="1">
      <c r="B33" s="9" t="s">
        <v>710</v>
      </c>
      <c r="C33" s="88">
        <v>0.82</v>
      </c>
    </row>
    <row r="34" ht="15" customHeight="1">
      <c r="B34" s="9" t="s">
        <v>711</v>
      </c>
      <c r="C34" s="88">
        <v>0.82</v>
      </c>
    </row>
    <row r="35" ht="15" customHeight="1">
      <c r="B35" s="9" t="s">
        <v>712</v>
      </c>
      <c r="C35" s="88">
        <v>0.87</v>
      </c>
    </row>
    <row r="36" ht="15" customHeight="1">
      <c r="B36" s="9" t="s">
        <v>713</v>
      </c>
      <c r="C36" s="88">
        <v>0.79</v>
      </c>
    </row>
    <row r="37" ht="15" customHeight="1">
      <c r="B37" s="9" t="s">
        <v>714</v>
      </c>
      <c r="C37" s="88">
        <v>0.01</v>
      </c>
    </row>
    <row r="38" ht="15" customHeight="1">
      <c r="B38" s="9" t="s">
        <v>715</v>
      </c>
      <c r="C38" s="88">
        <v>35</v>
      </c>
    </row>
    <row r="39" ht="15" customHeight="1">
      <c r="B39" s="9" t="s">
        <v>716</v>
      </c>
      <c r="C39" s="88">
        <v>0.82</v>
      </c>
    </row>
    <row r="40" ht="15" customHeight="1">
      <c r="B40" s="9" t="s">
        <v>717</v>
      </c>
    </row>
    <row r="41" ht="15" customHeight="1">
      <c r="B41" s="9" t="s">
        <v>718</v>
      </c>
    </row>
    <row r="42" ht="15" customHeight="1">
      <c r="B42" s="9" t="s">
        <v>719</v>
      </c>
      <c r="C42" s="88">
        <v>12875.31</v>
      </c>
    </row>
    <row r="43" ht="15" customHeight="1">
      <c r="B43" s="9" t="s">
        <v>720</v>
      </c>
      <c r="C43" s="88">
        <v>12867.53</v>
      </c>
    </row>
    <row r="44" ht="15" customHeight="1">
      <c r="B44" s="9" t="s">
        <v>721</v>
      </c>
      <c r="C44" s="88">
        <v>13030</v>
      </c>
    </row>
    <row r="45" ht="15" customHeight="1">
      <c r="B45" s="9" t="s">
        <v>722</v>
      </c>
      <c r="C45" s="88">
        <v>12760.9</v>
      </c>
    </row>
    <row r="46" ht="15" customHeight="1">
      <c r="B46" s="9" t="s">
        <v>723</v>
      </c>
      <c r="C46" s="88">
        <v>41.76</v>
      </c>
    </row>
    <row r="47" ht="15" customHeight="1">
      <c r="B47" s="9" t="s">
        <v>724</v>
      </c>
      <c r="C47" s="88">
        <v>37</v>
      </c>
    </row>
    <row r="48" ht="15" customHeight="1">
      <c r="B48" s="9" t="s">
        <v>725</v>
      </c>
      <c r="C48" s="88">
        <v>12860</v>
      </c>
    </row>
    <row r="49" ht="15" customHeight="1">
      <c r="B49" s="9" t="s">
        <v>726</v>
      </c>
    </row>
    <row r="50" ht="15" customHeight="1">
      <c r="B50" s="9" t="s">
        <v>727</v>
      </c>
    </row>
    <row r="51" ht="54" customHeight="1">
      <c r="B51" s="9" t="s">
        <v>728</v>
      </c>
      <c r="C51" s="88">
        <v>4492.63</v>
      </c>
      <c r="J51" s="19" t="s">
        <v>729</v>
      </c>
    </row>
    <row r="52" ht="15" customHeight="1">
      <c r="B52" s="9" t="s">
        <v>730</v>
      </c>
      <c r="C52" s="88">
        <v>4265.41</v>
      </c>
    </row>
    <row r="53" ht="15" customHeight="1">
      <c r="B53" s="9" t="s">
        <v>731</v>
      </c>
      <c r="C53" s="88">
        <v>4132.18</v>
      </c>
    </row>
    <row r="54" ht="15" customHeight="1">
      <c r="B54" s="9" t="s">
        <v>732</v>
      </c>
      <c r="C54" s="88">
        <v>4132.57</v>
      </c>
    </row>
    <row r="55" ht="15" customHeight="1">
      <c r="B55" s="9" t="s">
        <v>733</v>
      </c>
      <c r="C55" s="88">
        <v>3471.53</v>
      </c>
    </row>
    <row r="56" ht="15" customHeight="1">
      <c r="B56" s="9" t="s">
        <v>734</v>
      </c>
      <c r="C56" s="88">
        <v>3453.74</v>
      </c>
    </row>
    <row r="57" ht="15" customHeight="1">
      <c r="B57" s="9" t="s">
        <v>735</v>
      </c>
    </row>
    <row r="58" ht="15" customHeight="1">
      <c r="B58" s="9" t="s">
        <v>736</v>
      </c>
    </row>
    <row r="59" ht="15" customHeight="1">
      <c r="B59" s="9" t="s">
        <v>737</v>
      </c>
    </row>
    <row r="60" ht="15" customHeight="1">
      <c r="B60" s="9" t="s">
        <v>738</v>
      </c>
    </row>
    <row r="61" ht="15" customHeight="1">
      <c r="B61" s="9" t="s">
        <v>739</v>
      </c>
    </row>
    <row r="62" ht="15" customHeight="1">
      <c r="B62" s="9" t="s">
        <v>740</v>
      </c>
    </row>
    <row r="63" ht="15" customHeight="1">
      <c r="B63" s="9" t="s">
        <v>741</v>
      </c>
      <c r="C63" s="88">
        <v>-188.1</v>
      </c>
    </row>
    <row r="64" ht="15" customHeight="1">
      <c r="B64" s="9" t="s">
        <v>742</v>
      </c>
    </row>
    <row r="65" ht="15" customHeight="1">
      <c r="B65" s="9" t="s">
        <v>743</v>
      </c>
    </row>
    <row r="66" ht="15" customHeight="1">
      <c r="B66" s="9" t="s">
        <v>744</v>
      </c>
    </row>
    <row r="67" ht="15" customHeight="1">
      <c r="B67" s="9" t="s">
        <v>745</v>
      </c>
      <c r="C67" s="88">
        <v>91.13</v>
      </c>
    </row>
    <row r="68" ht="15" customHeight="1">
      <c r="B68" s="9" t="s">
        <v>746</v>
      </c>
      <c r="C68" s="88">
        <v>90</v>
      </c>
    </row>
    <row r="69" ht="15" customHeight="1">
      <c r="B69" s="9" t="s">
        <v>747</v>
      </c>
      <c r="C69" s="88">
        <v>126</v>
      </c>
    </row>
    <row r="70" ht="15" customHeight="1">
      <c r="B70" s="9" t="s">
        <v>748</v>
      </c>
      <c r="C70" s="88">
        <v>57</v>
      </c>
    </row>
    <row r="71" ht="15" customHeight="1">
      <c r="B71" s="9" t="s">
        <v>749</v>
      </c>
      <c r="C71" s="88">
        <v>16.3</v>
      </c>
    </row>
    <row r="72" ht="15" customHeight="1">
      <c r="B72" s="9" t="s">
        <v>750</v>
      </c>
      <c r="C72" s="88">
        <v>45</v>
      </c>
    </row>
    <row r="73" ht="15" customHeight="1">
      <c r="B73" s="9" t="s">
        <v>751</v>
      </c>
      <c r="C73" s="9" t="s">
        <v>752</v>
      </c>
    </row>
    <row r="74" ht="15" customHeight="1">
      <c r="B74" s="9" t="s">
        <v>753</v>
      </c>
      <c r="C74" s="88">
        <v>1.87</v>
      </c>
    </row>
    <row r="75" ht="15" customHeight="1">
      <c r="B75" s="9" t="s">
        <v>754</v>
      </c>
      <c r="C75" s="88">
        <v>70.53</v>
      </c>
    </row>
    <row r="76" ht="15" customHeight="1">
      <c r="B76" s="9" t="s">
        <v>755</v>
      </c>
      <c r="C76" s="9" t="s">
        <v>756</v>
      </c>
    </row>
    <row r="77" ht="15" customHeight="1">
      <c r="B77" s="9" t="s">
        <v>757</v>
      </c>
      <c r="C77" s="9" t="s">
        <v>661</v>
      </c>
    </row>
    <row r="78" ht="15" customHeight="1">
      <c r="B78" s="9" t="s">
        <v>758</v>
      </c>
      <c r="C78" s="9" t="s">
        <v>759</v>
      </c>
    </row>
    <row r="80" ht="15" customHeight="1">
      <c r="B80" s="3" t="s">
        <v>760</v>
      </c>
    </row>
    <row r="81" ht="41.25" customHeight="1">
      <c r="B81" s="14" t="s">
        <v>761</v>
      </c>
      <c r="C81" s="14" t="s">
        <v>762</v>
      </c>
      <c r="D81" s="14" t="s">
        <v>763</v>
      </c>
      <c r="E81" s="14" t="s">
        <v>764</v>
      </c>
      <c r="F81" s="14" t="s">
        <v>765</v>
      </c>
      <c r="G81" s="14" t="s">
        <v>766</v>
      </c>
      <c r="H81" s="14" t="s">
        <v>767</v>
      </c>
      <c r="I81" s="14" t="s">
        <v>768</v>
      </c>
    </row>
    <row r="82" ht="15" customHeight="1">
      <c r="B82" s="8" t="s">
        <v>769</v>
      </c>
      <c r="C82" s="8" t="s">
        <v>770</v>
      </c>
      <c r="D82" s="88">
        <v>0.57</v>
      </c>
      <c r="E82" s="88">
        <v>0.66</v>
      </c>
      <c r="F82" s="88">
        <v>0.57</v>
      </c>
      <c r="G82" s="88">
        <v>0.66</v>
      </c>
      <c r="H82" s="88">
        <v>10503.36</v>
      </c>
      <c r="I82" s="88">
        <v>10542.8</v>
      </c>
    </row>
    <row r="83" ht="15" customHeight="1">
      <c r="B83" s="8" t="s">
        <v>771</v>
      </c>
      <c r="C83" s="8" t="s">
        <v>507</v>
      </c>
      <c r="D83" s="88">
        <v>0.71</v>
      </c>
      <c r="E83" s="88">
        <v>0.72</v>
      </c>
      <c r="F83" s="88">
        <v>0.7</v>
      </c>
      <c r="G83" s="88">
        <v>0.72</v>
      </c>
      <c r="H83" s="88">
        <v>11050.23</v>
      </c>
      <c r="I83" s="88">
        <v>11079.17</v>
      </c>
    </row>
    <row r="84" ht="15" customHeight="1">
      <c r="B84" s="8" t="s">
        <v>772</v>
      </c>
      <c r="C84" s="8" t="s">
        <v>512</v>
      </c>
      <c r="D84" s="88">
        <v>0.7</v>
      </c>
      <c r="E84" s="88">
        <v>0.59</v>
      </c>
      <c r="F84" s="88">
        <v>0.7</v>
      </c>
      <c r="G84" s="88">
        <v>0.59</v>
      </c>
      <c r="H84" s="88">
        <v>11511.19</v>
      </c>
      <c r="I84" s="88">
        <v>11510.31</v>
      </c>
    </row>
    <row r="85" ht="15" customHeight="1">
      <c r="B85" s="8" t="s">
        <v>773</v>
      </c>
      <c r="C85" s="8" t="s">
        <v>517</v>
      </c>
      <c r="D85" s="88">
        <v>0.55</v>
      </c>
      <c r="E85" s="88">
        <v>0.56</v>
      </c>
      <c r="F85" s="88">
        <v>0.55</v>
      </c>
      <c r="G85" s="88">
        <v>0.56</v>
      </c>
      <c r="H85" s="88">
        <v>11966.85</v>
      </c>
      <c r="I85" s="88">
        <v>12050.76</v>
      </c>
    </row>
    <row r="86" ht="15" customHeight="1">
      <c r="B86" s="8" t="s">
        <v>774</v>
      </c>
      <c r="C86" s="8" t="s">
        <v>524</v>
      </c>
      <c r="D86" s="88">
        <v>1.32</v>
      </c>
      <c r="E86" s="88">
        <v>1.23</v>
      </c>
      <c r="F86" s="88">
        <v>1.25</v>
      </c>
      <c r="G86" s="88">
        <v>1.23</v>
      </c>
      <c r="H86" s="88">
        <v>12173.11</v>
      </c>
      <c r="I86" s="88">
        <v>12249.76</v>
      </c>
    </row>
    <row r="87" ht="15" customHeight="1">
      <c r="B87" s="8" t="s">
        <v>775</v>
      </c>
      <c r="C87" s="8" t="s">
        <v>530</v>
      </c>
      <c r="D87" s="88">
        <v>0.79</v>
      </c>
      <c r="E87" s="88">
        <v>0.8</v>
      </c>
      <c r="F87" s="88">
        <v>0.79</v>
      </c>
      <c r="G87" s="88">
        <v>0.8</v>
      </c>
      <c r="H87" s="88">
        <v>12582.53</v>
      </c>
      <c r="I87" s="88">
        <v>12559.94</v>
      </c>
    </row>
    <row r="89" ht="15" customHeight="1">
      <c r="B89" s="3" t="s">
        <v>776</v>
      </c>
    </row>
    <row r="90" ht="15" customHeight="1">
      <c r="B90" s="9" t="s">
        <v>777</v>
      </c>
      <c r="C90" s="9" t="s">
        <v>778</v>
      </c>
    </row>
    <row r="91" ht="15" customHeight="1">
      <c r="B91" s="9" t="s">
        <v>679</v>
      </c>
      <c r="C91" s="9" t="s">
        <v>680</v>
      </c>
    </row>
    <row r="92" ht="15" customHeight="1">
      <c r="B92" s="9" t="s">
        <v>779</v>
      </c>
      <c r="C92" s="9" t="s">
        <v>8</v>
      </c>
    </row>
    <row r="93" ht="15" customHeight="1">
      <c r="B93" s="9" t="s">
        <v>780</v>
      </c>
      <c r="C93" s="9" t="s">
        <v>691</v>
      </c>
    </row>
    <row r="94" ht="15" customHeight="1">
      <c r="B94" s="9" t="s">
        <v>761</v>
      </c>
      <c r="C94" s="9" t="s">
        <v>693</v>
      </c>
    </row>
    <row r="95" ht="15" customHeight="1">
      <c r="B95" s="9" t="s">
        <v>781</v>
      </c>
      <c r="C95" s="9" t="s">
        <v>661</v>
      </c>
    </row>
    <row r="96" ht="15" customHeight="1">
      <c r="B96" s="9" t="s">
        <v>782</v>
      </c>
      <c r="C96" s="88">
        <v>35</v>
      </c>
    </row>
    <row r="97" ht="15" customHeight="1">
      <c r="B97" s="9" t="s">
        <v>783</v>
      </c>
      <c r="C97" s="88">
        <v>0.82</v>
      </c>
    </row>
    <row r="98" ht="15" customHeight="1">
      <c r="B98" s="9" t="s">
        <v>696</v>
      </c>
      <c r="C98" s="9" t="s">
        <v>784</v>
      </c>
    </row>
    <row r="99" ht="15" customHeight="1">
      <c r="B99" s="9" t="s">
        <v>785</v>
      </c>
      <c r="C99" s="88">
        <v>12875.31</v>
      </c>
    </row>
    <row r="100" ht="15" customHeight="1">
      <c r="B100" s="9" t="s">
        <v>786</v>
      </c>
      <c r="C100" s="9" t="s">
        <v>687</v>
      </c>
    </row>
    <row r="101" ht="15" customHeight="1">
      <c r="B101" s="9" t="s">
        <v>787</v>
      </c>
      <c r="C101" s="9" t="s">
        <v>788</v>
      </c>
    </row>
    <row r="102" ht="15" customHeight="1">
      <c r="B102" s="9" t="s">
        <v>789</v>
      </c>
      <c r="C102" s="9" t="s">
        <v>790</v>
      </c>
    </row>
    <row r="103" ht="15" customHeight="1">
      <c r="B103" s="9" t="s">
        <v>791</v>
      </c>
      <c r="C103" s="9" t="s">
        <v>687</v>
      </c>
    </row>
    <row r="104" ht="15" customHeight="1">
      <c r="B104" s="9" t="s">
        <v>792</v>
      </c>
      <c r="C104" s="9" t="s">
        <v>687</v>
      </c>
    </row>
    <row r="105" ht="15" customHeight="1">
      <c r="B105" s="9" t="s">
        <v>793</v>
      </c>
      <c r="C105" s="9" t="s">
        <v>794</v>
      </c>
    </row>
    <row r="106" ht="15" customHeight="1">
      <c r="B106" s="9" t="s">
        <v>795</v>
      </c>
      <c r="C106" s="9" t="s">
        <v>687</v>
      </c>
    </row>
    <row r="107" ht="15" customHeight="1">
      <c r="B107" s="9" t="s">
        <v>796</v>
      </c>
      <c r="C107" s="9" t="s">
        <v>797</v>
      </c>
    </row>
    <row r="108" ht="15" customHeight="1">
      <c r="B108" s="9" t="s">
        <v>798</v>
      </c>
      <c r="C108" s="9" t="s">
        <v>799</v>
      </c>
    </row>
    <row r="110" ht="15" customHeight="1">
      <c r="B110" s="3" t="s">
        <v>800</v>
      </c>
    </row>
    <row r="111" ht="15" customHeight="1">
      <c r="B111" s="9" t="s">
        <v>801</v>
      </c>
      <c r="C111" s="9" t="s">
        <v>802</v>
      </c>
    </row>
    <row r="112" ht="15" customHeight="1">
      <c r="B112" s="9" t="s">
        <v>803</v>
      </c>
      <c r="C112" s="9" t="s">
        <v>804</v>
      </c>
    </row>
    <row r="113" ht="15" customHeight="1">
      <c r="B113" s="9" t="s">
        <v>805</v>
      </c>
      <c r="C113" s="9" t="s">
        <v>806</v>
      </c>
    </row>
    <row r="114" ht="15" customHeight="1">
      <c r="B114" s="9" t="s">
        <v>807</v>
      </c>
      <c r="C114" s="9" t="s">
        <v>808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2026-10-19T15:53:19Z</dcterms:created>
</cp:coreProperties>
</file>