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Cover" sheetId="1" r:id="rId1"/>
    <sheet name="Revenue summary" sheetId="2" r:id="rId3"/>
    <sheet name="Segment - FPL" sheetId="3" r:id="rId4"/>
    <sheet name="Segment - NEER" sheetId="4" r:id="rId5"/>
    <sheet name="Income Statement" sheetId="5" r:id="rId6"/>
    <sheet name="Balance Sheet" sheetId="6" r:id="rId7"/>
    <sheet name="Cash Flow Statement" sheetId="7" r:id="rId8"/>
    <sheet name="Share Count" sheetId="8" r:id="rId9"/>
    <sheet name="Guidance" sheetId="9" r:id="rId10"/>
    <sheet name="Sources" sheetId="10" r:id="rId11"/>
    <sheet name="Inputs" sheetId="11" r:id="rId12"/>
  </sheets>
  <calcPr calcId="0"/>
</workbook>
</file>

<file path=xl/sharedStrings.xml><?xml version="1.0" encoding="utf-8"?>
<sst xmlns="http://schemas.openxmlformats.org/spreadsheetml/2006/main" count="2411" uniqueCount="1007">
  <si>
    <t>NextEra Energy, Inc. (NYSE: NEE)</t>
  </si>
  <si>
    <t>Company Model — built by Shortcut</t>
  </si>
  <si>
    <t>$ millions, except per share</t>
  </si>
  <si>
    <t>Columns are defined by each table's own header row (this sheet has no period columns)</t>
  </si>
  <si>
    <t>Notes / sources</t>
  </si>
  <si>
    <t>Company information</t>
  </si>
  <si>
    <t>Company</t>
  </si>
  <si>
    <t>NextEra Energy, Inc.</t>
  </si>
  <si>
    <t>Ticker</t>
  </si>
  <si>
    <t>NEE</t>
  </si>
  <si>
    <t>Exchange</t>
  </si>
  <si>
    <t>New York Stock Exchange (NYSE: NEE)</t>
  </si>
  <si>
    <t>Fiscal year end</t>
  </si>
  <si>
    <t>CapIQ fiscal_year_end (Dec-31)</t>
  </si>
  <si>
    <t>Reporting currency</t>
  </si>
  <si>
    <t>USD (amounts in $ millions)</t>
  </si>
  <si>
    <t>EPS basis</t>
  </si>
  <si>
    <t>Adjusted (normalized) diluted EPS per common share, USD = CapIQ normalized basis</t>
  </si>
  <si>
    <t>Target period</t>
  </si>
  <si>
    <t>FQ3 2026 — quarter ended 30-Sep-2026 (supplied label 2026-09-30 matches issuer quarter end)</t>
  </si>
  <si>
    <t>Information cutoff</t>
  </si>
  <si>
    <t>Expected report date</t>
  </si>
  <si>
    <t>2026-10-21 before market open (issuer-confirmed, S20); CapIQ supplied 2026-10-23 (unconfirmed)</t>
  </si>
  <si>
    <t>Author</t>
  </si>
  <si>
    <t>Shortcut</t>
  </si>
  <si>
    <t>Headline estimates — 3Q26E</t>
  </si>
  <si>
    <t>Shortcut estimate</t>
  </si>
  <si>
    <t>Consensus (CapIQ, 18-Oct-26)</t>
  </si>
  <si>
    <t>Variance</t>
  </si>
  <si>
    <t>Variance %</t>
  </si>
  <si>
    <t>Guidance midpoint</t>
  </si>
  <si>
    <t>Est. vs guidance</t>
  </si>
  <si>
    <t>3Q25A (year ago)</t>
  </si>
  <si>
    <t>Total revenue ($M)</t>
  </si>
  <si>
    <t>n/a</t>
  </si>
  <si>
    <t>No revenue guidance issued; CapIQ revenue consensus overstated actuals in 6/6 prior quarters</t>
  </si>
  <si>
    <t>Net income — adjusted ($M)</t>
  </si>
  <si>
    <t>CapIQ "net income excl. exceptional" (fewer contributors; implied by EPS × shares ≈ $2,471M)</t>
  </si>
  <si>
    <t>Net income — GAAP attributable ($M)</t>
  </si>
  <si>
    <t>Adjusted diluted EPS ($)</t>
  </si>
  <si>
    <t>FY guide only</t>
  </si>
  <si>
    <t>GAAP diluted EPS ($)</t>
  </si>
  <si>
    <t>CapIQ GAAP mean (3 estimates)</t>
  </si>
  <si>
    <t>Diluted shares (M)</t>
  </si>
  <si>
    <t>Checks: hist. ties + identities</t>
  </si>
  <si>
    <t>AND of historical tie-outs to reported/CapIQ figures (Revenue summary, Income Statement, Balance Sheet, Cash Flow incl. CF-vs-IS net income, Segment - NEER bridge) plus internal integration identities. Balance Sheet!I59 (3Q26E) is an integration identity only: it balances by construction because LTD issuance (CF!I39) is a residual cash plug, so it is not independent validation. Other 3Q26E by-construction checks (IS I97/I113, CF I59:I61, NEER I67, Cover links) are excluded. This flag does not validate forecast EPS.</t>
  </si>
  <si>
    <t>P(beat consensus EPS)</t>
  </si>
  <si>
    <t>Probability reported adjusted EPS &gt; $1.18 frozen consensus; see calibration below</t>
  </si>
  <si>
    <t>Confidence</t>
  </si>
  <si>
    <t>medium</t>
  </si>
  <si>
    <t>Other consensus references (recorded separately; frozen CapIQ snapshot remains the scoring baseline)</t>
  </si>
  <si>
    <t>Earnings Whispers cons. / whisper</t>
  </si>
  <si>
    <t>AlphaStreet consensus (13 ests.)</t>
  </si>
  <si>
    <t>KeyCorp estimate (cut from $1.34)</t>
  </si>
  <si>
    <t>CapIQ EPS median / high / low</t>
  </si>
  <si>
    <t>Check tolerance</t>
  </si>
  <si>
    <t>Exact-tie tolerance for numeric checks ($M)</t>
  </si>
  <si>
    <t>Used by the overall check for balance-sheet and cash-flow difference rows</t>
  </si>
  <si>
    <t>Beat-probability calibration (playbook v2: size &amp; issuer history)</t>
  </si>
  <si>
    <t>Market cap ($B, 16-Oct-26)</t>
  </si>
  <si>
    <t>S30; cross-check: CapIQ last close × 30-Jun-26 shares below</t>
  </si>
  <si>
    <t>Cross-check: price × shares ($B)</t>
  </si>
  <si>
    <t>Size threshold: mid-cap floor ($B)</t>
  </si>
  <si>
    <t>Playbook v2</t>
  </si>
  <si>
    <t>Size threshold: large-cap floor ($B)</t>
  </si>
  <si>
    <t>Size bucket</t>
  </si>
  <si>
    <t>Small $0.3–2B; mid $2–10B; large &gt; $10B</t>
  </si>
  <si>
    <t>S&amp;P 500 member</t>
  </si>
  <si>
    <t>yes</t>
  </si>
  <si>
    <t>S31 (iShares S&amp;P 500 Utilities holdings, NEE 12.6% weight)</t>
  </si>
  <si>
    <t>Cohort prior — large or S&amp;P 500</t>
  </si>
  <si>
    <t>Forecasting playbook v2 rounded hypothesis (0.60 small / 0.70 mid / 0.78 large or S&amp;P 500), not an empirical estimate</t>
  </si>
  <si>
    <t>Cohort prior — mid</t>
  </si>
  <si>
    <t>Playbook v2 hypothesis</t>
  </si>
  <si>
    <t>Cohort prior — small</t>
  </si>
  <si>
    <t>Cohort prior applied</t>
  </si>
  <si>
    <t>Applied once (large OR S&amp;P 500)</t>
  </si>
  <si>
    <t>b — strict beats in six CapIQ quarters</t>
  </si>
  <si>
    <t>n — valid pairs</t>
  </si>
  <si>
    <t>Pseudo-count</t>
  </si>
  <si>
    <t>Fixed experimental regularization weight</t>
  </si>
  <si>
    <t>Starting p = (k·prior + b)/(k + n)</t>
  </si>
  <si>
    <t>Mean historical surprise ($/sh)</t>
  </si>
  <si>
    <t>All six positive ($0.01–$0.11)</t>
  </si>
  <si>
    <t>Final probability (after evidence)</t>
  </si>
  <si>
    <t>Model EPS ≈ consensus; negative 60-day revisions (KeyCorp −$0.11) and tough 3Q25 customer-supply comp offset the strong beat record</t>
  </si>
  <si>
    <t>Evidence adjustment (final − starting)</t>
  </si>
  <si>
    <t>Revenue summary</t>
  </si>
  <si>
    <t>Period</t>
  </si>
  <si>
    <t>1Q25A</t>
  </si>
  <si>
    <t>2Q25A</t>
  </si>
  <si>
    <t>3Q25A</t>
  </si>
  <si>
    <t>4Q25A</t>
  </si>
  <si>
    <t>FY25A</t>
  </si>
  <si>
    <t>1Q26A</t>
  </si>
  <si>
    <t>2Q26A</t>
  </si>
  <si>
    <t>3Q26E</t>
  </si>
  <si>
    <t>Period end date</t>
  </si>
  <si>
    <t>Days in period</t>
  </si>
  <si>
    <t>Operating revenues by segment</t>
  </si>
  <si>
    <t>FPL</t>
  </si>
  <si>
    <t>Reported segment (regulated utility)</t>
  </si>
  <si>
    <t xml:space="preserve">   % Y/Y</t>
  </si>
  <si>
    <t xml:space="preserve">   % Q/Q</t>
  </si>
  <si>
    <t xml:space="preserve">   % of total revenue</t>
  </si>
  <si>
    <t xml:space="preserve">   Growth decomposition (Y/Y)</t>
  </si>
  <si>
    <t xml:space="preserve">      Organic growth</t>
  </si>
  <si>
    <t>Organic = (1+Y/Y)/((1+M&amp;A)*(1+FX))-1 not computable: M&amp;A and FX effects not disclosed by NEE</t>
  </si>
  <si>
    <t xml:space="preserve">      M&amp;A / scope impact</t>
  </si>
  <si>
    <t>not disclosed</t>
  </si>
  <si>
    <t>NEE does not disclose acquisition/scope revenue effects (checked 10-Q MD&amp;A)</t>
  </si>
  <si>
    <t xml:space="preserve">      FX impact</t>
  </si>
  <si>
    <t>Canadian exposure immaterial; FX revenue effect not disclosed</t>
  </si>
  <si>
    <t xml:space="preserve">      Total Y/Y growth</t>
  </si>
  <si>
    <t>NEER</t>
  </si>
  <si>
    <t>Reported segment (competitive energy &amp; transmission)</t>
  </si>
  <si>
    <t>Corporate &amp; Other (incl. eliminations)</t>
  </si>
  <si>
    <t>S3–S8; not a reportable segment. 3Q26E assumption $115M (3Q25A 115; 1H26 avg 112)</t>
  </si>
  <si>
    <t>Total operating revenues</t>
  </si>
  <si>
    <t>Feeds Income Statement</t>
  </si>
  <si>
    <t>Checks</t>
  </si>
  <si>
    <t>Rounding tolerance for checks ($M)</t>
  </si>
  <si>
    <t>Quarterly sums vs reported FY differ by ±$1M from rounding in filings</t>
  </si>
  <si>
    <t>Total revenues — reported</t>
  </si>
  <si>
    <t>S3–S8; FY25 S6 (27,412)</t>
  </si>
  <si>
    <t xml:space="preserve">   Check: segments sum to total</t>
  </si>
  <si>
    <t>TRUE when |segments − reported| ≤ tolerance (FY25 differs by $1M rounding)</t>
  </si>
  <si>
    <t xml:space="preserve">   CapIQ revenue actual (Inputs)</t>
  </si>
  <si>
    <t>S1</t>
  </si>
  <si>
    <t xml:space="preserve">   Check: CapIQ actual = reported</t>
  </si>
  <si>
    <t xml:space="preserve">   CapIQ revenue consensus (Inputs)</t>
  </si>
  <si>
    <t>S1/S2</t>
  </si>
  <si>
    <t xml:space="preserve">   Reported (or estimate) vs consensus %</t>
  </si>
  <si>
    <t>Geography: substantially all revenue is U.S.; NEER owns a small Canadian portfolio but NEE does not disclose revenue by geography (checked 2025 Form 10-K, S34) — Geo tab omitted.</t>
  </si>
  <si>
    <t>Segment — Florida Power &amp; Light (FPL)</t>
  </si>
  <si>
    <t>A. Customer accounts (thousands)</t>
  </si>
  <si>
    <t>Opening customer accounts (total)</t>
  </si>
  <si>
    <t>S13: 31-Dec-2024 end-of-period accounts 6,006k; 2Q26 opening n/a (31-Mar-26 EOP not retrieved)</t>
  </si>
  <si>
    <t xml:space="preserve">   Gross additions</t>
  </si>
  <si>
    <t>FPL discloses net counts only</t>
  </si>
  <si>
    <t xml:space="preserve">   Terminations / churn</t>
  </si>
  <si>
    <t xml:space="preserve">   Net additions</t>
  </si>
  <si>
    <t>3Q26E assumption 22k (3Q25A 21k; Florida migration steady)</t>
  </si>
  <si>
    <t>Closing customer accounts (total)</t>
  </si>
  <si>
    <t>S11/S14/S12/S13 FPL Statistics, end-of-period accounts</t>
  </si>
  <si>
    <t xml:space="preserve">      Net additions Y/Y change</t>
  </si>
  <si>
    <t xml:space="preserve">      Net additions Q/Q change</t>
  </si>
  <si>
    <t xml:space="preserve">   Closing accounts Y/Y change</t>
  </si>
  <si>
    <t xml:space="preserve">   Closing accounts Q/Q change</t>
  </si>
  <si>
    <t>Average customer accounts by class</t>
  </si>
  <si>
    <t xml:space="preserve">   Residential — average accounts</t>
  </si>
  <si>
    <t>S11–S14 FPL Statistics; 1Q26 = 2×6M avg − 2Q avg (approximation)</t>
  </si>
  <si>
    <t xml:space="preserve">      % Y/Y</t>
  </si>
  <si>
    <t xml:space="preserve">      Q/Q change (absolute)</t>
  </si>
  <si>
    <t xml:space="preserve">   Commercial — average accounts</t>
  </si>
  <si>
    <t xml:space="preserve">   Industrial — average accounts</t>
  </si>
  <si>
    <t xml:space="preserve">   Other — average accounts</t>
  </si>
  <si>
    <t>Total average customer accounts</t>
  </si>
  <si>
    <t>Sum of classes (reported total: 6,021 / 6,050 / 6,075 / 6,092 / FY 6,060 / 2Q26 6,141; rounding). 3Q26E basis differs: midpoint of opening/closing period-end accounts (history reported avg exceeded that midpoint by ~1.5–4.5k); feeds class mix/usage memos only, not revenue</t>
  </si>
  <si>
    <t xml:space="preserve">   Q/Q change (absolute)</t>
  </si>
  <si>
    <t xml:space="preserve">   Residential share of accounts (mix %)</t>
  </si>
  <si>
    <t xml:space="preserve">      Y/Y change (bp)</t>
  </si>
  <si>
    <t xml:space="preserve">      Q/Q change (bp)</t>
  </si>
  <si>
    <t>B. Energy sales (million kWh) and weather</t>
  </si>
  <si>
    <t xml:space="preserve">   Residential kWh sales</t>
  </si>
  <si>
    <t>S11–S14; 1Q26 = 6M YTD − 2Q (S14)</t>
  </si>
  <si>
    <t xml:space="preserve">      % Y/Y (3Q26E = assumption)</t>
  </si>
  <si>
    <t xml:space="preserve">   Commercial kWh sales</t>
  </si>
  <si>
    <t xml:space="preserve">   Industrial kWh sales</t>
  </si>
  <si>
    <t xml:space="preserve">   Other retail kWh sales</t>
  </si>
  <si>
    <t xml:space="preserve">   Billed retail kWh subtotal</t>
  </si>
  <si>
    <t xml:space="preserve">   Increase (decrease) in unbilled sales</t>
  </si>
  <si>
    <t>S11–S14; 3Q26E assumption = 3Q25A level (no information)</t>
  </si>
  <si>
    <t xml:space="preserve">      Y/Y change (absolute)</t>
  </si>
  <si>
    <t xml:space="preserve">   Total retail kWh sales</t>
  </si>
  <si>
    <t>Reported total retail: 27,040 / 34,934 / 38,499 / 29,511 / 1Q26 27,958 / 35,068</t>
  </si>
  <si>
    <t xml:space="preserve">   Electric utilities (wholesale) kWh</t>
  </si>
  <si>
    <t>S11–S14</t>
  </si>
  <si>
    <t xml:space="preserve">   Interchange power sales kWh</t>
  </si>
  <si>
    <t>S11–S14; 3Q26E held at 3Q25A</t>
  </si>
  <si>
    <t>Total energy sales (million kWh)</t>
  </si>
  <si>
    <t>Reported totals: 30,187 / 38,342 / 41,926 / 32,342 / 2Q26 37,870</t>
  </si>
  <si>
    <t xml:space="preserve">   Residential usage / account (MWh)</t>
  </si>
  <si>
    <t xml:space="preserve">   Cooling degree equivalent days (actual)</t>
  </si>
  <si>
    <t>S11–S14 (72°F base). 3Q26E assumption 1,020: Jul-26 above normal, Aug-26 record-warm SE Florida, Sep-26 near normal (S22–S24)</t>
  </si>
  <si>
    <t xml:space="preserve">   Cooling degree equivalent days (normal)</t>
  </si>
  <si>
    <t xml:space="preserve">   CDD vs normal (%)</t>
  </si>
  <si>
    <t>C. Average price (cents per kWh; excl. unbilled, interchange, clause deferrals)</t>
  </si>
  <si>
    <t xml:space="preserve">   Residential average price</t>
  </si>
  <si>
    <t>S11–S14; 1Q26 derived from 6M YTD and 2Q (S14)</t>
  </si>
  <si>
    <t xml:space="preserve">      Y/Y change (cents)</t>
  </si>
  <si>
    <t xml:space="preserve">      Q/Q change (cents)</t>
  </si>
  <si>
    <t xml:space="preserve">   Commercial average price</t>
  </si>
  <si>
    <t xml:space="preserve">   Industrial average price</t>
  </si>
  <si>
    <t>D. FPL revenue build ($ millions)</t>
  </si>
  <si>
    <t xml:space="preserve">   Residential billed revenue (kWh × price)</t>
  </si>
  <si>
    <t xml:space="preserve">      % Q/Q</t>
  </si>
  <si>
    <t xml:space="preserve">   Commercial billed revenue (kWh × price)</t>
  </si>
  <si>
    <t xml:space="preserve">   Industrial billed revenue (kWh × price)</t>
  </si>
  <si>
    <t xml:space="preserve">   Total average price (c/kWh)</t>
  </si>
  <si>
    <t>S11–S14 "Total" average price; base includes electric-utility (wholesale) kWh (verified: classes alone exceed total at total price)</t>
  </si>
  <si>
    <t xml:space="preserve">   Billed revenue at total avg. price</t>
  </si>
  <si>
    <t xml:space="preserve">   Other retail &amp; wholesale billed revenue</t>
  </si>
  <si>
    <t>Derived = total-price revenue − residential − commercial − industrial</t>
  </si>
  <si>
    <t xml:space="preserve">      Other billed price Y/Y (assump.)</t>
  </si>
  <si>
    <t>Assumption, in line with class price assumptions</t>
  </si>
  <si>
    <t xml:space="preserve">   Billed revenue subtotal</t>
  </si>
  <si>
    <t xml:space="preserve">   FPL operating revenues — reported</t>
  </si>
  <si>
    <t>S3–S8 segment income statements (FY25 = sum of quarters; reported FY 18,261 incl. rounding)</t>
  </si>
  <si>
    <t xml:space="preserve">   Unbilled, clause &amp; other revenue</t>
  </si>
  <si>
    <t>Derived = reported − billed; 3Q26E = 3Q25A + assumed change</t>
  </si>
  <si>
    <t xml:space="preserve">      Y/Y change (assump.)</t>
  </si>
  <si>
    <t>Assumption: no information on unbilled/clause timing</t>
  </si>
  <si>
    <t>FPL operating revenues</t>
  </si>
  <si>
    <t>Feeds Revenue summary</t>
  </si>
  <si>
    <t>Disclosed Y/Y revenue drivers ($M, 10-Q MD&amp;A)</t>
  </si>
  <si>
    <t xml:space="preserve">      Retail base revenues change</t>
  </si>
  <si>
    <t>n/f</t>
  </si>
  <si>
    <t>S9 3Q25; S10 2Q26 (6M 561); new 2025 rate agreement +$251M in 2Q26</t>
  </si>
  <si>
    <t xml:space="preserve">      Fuel revenues change</t>
  </si>
  <si>
    <t>S9; S10 (6M 207)</t>
  </si>
  <si>
    <t xml:space="preserve">      SPP clause revenue change</t>
  </si>
  <si>
    <t>S9; S10 (6M 108)</t>
  </si>
  <si>
    <t xml:space="preserve">      Storm cost recovery revenues change</t>
  </si>
  <si>
    <t>S9: 3Q25 surcharge +$386M (Debby/Helene/Milton) rolls off in 3Q26 (12-month surcharge ended Dec-25). Cached S9/S11–S14 indicate by reconciliation (not explicit disclosure) it sat in 3Q25 billed class prices: billed kWh×price +$424M Y/Y vs row-119 residual −$78M. 3Q26E prices (3Q25 ×1.01) therefore assume new base rates/fuel offset the roll-off (2Q26 analogue S10: storm −$309M vs base +$251M, fuel +$137M, SPP +$47M). Not reconciled line-by-line (n/f)</t>
  </si>
  <si>
    <t>E. FPL earnings drivers</t>
  </si>
  <si>
    <t xml:space="preserve">   FPL capital expenditures ($M, cash flow)</t>
  </si>
  <si>
    <t>Linked from Cash Flow Statement (capital expenditures of FPL, sign flipped)</t>
  </si>
  <si>
    <t xml:space="preserve">   Regulatory capital employed growth Y/Y</t>
  </si>
  <si>
    <t>S3 8.1%; S4 "nearly 8%" (7.9% approx); S16 ~7.8%; S6 FY 8.1%; S7 8.8%; S8 9.3%. 3Q26E assumption 9.5% (capex $12–13B FY26 vs $8.9B FY25)</t>
  </si>
  <si>
    <t xml:space="preserve">   Regulatory capital employed ($B)</t>
  </si>
  <si>
    <t>S16 3Q25 $74.2B (3Q24 $68.9B); other quarters not disclosed</t>
  </si>
  <si>
    <t xml:space="preserve">      Y/Y change ($B)</t>
  </si>
  <si>
    <t xml:space="preserve">      Q/Q change ($B)</t>
  </si>
  <si>
    <t xml:space="preserve">   Regulatory ROE, trailing 12 months</t>
  </si>
  <si>
    <t>S15/S10: 11.6% (Mar-25, Jun-25), 11.7% (Jun-26)</t>
  </si>
  <si>
    <t xml:space="preserve">   RSM/reserve amortization, pre-tax</t>
  </si>
  <si>
    <t>S9/S10/Q4 call: earnings-targeting lever; not forecast (output of ROE targeting)</t>
  </si>
  <si>
    <t>FPL net income (GAAP = adjusted)</t>
  </si>
  <si>
    <t>S3–S8</t>
  </si>
  <si>
    <t xml:space="preserve">   NI growth in excess of RCE growth (pp)</t>
  </si>
  <si>
    <t>3Q25 NI growth vs 3Q24 NI $1,293M (S5, memo below). 3Q26E assumption +0.5pp (1H26 avg +1.9pp; 3Q25 base included +$0.04 "other")</t>
  </si>
  <si>
    <t xml:space="preserve">   FPL EPS contribution ($/diluted share)</t>
  </si>
  <si>
    <t>Net income / diluted shares (Share Count)</t>
  </si>
  <si>
    <t xml:space="preserve">      FPL EPS — reported</t>
  </si>
  <si>
    <t>S3–S8; FY25 S33</t>
  </si>
  <si>
    <t xml:space="preserve">      EPS contribution Y/Y change</t>
  </si>
  <si>
    <t xml:space="preserve">      EPS contribution Q/Q change</t>
  </si>
  <si>
    <t>Memo: reported 6M 2026 YTD and prior-year inputs used in derivations above</t>
  </si>
  <si>
    <t xml:space="preserve">   6M kWh — Residential</t>
  </si>
  <si>
    <t>S14 FPL Statistics, periods ended 30-Jun-2026</t>
  </si>
  <si>
    <t xml:space="preserve">   6M kWh — Commercial</t>
  </si>
  <si>
    <t xml:space="preserve">   6M kWh — Industrial</t>
  </si>
  <si>
    <t xml:space="preserve">   6M kWh — Other retail</t>
  </si>
  <si>
    <t xml:space="preserve">   6M kWh — unbilled</t>
  </si>
  <si>
    <t xml:space="preserve">   6M kWh — electric utilities</t>
  </si>
  <si>
    <t xml:space="preserve">   6M kWh — interchange</t>
  </si>
  <si>
    <t xml:space="preserve">   6M average price — Residential</t>
  </si>
  <si>
    <t xml:space="preserve">   6M average price — Commercial</t>
  </si>
  <si>
    <t xml:space="preserve">   6M average price — Industrial</t>
  </si>
  <si>
    <t xml:space="preserve">   6M average price — total</t>
  </si>
  <si>
    <t xml:space="preserve">   6M average accounts — Residential</t>
  </si>
  <si>
    <t xml:space="preserve">   6M average accounts — Commercial</t>
  </si>
  <si>
    <t xml:space="preserve">   6M average accounts — Industrial</t>
  </si>
  <si>
    <t xml:space="preserve">   6M average accounts — Other</t>
  </si>
  <si>
    <t xml:space="preserve">   6M CDD (actual)</t>
  </si>
  <si>
    <t xml:space="preserve">   6M CDD (normal)</t>
  </si>
  <si>
    <t xml:space="preserve">   6M26 retail base revenue change (S10)</t>
  </si>
  <si>
    <t>S10 2Q26 10-Q</t>
  </si>
  <si>
    <t xml:space="preserve">   6M26 fuel revenue change (S10)</t>
  </si>
  <si>
    <t xml:space="preserve">   6M26 SPP clause revenue change (S10)</t>
  </si>
  <si>
    <t xml:space="preserve">   6M26 storm recovery revenue change (S10)</t>
  </si>
  <si>
    <t xml:space="preserve">   6M26 RSM amortization, pre-tax (S10)</t>
  </si>
  <si>
    <t xml:space="preserve">   3Q24 FPL net income (S5)</t>
  </si>
  <si>
    <t>S5 3Q25 release</t>
  </si>
  <si>
    <t>Segment — NextEra Energy Resources (NEER, incl. NEET)</t>
  </si>
  <si>
    <t>A. Renewables &amp; storage backlog ladder (GW; company "since prior call" basis)</t>
  </si>
  <si>
    <t>Opening backlog</t>
  </si>
  <si>
    <t>1Q25 opening not retrieved → n/a</t>
  </si>
  <si>
    <t xml:space="preserve">   Origination additions</t>
  </si>
  <si>
    <t>S3–S8. FY25 sum 13.0 vs company "~13.5 GW" (timing between calls). 3Q26E assumption 3.5 GW (6-qtr avg 3.4)</t>
  </si>
  <si>
    <t xml:space="preserve">      Y/Y change</t>
  </si>
  <si>
    <t xml:space="preserve">   Placed in service</t>
  </si>
  <si>
    <t>S3–S8; 3Q26E assumption 1.5 GW</t>
  </si>
  <si>
    <t xml:space="preserve">   Other changes (removed / sold; derived)</t>
  </si>
  <si>
    <t>Derived; 3Q26E assumption −0.5 GW</t>
  </si>
  <si>
    <t>Closing backlog</t>
  </si>
  <si>
    <t>S3 ~28; S4 "nearly 30" (29.9 approx); S16 ~29.6; S6 ~30; S7 ~33; S8 ~35.1</t>
  </si>
  <si>
    <t xml:space="preserve">      Other changes Y/Y change</t>
  </si>
  <si>
    <t xml:space="preserve">      Other changes Q/Q change</t>
  </si>
  <si>
    <t xml:space="preserve">   Closing backlog Y/Y change</t>
  </si>
  <si>
    <t xml:space="preserve">   Closing backlog Q/Q change</t>
  </si>
  <si>
    <t xml:space="preserve">   Average backlog in period</t>
  </si>
  <si>
    <t xml:space="preserve">      Average backlog Y/Y change</t>
  </si>
  <si>
    <t xml:space="preserve">      Average backlog Q/Q change</t>
  </si>
  <si>
    <t xml:space="preserve">   Placed in service, trailing 12 months (GW)</t>
  </si>
  <si>
    <t>Drives new-investment revenue below (4Q24 placements not retrieved → 1Q–3Q25 n/a)</t>
  </si>
  <si>
    <t xml:space="preserve">   Conversion: placed / opening backlog</t>
  </si>
  <si>
    <t>B. NEER revenue build ($ millions)</t>
  </si>
  <si>
    <t xml:space="preserve">   NEER revenues (reported; 3Q26E build)</t>
  </si>
  <si>
    <t>S3–S8 segment income statements</t>
  </si>
  <si>
    <t xml:space="preserve">   NQH commodity hedge gains in revenue</t>
  </si>
  <si>
    <t>S10/S9 10-Q MD&amp;A (6M25 +13, 2Q25 −175, 3Q25 +259, 6M26 +198, 2Q26 +188); 4Q25 not retrieved. 3Q26E assumption +150: Henry Hub −7.6% in 3Q26 (S26) favours NEER short hedges</t>
  </si>
  <si>
    <t xml:space="preserve">   Underlying revenue (ex-NQH)</t>
  </si>
  <si>
    <t xml:space="preserve">      New-investment revenue (Y/Y incr.)</t>
  </si>
  <si>
    <t>S9 3Q25 $136M; S10 2Q26 $213M (6M $394M). 3Q26E = trailing-12-month GW placed in service × revenue yield per GW</t>
  </si>
  <si>
    <t xml:space="preserve">         Revenue yield per trailing-12m GW placed ($M/GW)</t>
  </si>
  <si>
    <t>3Q26E assumption = latest observed yield (2Q26)</t>
  </si>
  <si>
    <t xml:space="preserve">            Y/Y change</t>
  </si>
  <si>
    <t xml:space="preserve">            Q/Q change (absolute)</t>
  </si>
  <si>
    <t xml:space="preserve">         New-investment revenue Q/Q change</t>
  </si>
  <si>
    <t xml:space="preserve">      Customer supply revenue (Y/Y incr.)</t>
  </si>
  <si>
    <t>S9 3Q25 +$209M; 3Q26E assumption 0 (customer supply earnings trending down)</t>
  </si>
  <si>
    <t xml:space="preserve">      Other underlying revenue change</t>
  </si>
  <si>
    <t>3Q26E assumption 0</t>
  </si>
  <si>
    <t xml:space="preserve">         Customer supply revenue Q/Q change</t>
  </si>
  <si>
    <t xml:space="preserve">         Other underlying change Q/Q change</t>
  </si>
  <si>
    <t>NEER operating revenues</t>
  </si>
  <si>
    <t>C. NEER adjusted earnings bridge (after-tax $M, Y/Y; 10-Q MD&amp;A)</t>
  </si>
  <si>
    <t xml:space="preserve">   Prior-year adjusted earnings</t>
  </si>
  <si>
    <t>S5: 3Q24 NEER adjusted earnings $979M</t>
  </si>
  <si>
    <t xml:space="preserve">      New investments</t>
  </si>
  <si>
    <t>S9 (3Q25), S10 (2Q26; 1Q26 = 6M − 2Q). 3Q26E assumption +$185M: ~6.5 GW placed in service in trailing 12 months incl. 3.6 GW in 4Q25 (2Q26 +$179M)</t>
  </si>
  <si>
    <t xml:space="preserve">      Existing clean energy</t>
  </si>
  <si>
    <t>S9 (3Q25), S10 (2Q26; 1Q26 = 6M − 2Q). 3Q26E assumption −$10M (wind resource neutral)</t>
  </si>
  <si>
    <t xml:space="preserve">      Customer supply</t>
  </si>
  <si>
    <t>S9 (3Q25), S10 (2Q26; 1Q26 = 6M − 2Q). 3Q26E assumption −$95M: 1Q26 −76, 2Q26 −70 against strong 3Q25 comp (+132)</t>
  </si>
  <si>
    <t xml:space="preserve">      NEET (transmission)</t>
  </si>
  <si>
    <t>S9 (3Q25), S10 (2Q26; 1Q26 = 6M − 2Q). 1Q26 includes transmission asset sale; 3Q26E +$5M</t>
  </si>
  <si>
    <t xml:space="preserve">      Other (financing, G&amp;A, recycling)</t>
  </si>
  <si>
    <t>S9 (3Q25), S10 (2Q26; 1Q26 = 6M − 2Q). 2Q26 +123 incl. ~$119M partial equity-interest sale gain (one-off). 3Q26E −$25M: higher financing, no announced 3Q sale</t>
  </si>
  <si>
    <t xml:space="preserve">   Total Y/Y change in adjusted earnings</t>
  </si>
  <si>
    <t>NEER adjusted earnings</t>
  </si>
  <si>
    <t>S3–S8 (history reported); 3Q26E = prior year + driver bridge</t>
  </si>
  <si>
    <t xml:space="preserve">   Check: bridge = reported</t>
  </si>
  <si>
    <t>Should be 0; 3Q26E true by construction (I66 = I59 + I65), excluded from Cover PASS</t>
  </si>
  <si>
    <t xml:space="preserve">   NEER GAAP net income attributable to NEE</t>
  </si>
  <si>
    <t xml:space="preserve">      After-tax adjustments (adj. − GAAP)</t>
  </si>
  <si>
    <t>3Q26E: −(NQH gain + XPLR) after tax, see Income Statement bridge</t>
  </si>
  <si>
    <t xml:space="preserve">   NEER adj. EPS contribution ($/sh)</t>
  </si>
  <si>
    <t>Adjusted earnings / diluted shares</t>
  </si>
  <si>
    <t xml:space="preserve">      NEER adjusted EPS — reported</t>
  </si>
  <si>
    <t>S3–S8; FY S33</t>
  </si>
  <si>
    <t>Memo: reported 6M YTD amounts used to derive 1Q values (10-Q MD&amp;A; shown under the 2Q column = 6M period end)</t>
  </si>
  <si>
    <t xml:space="preserve">   6M26 new investments (after-tax)</t>
  </si>
  <si>
    <t>S10</t>
  </si>
  <si>
    <t xml:space="preserve">   6M26 existing clean energy</t>
  </si>
  <si>
    <t xml:space="preserve">   6M26 customer supply</t>
  </si>
  <si>
    <t xml:space="preserve">   6M26 NEET</t>
  </si>
  <si>
    <t xml:space="preserve">   6M26 other</t>
  </si>
  <si>
    <t xml:space="preserve">   6M26 revenue from new investments</t>
  </si>
  <si>
    <t xml:space="preserve">   6M26 NQH commodity gains in revenue</t>
  </si>
  <si>
    <t xml:space="preserve">   6M25 NQH commodity gains in revenue</t>
  </si>
  <si>
    <t>Income Statement</t>
  </si>
  <si>
    <t>GAAP income statement (consolidated)</t>
  </si>
  <si>
    <t>Operating revenues</t>
  </si>
  <si>
    <t>Linked from Revenue summary</t>
  </si>
  <si>
    <t xml:space="preserve">   Fuel, purchased power and interchange</t>
  </si>
  <si>
    <t>S3–S8; 3Q26E = 3Q25A × (1 + Y/Y assumption)</t>
  </si>
  <si>
    <t xml:space="preserve">   Other operations and maintenance</t>
  </si>
  <si>
    <t>S3–S8; 1H26 +20% Y/Y on NEER growth</t>
  </si>
  <si>
    <t xml:space="preserve">   Merger-related expenses</t>
  </si>
  <si>
    <t>S8 (Dominion merger, announced 18-May-2026); 3Q26E assumption $35M (excluded from adjusted)</t>
  </si>
  <si>
    <t xml:space="preserve">   Depreciation and amortization</t>
  </si>
  <si>
    <t xml:space="preserve">      Less: 3Q25 storm amortization roll-off</t>
  </si>
  <si>
    <t>S9: 3Q25 storm amortization +$386M (surcharge completed Dec-25)</t>
  </si>
  <si>
    <t xml:space="preserve">      % Y/Y (3Q26E ex-storm, assump.)</t>
  </si>
  <si>
    <t xml:space="preserve">   Taxes other than income taxes</t>
  </si>
  <si>
    <t xml:space="preserve">   Total operating expenses – net</t>
  </si>
  <si>
    <t xml:space="preserve">   Gains on disposal of businesses/assets</t>
  </si>
  <si>
    <t>S3–S8; 3Q26E assumption $140M asset recycling (3Q25A 143)</t>
  </si>
  <si>
    <t>Operating income (GAAP)</t>
  </si>
  <si>
    <t>3Q26E: bottom-up estimate (revenue − opex + gains); does not drive net income or EPS — GAAP tax (I61) absorbs any difference. Limitation: D&amp;A removes the $386M 3Q25 storm amortization (I21); the matching surcharge sat in 3Q25 billed FPL prices (by reconciliation, Segment - FPL!J135), and 3Q26E prices assume new base rates offset its roll-off. If they do not, revenue and operating income are overstated (up to $386M with zero base-rate uplift)</t>
  </si>
  <si>
    <t xml:space="preserve">   Operating margin (GAAP)</t>
  </si>
  <si>
    <t xml:space="preserve">   Interest expense</t>
  </si>
  <si>
    <t>S3–S8 (history includes interest-rate NQH marks). 3Q26E assumption −$1,200M ex-NQH (CapIQ consensus −1,387); not linked to forecast debt (+$6.9B LTD plug); no effect on adjusted EPS (segment-built)</t>
  </si>
  <si>
    <t xml:space="preserve">   Equity in earnings of investees</t>
  </si>
  <si>
    <t>S3–S8; 3Q26E assumption $220M</t>
  </si>
  <si>
    <t xml:space="preserve">   AFUDC – equity</t>
  </si>
  <si>
    <t>S3–S8; 3Q26E assumption $60M (2Q26A 59)</t>
  </si>
  <si>
    <t xml:space="preserve">   Gains on investments &amp; other property</t>
  </si>
  <si>
    <t>S3–S8; 3Q26E assumption $70M (3Q25A 68)</t>
  </si>
  <si>
    <t xml:space="preserve">   NDF unrealized gains (losses)</t>
  </si>
  <si>
    <t>S3–S8; 3Q26E = 0 (market-driven, excluded from adjusted; not forecast)</t>
  </si>
  <si>
    <t xml:space="preserve">   Other net periodic benefit income</t>
  </si>
  <si>
    <t>S3–S8; 3Q26E assumption $45M (1Q26 71, 2Q26 23)</t>
  </si>
  <si>
    <t xml:space="preserve">   Other – net</t>
  </si>
  <si>
    <t>S3–S8; 3Q26E assumption $65M</t>
  </si>
  <si>
    <t xml:space="preserve">   Total other income (deductions) – net</t>
  </si>
  <si>
    <t>Income (loss) before income taxes</t>
  </si>
  <si>
    <t xml:space="preserve">   Income tax expense (benefit)</t>
  </si>
  <si>
    <t xml:space="preserve">      Effective tax rate</t>
  </si>
  <si>
    <t>Negative ETRs reflect clean-energy tax credits (PTC/ITC)</t>
  </si>
  <si>
    <t xml:space="preserve">         Y/Y change (bp)</t>
  </si>
  <si>
    <t xml:space="preserve">         Q/Q change (bp)</t>
  </si>
  <si>
    <t>Net income (loss)</t>
  </si>
  <si>
    <t xml:space="preserve">   Net loss attributable to NCI</t>
  </si>
  <si>
    <t>S3–S8 (tax-equity HLBV allocations); 3Q26E = 3Q25A × (1 + growth assumption)</t>
  </si>
  <si>
    <t>Net income attributable to NEE (GAAP)</t>
  </si>
  <si>
    <t xml:space="preserve">   NI attributable — reported</t>
  </si>
  <si>
    <t>S3–S8; FY25 S6</t>
  </si>
  <si>
    <t xml:space="preserve">      Check: computed = reported</t>
  </si>
  <si>
    <t>TRUE within rounding tolerance (Revenue summary)</t>
  </si>
  <si>
    <t xml:space="preserve">   Net margin (GAAP)</t>
  </si>
  <si>
    <t>GAAP to adjusted (non-GAAP) bridge — pre-tax adjustments, one row per item</t>
  </si>
  <si>
    <t xml:space="preserve">   Non-qualifying hedge losses (gains)</t>
  </si>
  <si>
    <t>S3–S8. 3Q26E = −(NEER commodity NQH gain in revenue); interest-rate/FX NQH not forecast (10y UST +85bp in 3Q26, S25 → likely additional GAAP gains)</t>
  </si>
  <si>
    <t xml:space="preserve">   NDF unrealized losses (gains) &amp; OTTI</t>
  </si>
  <si>
    <t>S3–S8; 3Q26E 0 (not forecast)</t>
  </si>
  <si>
    <t xml:space="preserve">   XPLR investment losses (gains)</t>
  </si>
  <si>
    <t>S3–S8; 3Q26E assumption $9M (steady quarterly run-rate since 2Q25)</t>
  </si>
  <si>
    <t>Linked to operating expense line</t>
  </si>
  <si>
    <t xml:space="preserve">   Total pre-tax adjustments</t>
  </si>
  <si>
    <t xml:space="preserve">      Tax rate on adjustments (assump.)</t>
  </si>
  <si>
    <t>Assumption: 2Q26 implied ~27% (276 on 1,045)</t>
  </si>
  <si>
    <t xml:space="preserve">      Tax rate on merger expenses (assumption)</t>
  </si>
  <si>
    <t>Assumption: 2Q26 $32M pre-tax → $31M after tax (largely non-deductible)</t>
  </si>
  <si>
    <t xml:space="preserve">   Related income tax expense (benefit)</t>
  </si>
  <si>
    <t>S3–S8 (2Q25 shown in S8 includes rounding)</t>
  </si>
  <si>
    <t>Adjusted earnings (non-GAAP)</t>
  </si>
  <si>
    <t>History: GAAP + adjustments; 3Q26E: segment build below</t>
  </si>
  <si>
    <t xml:space="preserve">   Adjusted earnings — reported</t>
  </si>
  <si>
    <t xml:space="preserve">      Check: bridge = reported</t>
  </si>
  <si>
    <t xml:space="preserve">   Adjusted earnings % Y/Y</t>
  </si>
  <si>
    <t>Adjusted earnings by segment (forecast build)</t>
  </si>
  <si>
    <t xml:space="preserve">   FPL</t>
  </si>
  <si>
    <t>Linked from Segment - FPL</t>
  </si>
  <si>
    <t xml:space="preserve">   NEER</t>
  </si>
  <si>
    <t>Linked from Segment - NEER</t>
  </si>
  <si>
    <t xml:space="preserve">   Corporate &amp; Other</t>
  </si>
  <si>
    <t>S3–S8 (interest expense on holding-company debt, net of allocations)</t>
  </si>
  <si>
    <t xml:space="preserve">      C&amp;O Y/Y change (3Q26E assump.)</t>
  </si>
  <si>
    <t>1Q26 −38, 2Q26 −94 on higher holdco debt (C&amp;O LTD +$7.7B and other ST debt +$3.65B in 1H26, S8). 3Q26E −$88M</t>
  </si>
  <si>
    <t xml:space="preserve">      Corporate &amp; Other Q/Q change</t>
  </si>
  <si>
    <t xml:space="preserve">   Total adjusted earnings (segment build)</t>
  </si>
  <si>
    <t xml:space="preserve">      Check: segment build = adjusted</t>
  </si>
  <si>
    <t>3Q26E: true by construction (I85 = I96); excluded from Cover PASS</t>
  </si>
  <si>
    <t>Per share</t>
  </si>
  <si>
    <t xml:space="preserve">   Basic weighted average shares (M)</t>
  </si>
  <si>
    <t>Linked from Share Count</t>
  </si>
  <si>
    <t xml:space="preserve">   Diluted weighted average shares (M)</t>
  </si>
  <si>
    <t xml:space="preserve">   GAAP basic EPS</t>
  </si>
  <si>
    <t>GAAP diluted EPS</t>
  </si>
  <si>
    <t xml:space="preserve">   GAAP diluted EPS — reported</t>
  </si>
  <si>
    <t xml:space="preserve">      Check: |computed − reported| ≤ $0.01</t>
  </si>
  <si>
    <t>Adjusted diluted EPS (consensus basis)</t>
  </si>
  <si>
    <t>Consensus basis: CapIQ normalized diluted EPS = NEE adjusted EPS (6/6 historical actuals match)</t>
  </si>
  <si>
    <t xml:space="preserve">   Adjusted EPS — reported</t>
  </si>
  <si>
    <t xml:space="preserve">   CapIQ normalized EPS actual (Inputs)</t>
  </si>
  <si>
    <t xml:space="preserve">      Check: adjusted = CapIQ normalized</t>
  </si>
  <si>
    <t xml:space="preserve">   Adjusted EPS % Y/Y</t>
  </si>
  <si>
    <t xml:space="preserve">   Adjusted EPS Y/Y change ($)</t>
  </si>
  <si>
    <t xml:space="preserve">   Check: EPS = NI / diluted shares</t>
  </si>
  <si>
    <t>3Q26E: true by construction (I106 = I85/I101); excluded from Cover PASS</t>
  </si>
  <si>
    <t>Adjusted EPS by segment ($/diluted share)</t>
  </si>
  <si>
    <t xml:space="preserve">   Total adjusted EPS</t>
  </si>
  <si>
    <t>Memo: tracked target lines</t>
  </si>
  <si>
    <t xml:space="preserve">   Operating income excl. merger costs</t>
  </si>
  <si>
    <t>Not issuer-defined; memo only (GAAP operating income above is the tracked operating_income line)</t>
  </si>
  <si>
    <t xml:space="preserve">   Gross profit / gross margin</t>
  </si>
  <si>
    <t>not applicable</t>
  </si>
  <si>
    <t>NEE does not report gross profit; utility cost structure (fuel pass-through) — not applicable</t>
  </si>
  <si>
    <t xml:space="preserve">   Issuer-defined EBITDA</t>
  </si>
  <si>
    <t>not reported</t>
  </si>
  <si>
    <t>NEE reports adjusted EBITDA only for NEER portfolio projections; no quarterly consolidated EBITDA — unavailable</t>
  </si>
  <si>
    <t>Balance Sheet</t>
  </si>
  <si>
    <t>ASSETS</t>
  </si>
  <si>
    <t xml:space="preserve">   Cash and cash equivalents</t>
  </si>
  <si>
    <t>S3–S8 condensed consolidated balance sheets</t>
  </si>
  <si>
    <t xml:space="preserve">   Customer receivables, net</t>
  </si>
  <si>
    <t xml:space="preserve">   Other receivables</t>
  </si>
  <si>
    <t xml:space="preserve">   Materials, supplies and fuel inventory</t>
  </si>
  <si>
    <t xml:space="preserve">   Regulatory assets (current)</t>
  </si>
  <si>
    <t xml:space="preserve">   Derivatives (current)</t>
  </si>
  <si>
    <t xml:space="preserve">   Other current assets</t>
  </si>
  <si>
    <t>Total current assets</t>
  </si>
  <si>
    <t xml:space="preserve">   Property, plant and equipment – net</t>
  </si>
  <si>
    <t xml:space="preserve">   Special use funds</t>
  </si>
  <si>
    <t xml:space="preserve">   Investment in equity method investees</t>
  </si>
  <si>
    <t xml:space="preserve">   Prepaid benefit costs</t>
  </si>
  <si>
    <t xml:space="preserve">   Regulatory assets (noncurrent)</t>
  </si>
  <si>
    <t xml:space="preserve">   Derivatives (noncurrent)</t>
  </si>
  <si>
    <t xml:space="preserve">   Goodwill</t>
  </si>
  <si>
    <t xml:space="preserve">   Other noncurrent assets</t>
  </si>
  <si>
    <t>Total other assets</t>
  </si>
  <si>
    <t>TOTAL ASSETS</t>
  </si>
  <si>
    <t>LIABILITIES, REDEEMABLE NCI AND EQUITY</t>
  </si>
  <si>
    <t xml:space="preserve">   Commercial paper</t>
  </si>
  <si>
    <t xml:space="preserve">   Other short-term debt</t>
  </si>
  <si>
    <t xml:space="preserve">   Current portion of long-term debt</t>
  </si>
  <si>
    <t xml:space="preserve">   Accounts payable</t>
  </si>
  <si>
    <t xml:space="preserve">   Customer deposits</t>
  </si>
  <si>
    <t xml:space="preserve">   Accrued interest and taxes</t>
  </si>
  <si>
    <t xml:space="preserve">   Derivatives (current liabilities)</t>
  </si>
  <si>
    <t xml:space="preserve">   Accrued construction expenditures</t>
  </si>
  <si>
    <t xml:space="preserve">   Regulatory liabilities (current)</t>
  </si>
  <si>
    <t xml:space="preserve">   Other current liabilities</t>
  </si>
  <si>
    <t>Total current liabilities</t>
  </si>
  <si>
    <t xml:space="preserve">   Long-term debt</t>
  </si>
  <si>
    <t xml:space="preserve">   Asset retirement obligations</t>
  </si>
  <si>
    <t xml:space="preserve">   Deferred income taxes</t>
  </si>
  <si>
    <t xml:space="preserve">   Regulatory liabilities (noncurrent)</t>
  </si>
  <si>
    <t xml:space="preserve">   Derivatives (noncurrent liabilities)</t>
  </si>
  <si>
    <t xml:space="preserve">   Other noncurrent liabilities</t>
  </si>
  <si>
    <t>Total other liabs. &amp; deferred credits</t>
  </si>
  <si>
    <t>TOTAL LIABILITIES</t>
  </si>
  <si>
    <t xml:space="preserve">   Redeemable noncontrolling interests</t>
  </si>
  <si>
    <t xml:space="preserve">   Common stock</t>
  </si>
  <si>
    <t xml:space="preserve">   Additional paid-in capital</t>
  </si>
  <si>
    <t xml:space="preserve">   Retained earnings</t>
  </si>
  <si>
    <t xml:space="preserve">   AOCI</t>
  </si>
  <si>
    <t>Total common shareholders' equity</t>
  </si>
  <si>
    <t xml:space="preserve">   Noncontrolling interests</t>
  </si>
  <si>
    <t>TOTAL EQUITY</t>
  </si>
  <si>
    <t>TOTAL LIABILITIES &amp; EQUITY</t>
  </si>
  <si>
    <t xml:space="preserve">   Total assets — reported</t>
  </si>
  <si>
    <t xml:space="preserve">   Check: assets − liabilities − equity</t>
  </si>
  <si>
    <t>3Q26E: residual integration identity, not independent validation — balances by construction because LTD issuance (CF!I39) is the cash plug; confirms each roll-forward line has a cash-flow counterpart. LTD is not an independent forecast</t>
  </si>
  <si>
    <t xml:space="preserve">   Check: total assets = reported</t>
  </si>
  <si>
    <t>Ratios</t>
  </si>
  <si>
    <t xml:space="preserve">   Total debt</t>
  </si>
  <si>
    <t xml:space="preserve">   Debt / total capitalization</t>
  </si>
  <si>
    <t>Cash Flow Statement</t>
  </si>
  <si>
    <t>Quarterly cash flows (derived from reported year-to-date amounts below; 3Q26E forecast)</t>
  </si>
  <si>
    <t>OPERATING ACTIVITIES</t>
  </si>
  <si>
    <t xml:space="preserve">   Net income (loss)</t>
  </si>
  <si>
    <t xml:space="preserve">   Nuclear fuel &amp; other amortization</t>
  </si>
  <si>
    <t xml:space="preserve">   Unrealized MTM derivative losses (gains)</t>
  </si>
  <si>
    <t xml:space="preserve">   FX transaction losses (gains)</t>
  </si>
  <si>
    <t xml:space="preserve">   Cost recovery clauses &amp; franchise fees</t>
  </si>
  <si>
    <t xml:space="preserve">   Equity in losses (earnings) of investees</t>
  </si>
  <si>
    <t xml:space="preserve">   Distributions from equity investees</t>
  </si>
  <si>
    <t xml:space="preserve">   Losses (gains) on disposals</t>
  </si>
  <si>
    <t xml:space="preserve">   Recoverable storm-related costs</t>
  </si>
  <si>
    <t xml:space="preserve">   Unrealized NDF losses (gains)</t>
  </si>
  <si>
    <t xml:space="preserve">   Other – net (operating)</t>
  </si>
  <si>
    <t xml:space="preserve">   Change in current assets</t>
  </si>
  <si>
    <t xml:space="preserve">   Change in noncurrent assets</t>
  </si>
  <si>
    <t xml:space="preserve">   Change in current liabilities</t>
  </si>
  <si>
    <t xml:space="preserve">   Change in noncurrent liabilities</t>
  </si>
  <si>
    <t>Cash from operations (CFO)</t>
  </si>
  <si>
    <t>INVESTING ACTIVITIES</t>
  </si>
  <si>
    <t xml:space="preserve">   Capital expenditures of FPL</t>
  </si>
  <si>
    <t xml:space="preserve">   NEER independent power investments</t>
  </si>
  <si>
    <t xml:space="preserve">   Nuclear fuel purchases</t>
  </si>
  <si>
    <t xml:space="preserve">   Other capital expenditures</t>
  </si>
  <si>
    <t xml:space="preserve">   Sale of NEER investments</t>
  </si>
  <si>
    <t xml:space="preserve">   Sales of special use fund securities</t>
  </si>
  <si>
    <t xml:space="preserve">   Purchases of special use fund securities</t>
  </si>
  <si>
    <t xml:space="preserve">   Other – net (investing)</t>
  </si>
  <si>
    <t>Cash from investing (CFI)</t>
  </si>
  <si>
    <t>FINANCING ACTIVITIES</t>
  </si>
  <si>
    <t xml:space="preserve">   Issuances of long-term debt</t>
  </si>
  <si>
    <t>3Q26E: plug — LTD issuance solved to hold closing cash at target (I76); not an independent financing forecast</t>
  </si>
  <si>
    <t xml:space="preserve">   Retirements of long-term debt</t>
  </si>
  <si>
    <t xml:space="preserve">   Differential membership proceeds</t>
  </si>
  <si>
    <t xml:space="preserve">   Differential membership payments</t>
  </si>
  <si>
    <t xml:space="preserve">   Net change in commercial paper</t>
  </si>
  <si>
    <t xml:space="preserve">   Proceeds from other short-term debt</t>
  </si>
  <si>
    <t xml:space="preserve">   Repayments of other short-term debt</t>
  </si>
  <si>
    <t xml:space="preserve">   Related-party cash sweeps – net</t>
  </si>
  <si>
    <t xml:space="preserve">   Issuances of common stock / equity units</t>
  </si>
  <si>
    <t xml:space="preserve">   Dividends on common stock</t>
  </si>
  <si>
    <t xml:space="preserve">   Other – net (financing)</t>
  </si>
  <si>
    <t>Cash from financing (CFF)</t>
  </si>
  <si>
    <t xml:space="preserve">   FX effect on cash</t>
  </si>
  <si>
    <t>Net change in cash incl. restricted</t>
  </si>
  <si>
    <t xml:space="preserve">   Cash incl. restricted — opening</t>
  </si>
  <si>
    <t xml:space="preserve">   Cash incl. restricted — closing</t>
  </si>
  <si>
    <t>Cash-flow checks and tie-out to the Balance Sheet</t>
  </si>
  <si>
    <t xml:space="preserve">   Restricted cash (implied)</t>
  </si>
  <si>
    <t>3Q26E restricted cash held at 2Q26 level</t>
  </si>
  <si>
    <t xml:space="preserve">   Balance Sheet cash and cash equivalents</t>
  </si>
  <si>
    <t>Linked from Balance Sheet</t>
  </si>
  <si>
    <t xml:space="preserve">   Check: opening = prior closing cash</t>
  </si>
  <si>
    <t>3Q26E: true by construction (I53 = H54); excluded from Cover PASS</t>
  </si>
  <si>
    <t xml:space="preserve">   Check: closing cash tie-out</t>
  </si>
  <si>
    <t>History: quarterly roll-forward vs reported YTD ending cash. 3Q26E: CF closing − (BS cash + restricted cash), true by construction (BS!I9 = CF!I54 − I57); excluded from Cover PASS</t>
  </si>
  <si>
    <t xml:space="preserve">   Check: implied restricted cash ≥ 0</t>
  </si>
  <si>
    <t>Sanity test on the implied restricted-cash bridge between CF and BS cash; 3Q26E holds 2Q26 level (by construction), excluded from Cover PASS</t>
  </si>
  <si>
    <t xml:space="preserve">   Check: CF net income = IS net income</t>
  </si>
  <si>
    <t>History: YTD-derived CF net income vs Income Statement net income within $1M filing rounding (2Q25, 2Q26, FY25 differ by $1M). 3Q26E linked (I10 = IS!I65), not tested</t>
  </si>
  <si>
    <t>Free cash flow (memo; NEE does not define FCF)</t>
  </si>
  <si>
    <t xml:space="preserve">   Total capital expenditures</t>
  </si>
  <si>
    <t xml:space="preserve">   CFO less capex (memo)</t>
  </si>
  <si>
    <t>Memo only; issuer_defined_free_cash_flow = not applicable</t>
  </si>
  <si>
    <t>3Q26E cash-flow assumptions</t>
  </si>
  <si>
    <t xml:space="preserve">   Nuclear fuel amortization (assump.)</t>
  </si>
  <si>
    <t>3Q25A 97; 2Q26A 119</t>
  </si>
  <si>
    <t xml:space="preserve">   Distributions from investees (assump.)</t>
  </si>
  <si>
    <t>Assumption: distributions equal equity earnings</t>
  </si>
  <si>
    <t xml:space="preserve">   Other operating items &amp; WC (assump.)</t>
  </si>
  <si>
    <t>Assumption; 3Q is seasonally strongest for FPL collections</t>
  </si>
  <si>
    <t xml:space="preserve">   FPL capex (assump.)</t>
  </si>
  <si>
    <t>FY26 guidance $12–13B (S7); 1H26 $5.8B</t>
  </si>
  <si>
    <t xml:space="preserve">   NEER investments (assump.)</t>
  </si>
  <si>
    <t>1H26 $13.3B; 3Q25A $3.2B; backlog build-out</t>
  </si>
  <si>
    <t xml:space="preserve">   Nuclear fuel purchases (assumption)</t>
  </si>
  <si>
    <t>3Q25A 32; 2Q26A 119</t>
  </si>
  <si>
    <t xml:space="preserve">   NEER asset sale proceeds (assump.)</t>
  </si>
  <si>
    <t>Asset recycling; 3Q25A 690</t>
  </si>
  <si>
    <t xml:space="preserve">   Common dividends paid (assump.)</t>
  </si>
  <si>
    <t>2Q26A 1,299 ($0.6232/sh × ~2,086M sh)</t>
  </si>
  <si>
    <t xml:space="preserve">   Target ending cash (assump.)</t>
  </si>
  <si>
    <t>Held at 30-Jun-2026 level; net debt issuance is the balancing item</t>
  </si>
  <si>
    <t>Reported year-to-date cash flows (as filed; 3Q26E = 6M26 + 3Q26E)</t>
  </si>
  <si>
    <t>S3–S8 cash flow statements (blank = line not presented in that filing)</t>
  </si>
  <si>
    <t>Net increase (decrease) in cash</t>
  </si>
  <si>
    <t xml:space="preserve">   Cash incl. restricted — beginning of year</t>
  </si>
  <si>
    <t xml:space="preserve">   Cash incl. restricted — end of period</t>
  </si>
  <si>
    <t xml:space="preserve">   Reported ending cash incl. restricted</t>
  </si>
  <si>
    <t xml:space="preserve">   Reported CFO</t>
  </si>
  <si>
    <t xml:space="preserve">   Reported CFI</t>
  </si>
  <si>
    <t xml:space="preserve">   Reported CFF</t>
  </si>
  <si>
    <t xml:space="preserve">   Check: YTD sums tie to reported</t>
  </si>
  <si>
    <t>Share Count</t>
  </si>
  <si>
    <t>Weighted average shares (millions)</t>
  </si>
  <si>
    <t>Basic weighted average shares</t>
  </si>
  <si>
    <t>S10/S9/S17 10-Q &amp; 10-K EPS notes; 4Q25 implied = (FY days×FY − Σ days×1Q..3Q) / 4Q days, day-weighted from row 6 (approximation, not reported)</t>
  </si>
  <si>
    <t xml:space="preserve">   Assumed increase in basic shares, 3Q26E</t>
  </si>
  <si>
    <t>Assumption: DRIP/employee plans only (+0.5M/qtr, in line with 1Q→2Q26 +1.0M)</t>
  </si>
  <si>
    <t xml:space="preserve">   Basic shares Y/Y change</t>
  </si>
  <si>
    <t xml:space="preserve">   Basic shares Q/Q change</t>
  </si>
  <si>
    <t>Diluted weighted average shares</t>
  </si>
  <si>
    <t>S5–S10 earnings releases / 10-Q EPS notes (1Q25 2,061; 4Q25 2,089 and FY25 2,071 from S6; 1Q26 2,092.9 from S10 6M note)</t>
  </si>
  <si>
    <t xml:space="preserve">   Assumed increase in diluted shares, 3Q26E</t>
  </si>
  <si>
    <t>Assumption: equity units (2026: $91.99–$115.00 reference) out of the money at ~$80; treasury-stock dilution ~flat</t>
  </si>
  <si>
    <t xml:space="preserve">   Dilutive securities (diluted − basic)</t>
  </si>
  <si>
    <t xml:space="preserve">   Diluted shares Y/Y change</t>
  </si>
  <si>
    <t xml:space="preserve">   Diluted shares Q/Q change</t>
  </si>
  <si>
    <t xml:space="preserve">   Diluted shares % Y/Y</t>
  </si>
  <si>
    <t>Shares outstanding (millions, end of period)</t>
  </si>
  <si>
    <t>Common shares outstanding, end of period</t>
  </si>
  <si>
    <t>S18 10-Q cover pages; 12/31/25 not reported on a cover (2,083.5 at 1/31/26) → n/a</t>
  </si>
  <si>
    <t xml:space="preserve">   Net shares issued (3Q26E assump.)</t>
  </si>
  <si>
    <t>Assumption</t>
  </si>
  <si>
    <t xml:space="preserve">   Shares outstanding Y/Y change</t>
  </si>
  <si>
    <t xml:space="preserve">   Net change in shares outstanding (Q/Q)</t>
  </si>
  <si>
    <t>3Q25 step-up = settlement of 2022 equity units (Sep-2025)</t>
  </si>
  <si>
    <t>Issuance and buybacks ($ millions)</t>
  </si>
  <si>
    <t>Common stock / equity unit issuance</t>
  </si>
  <si>
    <t>Linked from Cash Flow Statement</t>
  </si>
  <si>
    <t>Share repurchases</t>
  </si>
  <si>
    <t>none reported</t>
  </si>
  <si>
    <t>No repurchase line in NEE cash flow statements (S3–S8)</t>
  </si>
  <si>
    <t>2026 equity units issued (notional, $M)</t>
  </si>
  <si>
    <t>S32: 3-Mar-2026, 40M Corporate Units, purchase contracts settle by 15-Feb-2029 at $91.99–$115.00/sh</t>
  </si>
  <si>
    <t xml:space="preserve">   Equity-unit reference price, low ($/sh)</t>
  </si>
  <si>
    <t>S32</t>
  </si>
  <si>
    <t xml:space="preserve">   Equity-unit reference price, high ($/sh)</t>
  </si>
  <si>
    <t>Share count behind the forecast EPS</t>
  </si>
  <si>
    <t>Diluted shares used for 3Q26E EPS</t>
  </si>
  <si>
    <t>Feeds Income Statement EPS</t>
  </si>
  <si>
    <t>Guidance</t>
  </si>
  <si>
    <t>Columns are defined by each table's own header row (row 8); this sheet has no period columns</t>
  </si>
  <si>
    <t>Guidance item</t>
  </si>
  <si>
    <t>Date given</t>
  </si>
  <si>
    <t>Low</t>
  </si>
  <si>
    <t>High</t>
  </si>
  <si>
    <t>Midpoint</t>
  </si>
  <si>
    <t>Actual</t>
  </si>
  <si>
    <t>Beat / miss</t>
  </si>
  <si>
    <t>Source</t>
  </si>
  <si>
    <t>Adjusted EPS ($/sh)</t>
  </si>
  <si>
    <t>FY2025</t>
  </si>
  <si>
    <t>S16</t>
  </si>
  <si>
    <t>Adj. EPS — updated range</t>
  </si>
  <si>
    <t>S19</t>
  </si>
  <si>
    <t>FY2026</t>
  </si>
  <si>
    <t>pending</t>
  </si>
  <si>
    <t>Adj. EPS — reaffirmed (high end)</t>
  </si>
  <si>
    <t>S7</t>
  </si>
  <si>
    <t>S8</t>
  </si>
  <si>
    <t>S21</t>
  </si>
  <si>
    <t>FPL capital expenditures ($M)</t>
  </si>
  <si>
    <t>S5/S6</t>
  </si>
  <si>
    <t>Actual = FY25 "capital expenditures of FPL" from cash flow ($8,719M); company headline "~$8.9B" capital investments</t>
  </si>
  <si>
    <t>S7/S8</t>
  </si>
  <si>
    <t>Adj. EPS CAGR to 2032 (2025 base)</t>
  </si>
  <si>
    <t>2025–2032</t>
  </si>
  <si>
    <t>S6/S8</t>
  </si>
  <si>
    <t>DPS growth to 2026 (2024 base)</t>
  </si>
  <si>
    <t>2024–2026</t>
  </si>
  <si>
    <t>Memo: 1H26 adjusted EPS actual</t>
  </si>
  <si>
    <t>1H26 adjusted earnings (Income Statement G85+H85) / day-weighted 1H26 diluted shares (Share Count G13,H13 × days)</t>
  </si>
  <si>
    <t>Implied 2H26 adj. EPS at midpoint</t>
  </si>
  <si>
    <t>No quarterly guidance is given</t>
  </si>
  <si>
    <t>Implied 2H26 adj. EPS at high end</t>
  </si>
  <si>
    <t>F22:F24 subtract per-share amounts; approximation because share counts differ by period</t>
  </si>
  <si>
    <t>Implied 4Q26 adj. EPS at high end</t>
  </si>
  <si>
    <t>4Q25A was $0.54 (FPL 4Q25 NI $958M, reserve-constrained)</t>
  </si>
  <si>
    <t>Guidance record: NEE beat its FY2025 range top (3.71 vs 3.70); no quarterly EPS or revenue guidance is issued.</t>
  </si>
  <si>
    <t>Sources</t>
  </si>
  <si>
    <t>Source (ID — publisher / title)</t>
  </si>
  <si>
    <t>ID</t>
  </si>
  <si>
    <t>Published</t>
  </si>
  <si>
    <t>Pre-cutoff?</t>
  </si>
  <si>
    <t>URL or file</t>
  </si>
  <si>
    <t>What it feeds</t>
  </si>
  <si>
    <t>S1 — S&amp;P Capital IQ — NEE_history.csv (supplied)</t>
  </si>
  <si>
    <t>workspace/NEE_history.csv</t>
  </si>
  <si>
    <t>Inputs C; Revenue summary &amp; Income Statement check rows; calibration</t>
  </si>
  <si>
    <t>S2 — S&amp;P Capital IQ — NEE_consensus.json (supplied)</t>
  </si>
  <si>
    <t>S2</t>
  </si>
  <si>
    <t>workspace/NEE_consensus.json</t>
  </si>
  <si>
    <t>Inputs A/B; Cover consensus</t>
  </si>
  <si>
    <t>S3 — NEE — 1Q25 earnings release (8-K Ex.99)</t>
  </si>
  <si>
    <t>S3</t>
  </si>
  <si>
    <t>https://www.sec.gov/Archives/edgar/data/753308/000075330825000021/neeq12025exhibit99.htm</t>
  </si>
  <si>
    <t>BS 3/31/25; backlog; RCE growth</t>
  </si>
  <si>
    <t>S4 — NEE — 2Q25 earnings release (8-K Ex.99)</t>
  </si>
  <si>
    <t>S4</t>
  </si>
  <si>
    <t>https://www.sec.gov/Archives/edgar/data/753308/000075330825000039/neeq22025exhibit99.htm</t>
  </si>
  <si>
    <t>BS 6/30/25; CF 6M25; backlog</t>
  </si>
  <si>
    <t>S5 — NEE — 3Q25 earnings release (8-K Ex.99)</t>
  </si>
  <si>
    <t>S5</t>
  </si>
  <si>
    <t>https://www.sec.gov/Archives/edgar/data/753308/000075330825000055/neeq32025exhibit99.htm</t>
  </si>
  <si>
    <t>3Q25 segment IS, BS, CF 9M25</t>
  </si>
  <si>
    <t>S6 — NEE — 4Q/FY25 earnings release (8-K Ex.99)</t>
  </si>
  <si>
    <t>S6</t>
  </si>
  <si>
    <t>https://www.sec.gov/Archives/edgar/data/753308/000075330826000007/neeq42025exhibit99.htm</t>
  </si>
  <si>
    <t>4Q25/FY25 IS, BS, CF; guidance</t>
  </si>
  <si>
    <t>S7 — NEE — 1Q26 earnings release (8-K Ex.99)</t>
  </si>
  <si>
    <t>https://www.sec.gov/Archives/edgar/data/753308/000075330826000028/neeq12026exhibit99.htm</t>
  </si>
  <si>
    <t>1Q26 &amp; 1Q25 IS; BS 3/31/26; CF 3M</t>
  </si>
  <si>
    <t>S8 — NEE — 2Q26 earnings release (8-K Ex.99)</t>
  </si>
  <si>
    <t>https://www.sec.gov/Archives/edgar/data/37634/000075330826000058/neeq22026exhibit99.htm</t>
  </si>
  <si>
    <t>2Q26 &amp; 2Q25 IS; BS 6/30/26; CF 6M; guidance</t>
  </si>
  <si>
    <t>S9 — NEE — 3Q25 Form 10-Q</t>
  </si>
  <si>
    <t>S9</t>
  </si>
  <si>
    <t>https://www.sec.gov/Archives/edgar/data/753308/000075330825000056/nee-20250930.htm</t>
  </si>
  <si>
    <t>NEER driver bridge 3Q25; FPL revenue drivers; NQH revenue; shares</t>
  </si>
  <si>
    <t>S10 — NEE — 2Q26 Form 10-Q</t>
  </si>
  <si>
    <t>https://www.sec.gov/Archives/edgar/data/37634/000075330826000060/nee-20260630.htm</t>
  </si>
  <si>
    <t>NEER driver bridge 1H26; FPL RSM; NQH revenue; shares</t>
  </si>
  <si>
    <t>S11 — NEE IR — FPL Statistics 1Q25</t>
  </si>
  <si>
    <t>S11</t>
  </si>
  <si>
    <t>https://www.investor.nexteraenergy.com/~/media/Files/N/NEE-IR/fixed-income-investors/download-library/FPL-Statistics%202025%20Q1.pdf</t>
  </si>
  <si>
    <t>FPL kWh, price, customers, CDD 1Q25</t>
  </si>
  <si>
    <t>S12 — NEE IR — FPL Statistics 3Q25</t>
  </si>
  <si>
    <t>S12</t>
  </si>
  <si>
    <t>https://www.investor.nexteraenergy.com/~/media/Files/N/NEE-IR/investor-materials/supplemental-resources/business-updates/2025/Q3/fpl-statistics-2025-q3.pdf</t>
  </si>
  <si>
    <t>FPL drivers 3Q25</t>
  </si>
  <si>
    <t>S13 — NEE IR — FPL Statistics 4Q25</t>
  </si>
  <si>
    <t>S13</t>
  </si>
  <si>
    <t>https://www.investor.nexteraenergy.com/~/media/Files/N/NEE-IR/fixed-income-investors/download-library/01%20-%20Q4%202025/FPL%20Statistics%202025Q4.pdf</t>
  </si>
  <si>
    <t>FPL drivers 4Q25 / FY25; Dec-24 customers</t>
  </si>
  <si>
    <t>S14 — NEE IR — FPL Statistics 2Q26</t>
  </si>
  <si>
    <t>S14</t>
  </si>
  <si>
    <t>https://www.investor.nexteraenergy.com/~/media/Files/N/NEE-IR/reports-and-fillings/quarterly-earnings/2026/Q2%202026/FPL%20Statistics%202026Q2.pdf</t>
  </si>
  <si>
    <t>FPL drivers 2Q26, 2Q25, 6M26</t>
  </si>
  <si>
    <t>S15 — NEE — 2Q26 earnings call script</t>
  </si>
  <si>
    <t>S15</t>
  </si>
  <si>
    <t>https://www.investor.nexteraenergy.com/~/media/Files/N/NEE-IR/reports-and-fillings/quarterly-earnings/2026/Q2%202026/Q2%202026%20Earnings%20Script_vF.pdf</t>
  </si>
  <si>
    <t>Regulatory ROE, RSM, NEER drivers</t>
  </si>
  <si>
    <t>S16 — NEE — 3Q25 earnings slides</t>
  </si>
  <si>
    <t>https://www.investor.nexteraenergy.com/~/media/Files/N/NEE-IR/reports-and-fillings/quarterly-earnings/2025/Q3%202025/3Q%202025%20Slides%20VF.pdf</t>
  </si>
  <si>
    <t>RCE $74.2B; backlog 29.6 GW; prior guidance ranges</t>
  </si>
  <si>
    <t>S17 — SEC XBRL API — WeightedAverageNumberOfSharesOutstandingBasic</t>
  </si>
  <si>
    <t>S17</t>
  </si>
  <si>
    <t>https://data.sec.gov/api/xbrl/companyconcept/CIK0000753308/us-gaap/WeightedAverageNumberOfSharesOutstandingBasic.json</t>
  </si>
  <si>
    <t>Basic shares</t>
  </si>
  <si>
    <t>S18 — SEC XBRL API — dei EntityCommonStockSharesOutstanding</t>
  </si>
  <si>
    <t>S18</t>
  </si>
  <si>
    <t>https://data.sec.gov/api/xbrl/companyconcept/CIK0000753308/dei/EntityCommonStockSharesOutstanding.json</t>
  </si>
  <si>
    <t>Shares outstanding</t>
  </si>
  <si>
    <t>S19 — NEE — Form 8-K (2025/2026 EPS expectations)</t>
  </si>
  <si>
    <t>https://www.sec.gov/Archives/edgar/data/753308/000075330826000004/nee-20260102.htm</t>
  </si>
  <si>
    <t>S20 — NEE IR — 3Q26 results date announcement</t>
  </si>
  <si>
    <t>S20</t>
  </si>
  <si>
    <t>https://www.investor.nexteraenergy.com/news-and-events/news-releases/2026/10-07-2026-113047901</t>
  </si>
  <si>
    <t>Expected report date 21-Oct-2026</t>
  </si>
  <si>
    <t>S21 — Investing.com — NEE reaffirms 2026 guidance</t>
  </si>
  <si>
    <t>https://www.investing.com/news/company-news/nextera-energy-reaffirms-2026-earnings-guidance-merger-timeline-93CH-4899335</t>
  </si>
  <si>
    <t>Guidance reaffirmation</t>
  </si>
  <si>
    <t>S22 — Florida Climate Center — August 2026 summary</t>
  </si>
  <si>
    <t>S22</t>
  </si>
  <si>
    <t>https://climatecenter.fsu.edu/products-services/summaries?catid=115&amp;id=683%3Aclimate-summary-for-florida-august-2026&amp;view=article</t>
  </si>
  <si>
    <t>CDD assumption</t>
  </si>
  <si>
    <t>S23 — NWS Melbourne — July 2026 weather summary</t>
  </si>
  <si>
    <t>S23</t>
  </si>
  <si>
    <t>https://www.weather.gov/media/mlb/summary/Jul2026.pdf</t>
  </si>
  <si>
    <t>S24 — Florida Climate Center — September 2026 summary</t>
  </si>
  <si>
    <t>S24</t>
  </si>
  <si>
    <t>https://climatecenter.fsu.edu/images/climate_summaries/flmonthly_2026_09.pdf</t>
  </si>
  <si>
    <t>S25 — U.S. Treasury — daily par yield curve 2026</t>
  </si>
  <si>
    <t>S25</t>
  </si>
  <si>
    <t>https://home.treasury.gov/resource-center/data-chart-center/interest-rates/daily-treasury-rates.csv/2026/all?field_tdr_date_value=2026&amp;type=daily_treasury_yield_curve</t>
  </si>
  <si>
    <t>Rates context for NQH (10y 4.44% → 5.29%)</t>
  </si>
  <si>
    <t>S26 — WSJ — Natural gas closes out negative 3Q (and EIA STEO)</t>
  </si>
  <si>
    <t>S26</t>
  </si>
  <si>
    <t>https://www.wsj.com/finance/commodities-futures/natural-gas-falls-below-3-mmbtu-threshold-fcb618ce</t>
  </si>
  <si>
    <t>NEER NQH revenue assumption</t>
  </si>
  <si>
    <t>S27 — MarketBeat — KeyCorp cuts NEE 3Q26 EPS to $1.23</t>
  </si>
  <si>
    <t>S27</t>
  </si>
  <si>
    <t>https://www.marketbeat.com/instant-alerts/estimates-keycorp-comments-on-nextera-energys-q3-earnings-nyse-nee-2026-10-14/</t>
  </si>
  <si>
    <t>Estimate revision evidence</t>
  </si>
  <si>
    <t>S28 — AlphaStreet — 3Q26 preview (13 analysts, $1.17)</t>
  </si>
  <si>
    <t>S28</t>
  </si>
  <si>
    <t>https://news.alphastreet.com/nextera-energy-q3-2026-earnings-preview-october-21-street-expects-1-17-eps/</t>
  </si>
  <si>
    <t>Newer consensus reference (not scoring)</t>
  </si>
  <si>
    <t>S29 — Earnings Whispers — 3Q26 preview ($1.20, whisper $1.24)</t>
  </si>
  <si>
    <t>S29</t>
  </si>
  <si>
    <t>https://www.earningswhispers.com/article/NEE/20429</t>
  </si>
  <si>
    <t>S30 — finhacker.cz — NEE market cap ($166.46B, 16-Oct-2026)</t>
  </si>
  <si>
    <t>S30</t>
  </si>
  <si>
    <t>https://www.finhacker.cz/en/stocks/nextera-energy-market-cap/</t>
  </si>
  <si>
    <t>Size bucket (calibration)</t>
  </si>
  <si>
    <t>S31 — iShares S&amp;P 500 Utilities holdings / NEE 2026 proxy</t>
  </si>
  <si>
    <t>S31</t>
  </si>
  <si>
    <t>https://www.ishares.com/uk/professionals/en/products/287115/ishares-s-p-500-utilities-sector-ucits-etf/latest-holdings.csv</t>
  </si>
  <si>
    <t>S&amp;P 500 membership</t>
  </si>
  <si>
    <t>S32 — NEE — Form 8-K equity units</t>
  </si>
  <si>
    <t>https://www.sec.gov/Archives/edgar/data/753308/000075330826000020/nee-20260303.htm</t>
  </si>
  <si>
    <t>Share Count equity units</t>
  </si>
  <si>
    <t>S33 — NEE — 4Q25 earnings slides (EPS summary)</t>
  </si>
  <si>
    <t>S33</t>
  </si>
  <si>
    <t>https://www.investor.nexteraenergy.com/~/media/Files/N/NEE-IR/reports-and-fillings/quarterly-earnings/2025/Q4%202025/4Q%202025%20Slides%20vF.pdf</t>
  </si>
  <si>
    <t>FY25 segment EPS</t>
  </si>
  <si>
    <t>S34 — NEE — 2025 Form 10-K</t>
  </si>
  <si>
    <t>S34</t>
  </si>
  <si>
    <t>https://www.sec.gov/Archives/edgar/data/753308/000075330826000015/nee-20251231.htm</t>
  </si>
  <si>
    <t>Geo tab omission check; FY25 shares</t>
  </si>
  <si>
    <t>Information cutoff (UTC) — single input for the Pre-cutoff? test</t>
  </si>
  <si>
    <t>Frozen manifest cutoff 2026-10-18T21:34:46.214427+00:00. Published dates are date-only, so the test is date-granular (published date ≤ cutoff date)</t>
  </si>
  <si>
    <t>Omitted tab: Geo — NEE does not disclose revenue by geography; substantially all revenue is U.S. (checked 2025 Form 10-K, S34).</t>
  </si>
  <si>
    <t>Excluded evidence: Zacks/Yahoo preview and Barclays/Morgan Stanley target changes dated 19-Oct-2026 were published after the 18-Oct-2026 21:34 UTC cutoff and are not used.</t>
  </si>
  <si>
    <t>Target-actual exposure: no 3Q26 actual results were encountered (release scheduled 21-Oct-2026, after cutoff).</t>
  </si>
  <si>
    <t>Retrieval: all web sources retrieved 19-Oct-2026 via web_fetch / web search; publication dates above precede the cutoff.</t>
  </si>
  <si>
    <t>Limitation: S30 (live market-cap page) and S31 (latest-holdings CSV) are live pages with no archived pre-cutoff snapshot; their retrieved content cannot be proven pre-cutoff. Size bucket is independently confirmed by Cover!C42 (CapIQ last close × 30-Jun-26 shares) and either large-cap or S&amp;P 500 alone sets the same prior.</t>
  </si>
  <si>
    <t>Inputs — S&amp;P Capital IQ snapshot (raw, as supplied)</t>
  </si>
  <si>
    <t>Sections A–B: single value column B; section C and rows 110–112: quarters per the row 99 header; rows 113–116: single values in column B</t>
  </si>
  <si>
    <t>A. CapIQ consensus summary row (NEE_consensus.json → summary_row; raw strings preserved, blanks preserved)</t>
  </si>
  <si>
    <t xml:space="preserve">   ticker</t>
  </si>
  <si>
    <t xml:space="preserve">   company_name</t>
  </si>
  <si>
    <t xml:space="preserve">   exchange_ticker</t>
  </si>
  <si>
    <t>NYSE:NEE</t>
  </si>
  <si>
    <t xml:space="preserve">   capiq_company_id</t>
  </si>
  <si>
    <t>270586</t>
  </si>
  <si>
    <t xml:space="preserve">   currency_basis</t>
  </si>
  <si>
    <t>USD</t>
  </si>
  <si>
    <t xml:space="preserve">   fiscal_year_end</t>
  </si>
  <si>
    <t>Dec-31</t>
  </si>
  <si>
    <t xml:space="preserve">   fiscal_quarter</t>
  </si>
  <si>
    <t>FQ3 2026 - Sep 2026</t>
  </si>
  <si>
    <t xml:space="preserve">   quarter_end_date</t>
  </si>
  <si>
    <t>2026-09-30</t>
  </si>
  <si>
    <t xml:space="preserve">   expected_report_date</t>
  </si>
  <si>
    <t>2026-10-23</t>
  </si>
  <si>
    <t xml:space="preserve">   eps_basis</t>
  </si>
  <si>
    <t>normalized diluted and GAAP diluted, as labelled</t>
  </si>
  <si>
    <t xml:space="preserve">   eps_normalized_estimates</t>
  </si>
  <si>
    <t>13</t>
  </si>
  <si>
    <t xml:space="preserve">   eps_normalized_contributors</t>
  </si>
  <si>
    <t xml:space="preserve">   detail_tab_total_contributors</t>
  </si>
  <si>
    <t>blank in source</t>
  </si>
  <si>
    <t xml:space="preserve">   eps_normalized_mean</t>
  </si>
  <si>
    <t>1.18</t>
  </si>
  <si>
    <t xml:space="preserve">   eps_normalized_median</t>
  </si>
  <si>
    <t>1.2</t>
  </si>
  <si>
    <t xml:space="preserve">   eps_normalized_high</t>
  </si>
  <si>
    <t>1.24</t>
  </si>
  <si>
    <t xml:space="preserve">   eps_normalized_low</t>
  </si>
  <si>
    <t>1.0</t>
  </si>
  <si>
    <t xml:space="preserve">   eps_normalized_std_dev</t>
  </si>
  <si>
    <t>0.07</t>
  </si>
  <si>
    <t xml:space="preserve">   eps_normalized_n_est</t>
  </si>
  <si>
    <t xml:space="preserve">   eps_normalized_guidance</t>
  </si>
  <si>
    <t xml:space="preserve">   eps_normalized_guidance_low</t>
  </si>
  <si>
    <t xml:space="preserve">   eps_normalized_guidance_high</t>
  </si>
  <si>
    <t xml:space="preserve">   eps_gaap_mean</t>
  </si>
  <si>
    <t xml:space="preserve">   eps_gaap_median</t>
  </si>
  <si>
    <t>1.19</t>
  </si>
  <si>
    <t xml:space="preserve">   eps_gaap_high</t>
  </si>
  <si>
    <t>1.23</t>
  </si>
  <si>
    <t xml:space="preserve">   eps_gaap_low</t>
  </si>
  <si>
    <t>1.12</t>
  </si>
  <si>
    <t xml:space="preserve">   eps_gaap_std_dev</t>
  </si>
  <si>
    <t>0.05</t>
  </si>
  <si>
    <t xml:space="preserve">   eps_gaap_n_est</t>
  </si>
  <si>
    <t>3</t>
  </si>
  <si>
    <t xml:space="preserve">   eps_gaap_guidance</t>
  </si>
  <si>
    <t xml:space="preserve">   eps_gaap_guidance_low</t>
  </si>
  <si>
    <t xml:space="preserve">   eps_gaap_guidance_high</t>
  </si>
  <si>
    <t xml:space="preserve">   revenue_mean</t>
  </si>
  <si>
    <t>8876.68</t>
  </si>
  <si>
    <t xml:space="preserve">   revenue_median</t>
  </si>
  <si>
    <t>8776.0</t>
  </si>
  <si>
    <t xml:space="preserve">   revenue_high</t>
  </si>
  <si>
    <t>9934.67</t>
  </si>
  <si>
    <t xml:space="preserve">   revenue_low</t>
  </si>
  <si>
    <t>7557.26</t>
  </si>
  <si>
    <t xml:space="preserve">   revenue_std_dev</t>
  </si>
  <si>
    <t>734.44</t>
  </si>
  <si>
    <t xml:space="preserve">   revenue_n_est</t>
  </si>
  <si>
    <t>7</t>
  </si>
  <si>
    <t xml:space="preserve">   revenue_guidance</t>
  </si>
  <si>
    <t xml:space="preserve">   revenue_guidance_low</t>
  </si>
  <si>
    <t xml:space="preserve">   revenue_guidance_high</t>
  </si>
  <si>
    <t xml:space="preserve">   ebitda</t>
  </si>
  <si>
    <t>5716.82</t>
  </si>
  <si>
    <t xml:space="preserve">   ebit</t>
  </si>
  <si>
    <t>3258.21</t>
  </si>
  <si>
    <t xml:space="preserve">   ebt_excl_excep</t>
  </si>
  <si>
    <t>2207.77</t>
  </si>
  <si>
    <t xml:space="preserve">   ebt_gaap</t>
  </si>
  <si>
    <t>2451.29</t>
  </si>
  <si>
    <t xml:space="preserve">   net_income_excl_excep</t>
  </si>
  <si>
    <t>2357.67</t>
  </si>
  <si>
    <t xml:space="preserve">   net_income_gaap</t>
  </si>
  <si>
    <t>2464.3</t>
  </si>
  <si>
    <t xml:space="preserve">   gross_margin_pct</t>
  </si>
  <si>
    <t xml:space="preserve">   effective_tax_rate_pct</t>
  </si>
  <si>
    <t xml:space="preserve">   d_and_a</t>
  </si>
  <si>
    <t>2040.53</t>
  </si>
  <si>
    <t xml:space="preserve">   capex</t>
  </si>
  <si>
    <t xml:space="preserve">   cfo</t>
  </si>
  <si>
    <t xml:space="preserve">   fcf</t>
  </si>
  <si>
    <t xml:space="preserve">   interest_expense</t>
  </si>
  <si>
    <t>-1386.7</t>
  </si>
  <si>
    <t xml:space="preserve">   net_debt</t>
  </si>
  <si>
    <t xml:space="preserve">   nav</t>
  </si>
  <si>
    <t xml:space="preserve">   roe_pct</t>
  </si>
  <si>
    <t xml:space="preserve">   target_price_mean</t>
  </si>
  <si>
    <t>96.58</t>
  </si>
  <si>
    <t xml:space="preserve">   target_price_median</t>
  </si>
  <si>
    <t>100.0</t>
  </si>
  <si>
    <t xml:space="preserve">   target_price_high</t>
  </si>
  <si>
    <t>114.0</t>
  </si>
  <si>
    <t xml:space="preserve">   target_price_low</t>
  </si>
  <si>
    <t>56.0</t>
  </si>
  <si>
    <t xml:space="preserve">   target_price_std_dev</t>
  </si>
  <si>
    <t>13.61</t>
  </si>
  <si>
    <t xml:space="preserve">   target_price_n_est</t>
  </si>
  <si>
    <t>19</t>
  </si>
  <si>
    <t xml:space="preserve">   recommendation</t>
  </si>
  <si>
    <t>Outperform</t>
  </si>
  <si>
    <t xml:space="preserve">   recommendation_score</t>
  </si>
  <si>
    <t>1.86</t>
  </si>
  <si>
    <t xml:space="preserve">   last_close_price</t>
  </si>
  <si>
    <t>79.8</t>
  </si>
  <si>
    <t xml:space="preserve">   wk52_high_low</t>
  </si>
  <si>
    <t>98.75/74.41</t>
  </si>
  <si>
    <t xml:space="preserve">   estimates_captured_at</t>
  </si>
  <si>
    <t>2026-10-18</t>
  </si>
  <si>
    <t xml:space="preserve">   notes</t>
  </si>
  <si>
    <t>revenue consensus has overstated actual revenue in all six prior quarters, by 4 to 12 percent, so the revenue line is systematically biased here even though EPS tracks closely; a GAAP EPS "Guidance 0.62" value looks like a different line item and was excluded</t>
  </si>
  <si>
    <t>B. CapIQ consensus file metadata</t>
  </si>
  <si>
    <t xml:space="preserve">   source</t>
  </si>
  <si>
    <t>S&amp;P Capital IQ</t>
  </si>
  <si>
    <t xml:space="preserve">   company</t>
  </si>
  <si>
    <t xml:space="preserve">   fiscal_period</t>
  </si>
  <si>
    <t xml:space="preserve">   period_end_date</t>
  </si>
  <si>
    <t xml:space="preserve">   as_of_date</t>
  </si>
  <si>
    <t xml:space="preserve">   analyst_count</t>
  </si>
  <si>
    <t xml:space="preserve">   consensus_eps</t>
  </si>
  <si>
    <t>Normalized diluted EPS per ordinary/common share, USD; verify issuer adjustments and share identity</t>
  </si>
  <si>
    <t xml:space="preserve">   consensus_revenue_m</t>
  </si>
  <si>
    <t xml:space="preserve">   currency</t>
  </si>
  <si>
    <t xml:space="preserve">   summary_sha256</t>
  </si>
  <si>
    <t>e59b846434f90c9b5de8c2ed951fd1b25c1f6d0217c680f72dea41992051a49d</t>
  </si>
  <si>
    <t xml:space="preserve">   captured_precision</t>
  </si>
  <si>
    <t>date only, user confirmed</t>
  </si>
  <si>
    <t xml:space="preserve">   currency_units_status</t>
  </si>
  <si>
    <t xml:space="preserve">   metric_units.eps_currency</t>
  </si>
  <si>
    <t xml:space="preserve">   metric_units.eps_share_unit</t>
  </si>
  <si>
    <t>diluted ordinary/common share</t>
  </si>
  <si>
    <t xml:space="preserve">   metric_units.revenue_currency</t>
  </si>
  <si>
    <t xml:space="preserve">   metric_units.financial_amount_scale</t>
  </si>
  <si>
    <t>millions</t>
  </si>
  <si>
    <t>C. CapIQ six-quarter history (NEE_history.csv; all rows, as supplied)</t>
  </si>
  <si>
    <t>Field (quarters aligned to period headers; FY column blank)</t>
  </si>
  <si>
    <t>1Q25</t>
  </si>
  <si>
    <t>2Q25</t>
  </si>
  <si>
    <t>3Q25</t>
  </si>
  <si>
    <t>4Q25</t>
  </si>
  <si>
    <t>1Q26</t>
  </si>
  <si>
    <t>2Q26</t>
  </si>
  <si>
    <t>2025-03-31</t>
  </si>
  <si>
    <t>2025-06-30</t>
  </si>
  <si>
    <t>2025-09-30</t>
  </si>
  <si>
    <t>2025-12-31</t>
  </si>
  <si>
    <t>2026-03-31</t>
  </si>
  <si>
    <t>2026-06-30</t>
  </si>
  <si>
    <t xml:space="preserve">   report_date</t>
  </si>
  <si>
    <t>2025-04-23</t>
  </si>
  <si>
    <t>2025-07-23</t>
  </si>
  <si>
    <t>2025-10-28</t>
  </si>
  <si>
    <t>2026-01-27</t>
  </si>
  <si>
    <t>2026-04-23</t>
  </si>
  <si>
    <t>2026-07-24</t>
  </si>
  <si>
    <t xml:space="preserve">   eps_normalized_consensus</t>
  </si>
  <si>
    <t xml:space="preserve">   eps_normalized_actual</t>
  </si>
  <si>
    <t xml:space="preserve">   eps_gaap_consensus</t>
  </si>
  <si>
    <t xml:space="preserve">   eps_gaap_actual</t>
  </si>
  <si>
    <t xml:space="preserve">   revenue_m_consensus</t>
  </si>
  <si>
    <t xml:space="preserve">   revenue_m_actual</t>
  </si>
  <si>
    <t>D. Derived from history (formulas)</t>
  </si>
  <si>
    <t xml:space="preserve">   Normalized EPS surprise ($/sh)</t>
  </si>
  <si>
    <t xml:space="preserve">   Strict beat (1 = actual &gt; consensus)</t>
  </si>
  <si>
    <t xml:space="preserve">   Revenue surprise %</t>
  </si>
  <si>
    <t>Revenue consensus overstated actual in all six quarters</t>
  </si>
  <si>
    <t xml:space="preserve">   b = number of strict beats</t>
  </si>
  <si>
    <t xml:space="preserve">   n = valid normalized EPS pairs</t>
  </si>
  <si>
    <t>All six pairs on same normalized basis; none excluded</t>
  </si>
  <si>
    <t xml:space="preserve">   Mean surprise ($/sh)</t>
  </si>
  <si>
    <t xml:space="preserve">   Mean revenue surprise %</t>
  </si>
</sst>
</file>

<file path=xl/styles.xml><?xml version="1.0" encoding="utf-8"?>
<styleSheet xmlns="http://schemas.openxmlformats.org/spreadsheetml/2006/main">
  <numFmts count="11">
    <numFmt numFmtId="164" formatCode="#,##0.0_);(#,##0.0);–_)"/>
    <numFmt numFmtId="165" formatCode="#,##0_);(#,##0);–_)"/>
    <numFmt numFmtId="166" formatCode="0"/>
    <numFmt numFmtId="167" formatCode="0.0%_);(0.0%);–_)"/>
    <numFmt numFmtId="168" formatCode="$0.00_);($0.00);–_)"/>
    <numFmt numFmtId="169" formatCode="dd-mmm-yy"/>
    <numFmt numFmtId="170" formatCode="#,##0.00_);(#,##0.00);–_)"/>
    <numFmt numFmtId="171" formatCode="M/d/yyyy"/>
    <numFmt numFmtId="172" formatCode="$0.000_);($0.000);–_)"/>
    <numFmt numFmtId="173" formatCode="General"/>
    <numFmt numFmtId="174" formatCode="yyyy-mm-dd hh:mm:ss"/>
  </numFmts>
  <fonts count="17">
    <font>
      <sz val="11"/>
      <name val="Calibri"/>
    </font>
    <font>
      <b val="0"/>
      <i val="0"/>
      <strike val="0"/>
      <sz val="10"/>
      <color rgb="FF0000FF"/>
      <name val="Arial"/>
    </font>
    <font>
      <b/>
      <i val="0"/>
      <strike val="0"/>
      <sz val="10"/>
      <color rgb="FF000000"/>
      <name val="Arial"/>
    </font>
    <font>
      <b val="0"/>
      <i val="0"/>
      <strike val="0"/>
      <sz val="10"/>
      <color rgb="FF000000"/>
      <name val="Arial"/>
    </font>
    <font>
      <b val="0"/>
      <i val="0"/>
      <strike val="0"/>
      <sz val="10"/>
      <color rgb="FF595959"/>
      <name val="Arial"/>
    </font>
    <font>
      <b val="0"/>
      <i val="0"/>
      <strike val="0"/>
      <sz val="10"/>
      <color rgb="FF006100"/>
      <name val="Arial"/>
    </font>
    <font>
      <b val="0"/>
      <i/>
      <strike val="0"/>
      <sz val="10"/>
      <color rgb="FF000000"/>
      <name val="Arial"/>
    </font>
    <font>
      <b/>
      <i val="0"/>
      <strike val="0"/>
      <sz val="10"/>
      <color rgb="FF0000FF"/>
      <name val="Arial"/>
    </font>
    <font>
      <b/>
      <i val="0"/>
      <strike val="0"/>
      <sz val="12"/>
      <color rgb="FF000000"/>
      <name val="Arial"/>
    </font>
    <font>
      <b/>
      <i val="0"/>
      <strike val="0"/>
      <sz val="10"/>
      <color rgb="FF595959"/>
      <name val="Arial"/>
    </font>
    <font>
      <b val="0"/>
      <i/>
      <strike val="0"/>
      <sz val="10"/>
      <color rgb="FF0000FF"/>
      <name val="Arial"/>
    </font>
    <font>
      <b/>
      <i val="0"/>
      <strike val="0"/>
      <sz val="10"/>
      <color rgb="FF006100"/>
      <name val="Arial"/>
    </font>
    <font>
      <b val="0"/>
      <i val="0"/>
      <strike val="0"/>
      <sz val="10"/>
      <color rgb="FF595959"/>
      <name val="Arial"/>
    </font>
    <font>
      <b val="0"/>
      <i val="0"/>
      <strike val="0"/>
      <sz val="10"/>
      <color rgb="FF000000"/>
      <name val="Arial"/>
    </font>
    <font>
      <b val="0"/>
      <i val="0"/>
      <strike val="0"/>
      <sz val="10"/>
      <color rgb="FF0000FF"/>
      <name val="Arial"/>
    </font>
    <font>
      <b val="0"/>
      <i val="0"/>
      <strike val="0"/>
      <sz val="10"/>
      <color rgb="FF595959"/>
      <name val="Arial"/>
    </font>
    <font>
      <b/>
      <i val="0"/>
      <strike val="0"/>
      <sz val="10"/>
      <color rgb="FF000000"/>
      <name val="Arial"/>
    </font>
  </fonts>
  <fills count="4">
    <fill>
      <patternFill patternType="none"/>
    </fill>
    <fill>
      <patternFill patternType="gray125"/>
    </fill>
    <fill>
      <patternFill patternType="solid">
        <fgColor rgb="FFFFF6DD"/>
      </patternFill>
    </fill>
    <fill>
      <patternFill patternType="solid">
        <fgColor rgb="FFF2F2F2"/>
      </patternFill>
    </fill>
  </fills>
  <borders count="3">
    <border>
      <left/>
      <right/>
      <top/>
      <bottom/>
      <diagonal/>
    </border>
    <border>
      <top style="thin">
        <color rgb="FF808080"/>
      </top>
    </border>
    <border>
      <bottom style="thin">
        <color rgb="FF808080"/>
      </bottom>
    </border>
  </borders>
  <cellStyleXfs count="1">
    <xf numFmtId="0" fontId="0" fillId="0" borderId="0"/>
  </cellStyleXfs>
  <cellXfs count="73">
    <xf numFmtId="0" fontId="0" fillId="0" borderId="0" xfId="0"/>
    <xf numFmtId="164" fontId="1" fillId="0" borderId="0" xfId="0" applyNumberFormat="1" applyFont="1" applyFill="1" applyAlignment="1" applyProtection="1">
      <alignment horizontal="right" vertical="bottom"/>
      <protection locked="1" hidden="0"/>
    </xf>
    <xf numFmtId="164" fontId="2" fillId="2" borderId="1" xfId="0" applyNumberFormat="1" applyFont="1" applyFill="1" applyBorder="1" applyAlignment="1" applyProtection="1">
      <alignment horizontal="right" vertical="bottom"/>
      <protection locked="1" hidden="0"/>
    </xf>
    <xf numFmtId="0" fontId="3" fillId="0" borderId="0" xfId="0" applyFont="1" applyFill="1" applyAlignment="1" applyProtection="1">
      <alignment horizontal="general" vertical="bottom"/>
      <protection locked="1" hidden="0"/>
    </xf>
    <xf numFmtId="0" fontId="3" fillId="0" borderId="0" xfId="0" applyFont="1" applyFill="1" applyAlignment="1" applyProtection="1">
      <alignment horizontal="general" vertical="bottom" shrinkToFit="1"/>
      <protection locked="1" hidden="0"/>
    </xf>
    <xf numFmtId="164" fontId="2" fillId="0" borderId="1" xfId="0" applyNumberFormat="1" applyFont="1" applyFill="1" applyBorder="1" applyAlignment="1" applyProtection="1">
      <alignment horizontal="right" vertical="bottom"/>
      <protection locked="1" hidden="0"/>
    </xf>
    <xf numFmtId="0" fontId="4" fillId="0" borderId="0" xfId="0" applyFont="1" applyFill="1" applyAlignment="1" applyProtection="1">
      <alignment horizontal="general" vertical="bottom"/>
      <protection locked="1" hidden="0"/>
    </xf>
    <xf numFmtId="164" fontId="3" fillId="0" borderId="0" xfId="0" applyNumberFormat="1" applyFont="1" applyFill="1" applyAlignment="1" applyProtection="1">
      <alignment horizontal="right" vertical="bottom"/>
      <protection locked="1" hidden="0"/>
    </xf>
    <xf numFmtId="165" fontId="3" fillId="0" borderId="0" xfId="0" applyNumberFormat="1" applyFont="1" applyFill="1" applyAlignment="1" applyProtection="1">
      <alignment horizontal="right" vertical="bottom"/>
      <protection locked="1" hidden="0"/>
    </xf>
    <xf numFmtId="0" fontId="2" fillId="3" borderId="1" xfId="0" applyFont="1" applyFill="1" applyBorder="1" applyAlignment="1" applyProtection="1">
      <alignment horizontal="right" vertical="bottom"/>
      <protection locked="1" hidden="0"/>
    </xf>
    <xf numFmtId="164" fontId="3" fillId="2" borderId="0" xfId="0" applyNumberFormat="1" applyFont="1" applyFill="1" applyAlignment="1" applyProtection="1">
      <alignment horizontal="right" vertical="bottom"/>
      <protection locked="1" hidden="0"/>
    </xf>
    <xf numFmtId="0" fontId="3" fillId="2" borderId="0" xfId="0" applyFont="1" applyFill="1" applyAlignment="1" applyProtection="1">
      <alignment horizontal="general" vertical="bottom"/>
      <protection locked="1" hidden="0"/>
    </xf>
    <xf numFmtId="0" fontId="2" fillId="3" borderId="1" xfId="0" applyFont="1" applyFill="1" applyBorder="1" applyAlignment="1" applyProtection="1">
      <alignment horizontal="general" vertical="bottom"/>
      <protection locked="1" hidden="0"/>
    </xf>
    <xf numFmtId="166" fontId="3" fillId="3" borderId="2" xfId="0" applyNumberFormat="1" applyFont="1" applyFill="1" applyBorder="1" applyAlignment="1" applyProtection="1">
      <alignment horizontal="right" vertical="bottom"/>
      <protection locked="1" hidden="0"/>
    </xf>
    <xf numFmtId="164" fontId="5" fillId="2" borderId="0" xfId="0" applyNumberFormat="1" applyFont="1" applyFill="1" applyAlignment="1" applyProtection="1">
      <alignment horizontal="right" vertical="bottom"/>
      <protection locked="1" hidden="0"/>
    </xf>
    <xf numFmtId="167" fontId="6" fillId="2" borderId="0" xfId="0" applyNumberFormat="1" applyFont="1" applyFill="1" applyAlignment="1" applyProtection="1">
      <alignment horizontal="right" vertical="bottom"/>
      <protection locked="1" hidden="0"/>
    </xf>
    <xf numFmtId="167" fontId="6" fillId="0" borderId="0" xfId="0" applyNumberFormat="1" applyFont="1" applyFill="1" applyAlignment="1" applyProtection="1">
      <alignment horizontal="right" vertical="bottom"/>
      <protection locked="1" hidden="0"/>
    </xf>
    <xf numFmtId="0" fontId="6" fillId="0" borderId="0" xfId="0" applyFont="1" applyFill="1" applyAlignment="1" applyProtection="1">
      <alignment horizontal="general" vertical="bottom" shrinkToFit="1"/>
      <protection locked="1" hidden="0"/>
    </xf>
    <xf numFmtId="168" fontId="3" fillId="0" borderId="0" xfId="0" applyNumberFormat="1" applyFont="1" applyFill="1" applyAlignment="1" applyProtection="1">
      <alignment horizontal="right" vertical="bottom"/>
      <protection locked="1" hidden="0"/>
    </xf>
    <xf numFmtId="164" fontId="5" fillId="0" borderId="0" xfId="0" applyNumberFormat="1" applyFont="1" applyFill="1" applyAlignment="1" applyProtection="1">
      <alignment horizontal="right" vertical="bottom"/>
      <protection locked="1" hidden="0"/>
    </xf>
    <xf numFmtId="164" fontId="7" fillId="0" borderId="1" xfId="0" applyNumberFormat="1" applyFont="1" applyFill="1" applyBorder="1" applyAlignment="1" applyProtection="1">
      <alignment horizontal="right" vertical="bottom"/>
      <protection locked="1" hidden="0"/>
    </xf>
    <xf numFmtId="0" fontId="8" fillId="0" borderId="0" xfId="0" applyFont="1" applyFill="1" applyAlignment="1" applyProtection="1">
      <alignment horizontal="general" vertical="bottom"/>
      <protection locked="1" hidden="0"/>
    </xf>
    <xf numFmtId="169" fontId="3" fillId="3" borderId="0" xfId="0" applyNumberFormat="1" applyFont="1" applyFill="1" applyAlignment="1" applyProtection="1">
      <alignment horizontal="right" vertical="bottom"/>
      <protection locked="1" hidden="0"/>
    </xf>
    <xf numFmtId="0" fontId="3" fillId="0" borderId="0" xfId="0" applyFont="1" applyFill="1" applyAlignment="1" applyProtection="1">
      <alignment horizontal="right" vertical="bottom"/>
      <protection locked="1" hidden="0"/>
    </xf>
    <xf numFmtId="168" fontId="1" fillId="0" borderId="0" xfId="0" applyNumberFormat="1" applyFont="1" applyFill="1" applyAlignment="1" applyProtection="1">
      <alignment horizontal="right" vertical="bottom"/>
      <protection locked="1" hidden="0"/>
    </xf>
    <xf numFmtId="168" fontId="3" fillId="2" borderId="0" xfId="0" applyNumberFormat="1" applyFont="1" applyFill="1" applyAlignment="1" applyProtection="1">
      <alignment horizontal="right" vertical="bottom"/>
      <protection locked="1" hidden="0"/>
    </xf>
    <xf numFmtId="0" fontId="2" fillId="0" borderId="0" xfId="0" applyFont="1" applyFill="1" applyAlignment="1" applyProtection="1">
      <alignment horizontal="general" vertical="bottom"/>
      <protection locked="1" hidden="0"/>
    </xf>
    <xf numFmtId="0" fontId="2" fillId="0" borderId="0" xfId="0" applyFont="1" applyFill="1" applyAlignment="1" applyProtection="1">
      <alignment horizontal="general" vertical="bottom" shrinkToFit="1"/>
      <protection locked="1" hidden="0"/>
    </xf>
    <xf numFmtId="0" fontId="3" fillId="3" borderId="0" xfId="0" applyFont="1" applyFill="1" applyAlignment="1" applyProtection="1">
      <alignment horizontal="general" vertical="bottom"/>
      <protection locked="1" hidden="0"/>
    </xf>
    <xf numFmtId="0" fontId="2" fillId="0" borderId="2" xfId="0" applyFont="1" applyFill="1" applyBorder="1" applyAlignment="1" applyProtection="1">
      <alignment horizontal="right" vertical="bottom" wrapText="1"/>
      <protection locked="1" hidden="0"/>
    </xf>
    <xf numFmtId="165" fontId="3" fillId="2" borderId="0" xfId="0" applyNumberFormat="1" applyFont="1" applyFill="1" applyAlignment="1" applyProtection="1">
      <alignment horizontal="right" vertical="bottom"/>
      <protection locked="1" hidden="0"/>
    </xf>
    <xf numFmtId="169" fontId="3" fillId="0" borderId="0" xfId="0" applyNumberFormat="1" applyFont="1" applyFill="1" applyAlignment="1" applyProtection="1">
      <alignment horizontal="right" vertical="bottom"/>
      <protection locked="1" hidden="0"/>
    </xf>
    <xf numFmtId="167" fontId="3" fillId="0" borderId="0" xfId="0" applyNumberFormat="1" applyFont="1" applyFill="1" applyAlignment="1" applyProtection="1">
      <alignment horizontal="right" vertical="bottom"/>
      <protection locked="1" hidden="0"/>
    </xf>
    <xf numFmtId="0" fontId="3" fillId="3" borderId="2" xfId="0" applyFont="1" applyFill="1" applyBorder="1" applyAlignment="1" applyProtection="1">
      <alignment horizontal="general" vertical="bottom"/>
      <protection locked="1" hidden="0"/>
    </xf>
    <xf numFmtId="167" fontId="1" fillId="0" borderId="0" xfId="0" applyNumberFormat="1" applyFont="1" applyFill="1" applyAlignment="1" applyProtection="1">
      <alignment horizontal="right" vertical="bottom"/>
      <protection locked="1" hidden="0"/>
    </xf>
    <xf numFmtId="0" fontId="2" fillId="0" borderId="2" xfId="0" applyFont="1" applyFill="1" applyBorder="1" applyAlignment="1" applyProtection="1">
      <alignment horizontal="general" vertical="bottom"/>
      <protection locked="1" hidden="0"/>
    </xf>
    <xf numFmtId="168" fontId="5" fillId="0" borderId="0" xfId="0" applyNumberFormat="1" applyFont="1" applyFill="1" applyAlignment="1" applyProtection="1">
      <alignment horizontal="right" vertical="bottom"/>
      <protection locked="1" hidden="0"/>
    </xf>
    <xf numFmtId="0" fontId="6" fillId="0" borderId="0" xfId="0" applyFont="1" applyFill="1" applyAlignment="1" applyProtection="1">
      <alignment horizontal="general" vertical="bottom"/>
      <protection locked="1" hidden="0"/>
    </xf>
    <xf numFmtId="164" fontId="1" fillId="2" borderId="0" xfId="0" applyNumberFormat="1" applyFont="1" applyFill="1" applyAlignment="1" applyProtection="1">
      <alignment horizontal="right" vertical="bottom"/>
      <protection locked="1" hidden="0"/>
    </xf>
    <xf numFmtId="0" fontId="3" fillId="2" borderId="0" xfId="0" applyFont="1" applyFill="1" applyAlignment="1" applyProtection="1">
      <alignment horizontal="right" vertical="bottom"/>
      <protection locked="1" hidden="0"/>
    </xf>
    <xf numFmtId="0" fontId="5" fillId="0" borderId="0" xfId="0" applyFont="1" applyFill="1" applyAlignment="1" applyProtection="1">
      <alignment horizontal="general" vertical="bottom"/>
      <protection locked="1" hidden="0"/>
    </xf>
    <xf numFmtId="0" fontId="9" fillId="0" borderId="2" xfId="0" applyFont="1" applyFill="1" applyBorder="1" applyAlignment="1" applyProtection="1">
      <alignment horizontal="general" vertical="bottom"/>
      <protection locked="1" hidden="0"/>
    </xf>
    <xf numFmtId="168" fontId="5" fillId="2" borderId="0" xfId="0" applyNumberFormat="1" applyFont="1" applyFill="1" applyAlignment="1" applyProtection="1">
      <alignment horizontal="right" vertical="bottom"/>
      <protection locked="1" hidden="0"/>
    </xf>
    <xf numFmtId="168" fontId="2" fillId="0" borderId="1" xfId="0" applyNumberFormat="1" applyFont="1" applyFill="1" applyBorder="1" applyAlignment="1" applyProtection="1">
      <alignment horizontal="right" vertical="bottom"/>
      <protection locked="1" hidden="0"/>
    </xf>
    <xf numFmtId="167" fontId="10" fillId="0" borderId="0" xfId="0" applyNumberFormat="1" applyFont="1" applyFill="1" applyAlignment="1" applyProtection="1">
      <alignment horizontal="right" vertical="bottom"/>
      <protection locked="1" hidden="0"/>
    </xf>
    <xf numFmtId="0" fontId="5" fillId="0" borderId="0" xfId="0" applyFont="1" applyFill="1" applyAlignment="1" applyProtection="1">
      <alignment horizontal="right" vertical="bottom"/>
      <protection locked="1" hidden="0"/>
    </xf>
    <xf numFmtId="167" fontId="10" fillId="2" borderId="0" xfId="0" applyNumberFormat="1" applyFont="1" applyFill="1" applyAlignment="1" applyProtection="1">
      <alignment horizontal="right" vertical="bottom"/>
      <protection locked="1" hidden="0"/>
    </xf>
    <xf numFmtId="170" fontId="3" fillId="0" borderId="0" xfId="0" applyNumberFormat="1" applyFont="1" applyFill="1" applyAlignment="1" applyProtection="1">
      <alignment horizontal="right" vertical="bottom"/>
      <protection locked="1" hidden="0"/>
    </xf>
    <xf numFmtId="164" fontId="11" fillId="0" borderId="1" xfId="0" applyNumberFormat="1" applyFont="1" applyFill="1" applyBorder="1" applyAlignment="1" applyProtection="1">
      <alignment horizontal="right" vertical="bottom"/>
      <protection locked="1" hidden="0"/>
    </xf>
    <xf numFmtId="0" fontId="11" fillId="0" borderId="0" xfId="0" applyFont="1" applyFill="1" applyAlignment="1" applyProtection="1">
      <alignment horizontal="right" vertical="bottom"/>
      <protection locked="1" hidden="0"/>
    </xf>
    <xf numFmtId="165" fontId="5" fillId="0" borderId="0" xfId="0" applyNumberFormat="1" applyFont="1" applyFill="1" applyAlignment="1" applyProtection="1">
      <alignment horizontal="right" vertical="bottom"/>
      <protection locked="1" hidden="0"/>
    </xf>
    <xf numFmtId="168" fontId="2" fillId="2" borderId="1" xfId="0" applyNumberFormat="1" applyFont="1" applyFill="1" applyBorder="1" applyAlignment="1" applyProtection="1">
      <alignment horizontal="right" vertical="bottom"/>
      <protection locked="1" hidden="0"/>
    </xf>
    <xf numFmtId="171" fontId="3" fillId="0" borderId="0" xfId="0" applyNumberFormat="1" applyFont="1" applyFill="1" applyAlignment="1" applyProtection="1">
      <alignment horizontal="right" vertical="bottom"/>
      <protection locked="1" hidden="0"/>
    </xf>
    <xf numFmtId="0" fontId="3" fillId="0" borderId="0" xfId="0" applyFont="1" applyFill="1" applyAlignment="1" applyProtection="1">
      <alignment horizontal="left" vertical="bottom"/>
      <protection locked="1" hidden="0"/>
    </xf>
    <xf numFmtId="0" fontId="2" fillId="2" borderId="2" xfId="0" applyFont="1" applyFill="1" applyBorder="1" applyAlignment="1" applyProtection="1">
      <alignment horizontal="right" vertical="bottom" wrapText="1"/>
      <protection locked="1" hidden="0"/>
    </xf>
    <xf numFmtId="164" fontId="11" fillId="2" borderId="1" xfId="0" applyNumberFormat="1" applyFont="1" applyFill="1" applyBorder="1" applyAlignment="1" applyProtection="1">
      <alignment horizontal="right" vertical="bottom"/>
      <protection locked="1" hidden="0"/>
    </xf>
    <xf numFmtId="170" fontId="1" fillId="0" borderId="0" xfId="0" applyNumberFormat="1" applyFont="1" applyFill="1" applyAlignment="1" applyProtection="1">
      <alignment horizontal="right" vertical="bottom"/>
      <protection locked="1" hidden="0"/>
    </xf>
    <xf numFmtId="165" fontId="1" fillId="0" borderId="0" xfId="0" applyNumberFormat="1" applyFont="1" applyFill="1" applyAlignment="1" applyProtection="1">
      <alignment horizontal="right" vertical="bottom"/>
      <protection locked="1" hidden="0"/>
    </xf>
    <xf numFmtId="0" fontId="5" fillId="2" borderId="0" xfId="0" applyFont="1" applyFill="1" applyAlignment="1" applyProtection="1">
      <alignment horizontal="right" vertical="bottom"/>
      <protection locked="1" hidden="0"/>
    </xf>
    <xf numFmtId="170" fontId="3" fillId="2" borderId="0" xfId="0" applyNumberFormat="1" applyFont="1" applyFill="1" applyAlignment="1" applyProtection="1">
      <alignment horizontal="right" vertical="bottom"/>
      <protection locked="1" hidden="0"/>
    </xf>
    <xf numFmtId="170" fontId="1" fillId="2" borderId="0" xfId="0" applyNumberFormat="1" applyFont="1" applyFill="1" applyAlignment="1" applyProtection="1">
      <alignment horizontal="right" vertical="bottom"/>
      <protection locked="1" hidden="0"/>
    </xf>
    <xf numFmtId="170" fontId="7" fillId="0" borderId="1" xfId="0" applyNumberFormat="1" applyFont="1" applyFill="1" applyBorder="1" applyAlignment="1" applyProtection="1">
      <alignment horizontal="right" vertical="bottom"/>
      <protection locked="1" hidden="0"/>
    </xf>
    <xf numFmtId="170" fontId="2" fillId="2" borderId="1" xfId="0" applyNumberFormat="1" applyFont="1" applyFill="1" applyBorder="1" applyAlignment="1" applyProtection="1">
      <alignment horizontal="right" vertical="bottom"/>
      <protection locked="1" hidden="0"/>
    </xf>
    <xf numFmtId="170" fontId="2" fillId="0" borderId="1" xfId="0" applyNumberFormat="1" applyFont="1" applyFill="1" applyBorder="1" applyAlignment="1" applyProtection="1">
      <alignment horizontal="right" vertical="bottom"/>
      <protection locked="1" hidden="0"/>
    </xf>
    <xf numFmtId="168" fontId="12" fillId="0" borderId="0" xfId="0" applyNumberFormat="1" applyFont="1" applyFill="1" applyAlignment="1" applyProtection="1">
      <alignment horizontal="general" vertical="bottom" textRotation="0" indent="0" readingOrder="0"/>
      <protection locked="1" hidden="0"/>
    </xf>
    <xf numFmtId="172" fontId="13" fillId="0" borderId="0" xfId="0" applyNumberFormat="1" applyFont="1" applyFill="1" applyAlignment="1" applyProtection="1">
      <alignment horizontal="right" vertical="bottom" textRotation="0" indent="0" readingOrder="0"/>
      <protection locked="1" hidden="0"/>
    </xf>
    <xf numFmtId="164" fontId="13" fillId="0" borderId="0" xfId="0" applyNumberFormat="1" applyFont="1" applyFill="1" applyAlignment="1" applyProtection="1">
      <alignment horizontal="right" vertical="bottom" textRotation="0" indent="0" readingOrder="0"/>
      <protection locked="1" hidden="0"/>
    </xf>
    <xf numFmtId="173" fontId="12" fillId="0" borderId="0" xfId="0" applyNumberFormat="1" applyFont="1" applyFill="1" applyAlignment="1" applyProtection="1">
      <alignment horizontal="general" vertical="bottom" textRotation="0" indent="0" readingOrder="0"/>
      <protection locked="1" hidden="0"/>
    </xf>
    <xf numFmtId="174" fontId="14" fillId="0" borderId="0" xfId="0" applyNumberFormat="1" applyFont="1" applyFill="1" applyAlignment="1" applyProtection="1">
      <alignment horizontal="general" vertical="bottom" textRotation="0" indent="0" readingOrder="0"/>
      <protection locked="1" hidden="0"/>
    </xf>
    <xf numFmtId="164" fontId="14" fillId="0" borderId="0" xfId="0" applyNumberFormat="1" applyFont="1" applyFill="1" applyAlignment="1" applyProtection="1">
      <alignment horizontal="right" vertical="bottom" textRotation="0" indent="0" readingOrder="0"/>
      <protection locked="1" hidden="0"/>
    </xf>
    <xf numFmtId="167" fontId="12" fillId="0" borderId="0" xfId="0" applyNumberFormat="1" applyFont="1" applyFill="1" applyAlignment="1" applyProtection="1">
      <alignment horizontal="general" vertical="bottom" textRotation="0" indent="0" readingOrder="0"/>
      <protection locked="1" hidden="0"/>
    </xf>
    <xf numFmtId="173" fontId="15" fillId="0" borderId="0" xfId="0" applyNumberFormat="1" applyFont="1" applyFill="1" applyAlignment="1" applyProtection="1">
      <alignment horizontal="general" vertical="bottom" textRotation="0" wrapText="1" indent="0" readingOrder="0"/>
      <protection locked="1" hidden="0"/>
    </xf>
    <xf numFmtId="173" fontId="16" fillId="0" borderId="2" xfId="0" applyNumberFormat="1" applyFont="1" applyFill="1" applyBorder="1" applyAlignment="1" applyProtection="1">
      <alignment horizontal="general" vertical="bottom" textRotation="0" wrapText="1" indent="0" readingOrder="0"/>
      <protection locked="1" hidden="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theme" Target="theme/theme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38100</xdr:colOff>
      <xdr:row>0</xdr:row>
      <xdr:rowOff>19050</xdr:rowOff>
    </xdr:from>
    <xdr:ext cx="571500" cy="571500"/>
    <xdr:pic>
      <xdr:nvPicPr>
        <xdr:cNvPr id="2" name="Shortcut logo"/>
        <xdr:cNvPicPr>
          <a:picLocks noChangeAspect="1"/>
        </xdr:cNvPicPr>
      </xdr:nvPicPr>
      <xdr:blipFill>
        <a:blip r:embed="rId1"/>
      </xdr:blipFill>
      <xdr:spPr>
        <a:xfrm>
          <a:off x="0" y="0"/>
          <a:ext cx="571500" cy="571500"/>
        </a:xfrm>
        <a:prstGeom prst="rect">
          <a:avLst/>
        </a:prstGeom>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panose="020F0502020204030204"/>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ColWidth="8.42578125" defaultRowHeight="15"/>
  <cols>
    <col min="1" max="1" width="9" customWidth="1"/>
    <col min="2" max="2" width="34" customWidth="1"/>
    <col min="3" max="10" width="12" customWidth="1"/>
    <col min="11" max="11" width="60" customWidth="1"/>
  </cols>
  <sheetData>
    <row r="1">
      <c r="A1" s="3"/>
      <c r="B1" s="21" t="s">
        <v>0</v>
      </c>
      <c r="C1" s="3"/>
      <c r="D1" s="3"/>
      <c r="E1" s="3"/>
      <c r="F1" s="3"/>
      <c r="G1" s="3"/>
      <c r="H1" s="3"/>
      <c r="I1" s="3"/>
      <c r="J1" s="3"/>
      <c r="K1" s="3"/>
    </row>
    <row r="2">
      <c r="A2" s="3"/>
      <c r="B2" s="26" t="s">
        <v>1</v>
      </c>
      <c r="C2" s="3"/>
      <c r="D2" s="3"/>
      <c r="E2" s="3"/>
      <c r="F2" s="3"/>
      <c r="G2" s="3"/>
      <c r="H2" s="3"/>
      <c r="I2" s="3"/>
      <c r="J2" s="3"/>
      <c r="K2" s="3"/>
    </row>
    <row r="3">
      <c r="A3" s="3"/>
      <c r="B3" s="37" t="s">
        <v>2</v>
      </c>
      <c r="C3" s="3"/>
      <c r="D3" s="3"/>
      <c r="E3" s="3"/>
      <c r="F3" s="3"/>
      <c r="G3" s="3"/>
      <c r="H3" s="3"/>
      <c r="I3" s="3"/>
      <c r="J3" s="3"/>
      <c r="K3" s="3"/>
    </row>
    <row r="4">
      <c r="A4" s="3"/>
      <c r="B4" s="12" t="s">
        <v>3</v>
      </c>
      <c r="C4" s="9"/>
      <c r="D4" s="9"/>
      <c r="E4" s="9"/>
      <c r="F4" s="9"/>
      <c r="G4" s="9"/>
      <c r="H4" s="9"/>
      <c r="I4" s="9"/>
      <c r="J4" s="9"/>
      <c r="K4" s="12" t="s">
        <v>4</v>
      </c>
    </row>
    <row r="5">
      <c r="A5" s="3"/>
      <c r="B5" s="28"/>
      <c r="C5" s="22"/>
      <c r="D5" s="22"/>
      <c r="E5" s="22"/>
      <c r="F5" s="22"/>
      <c r="G5" s="22"/>
      <c r="H5" s="22"/>
      <c r="I5" s="22"/>
      <c r="J5" s="22"/>
      <c r="K5" s="28"/>
    </row>
    <row r="6">
      <c r="A6" s="3"/>
      <c r="B6" s="33"/>
      <c r="C6" s="13"/>
      <c r="D6" s="13"/>
      <c r="E6" s="13"/>
      <c r="F6" s="13"/>
      <c r="G6" s="13"/>
      <c r="H6" s="13"/>
      <c r="I6" s="13"/>
      <c r="J6" s="13"/>
      <c r="K6" s="33"/>
    </row>
    <row r="7">
      <c r="A7" s="3"/>
      <c r="B7" s="3"/>
      <c r="C7" s="3"/>
      <c r="D7" s="3"/>
      <c r="E7" s="3"/>
      <c r="F7" s="3"/>
      <c r="G7" s="3"/>
      <c r="H7" s="3"/>
      <c r="I7" s="3"/>
      <c r="J7" s="3"/>
      <c r="K7" s="3"/>
    </row>
    <row r="8">
      <c r="A8" s="3"/>
      <c r="B8" s="26" t="s">
        <v>5</v>
      </c>
      <c r="C8" s="3"/>
      <c r="D8" s="3"/>
      <c r="E8" s="3"/>
      <c r="F8" s="3"/>
      <c r="G8" s="3"/>
      <c r="H8" s="3"/>
      <c r="I8" s="3"/>
      <c r="J8" s="3"/>
      <c r="K8" s="6"/>
    </row>
    <row r="9">
      <c r="A9" s="3"/>
      <c r="B9" s="4" t="s">
        <v>6</v>
      </c>
      <c r="C9" s="3" t="s">
        <v>7</v>
      </c>
      <c r="D9" s="3"/>
      <c r="E9" s="3"/>
      <c r="F9" s="3"/>
      <c r="G9" s="3"/>
      <c r="H9" s="3"/>
      <c r="I9" s="3"/>
      <c r="J9" s="3"/>
      <c r="K9" s="6"/>
    </row>
    <row r="10">
      <c r="A10" s="3"/>
      <c r="B10" s="4" t="s">
        <v>8</v>
      </c>
      <c r="C10" s="3" t="s">
        <v>9</v>
      </c>
      <c r="D10" s="3"/>
      <c r="E10" s="3"/>
      <c r="F10" s="3"/>
      <c r="G10" s="3"/>
      <c r="H10" s="3"/>
      <c r="I10" s="3"/>
      <c r="J10" s="3"/>
      <c r="K10" s="6"/>
    </row>
    <row r="11">
      <c r="A11" s="3"/>
      <c r="B11" s="4" t="s">
        <v>10</v>
      </c>
      <c r="C11" s="3" t="s">
        <v>11</v>
      </c>
      <c r="D11" s="3"/>
      <c r="E11" s="3"/>
      <c r="F11" s="3"/>
      <c r="G11" s="3"/>
      <c r="H11" s="3"/>
      <c r="I11" s="3"/>
      <c r="J11" s="3"/>
      <c r="K11" s="6"/>
    </row>
    <row r="12">
      <c r="A12" s="3"/>
      <c r="B12" s="4" t="s">
        <v>12</v>
      </c>
      <c r="C12" s="40" t="str">
        <f>Inputs!B14</f>
        <v>Dec-31</v>
      </c>
      <c r="D12" s="3"/>
      <c r="E12" s="3"/>
      <c r="F12" s="3"/>
      <c r="G12" s="3"/>
      <c r="H12" s="3"/>
      <c r="I12" s="3"/>
      <c r="J12" s="3"/>
      <c r="K12" s="6" t="s">
        <v>13</v>
      </c>
    </row>
    <row r="13">
      <c r="A13" s="3"/>
      <c r="B13" s="4" t="s">
        <v>14</v>
      </c>
      <c r="C13" s="3" t="s">
        <v>15</v>
      </c>
      <c r="D13" s="3"/>
      <c r="E13" s="3"/>
      <c r="F13" s="3"/>
      <c r="G13" s="3"/>
      <c r="H13" s="3"/>
      <c r="I13" s="3"/>
      <c r="J13" s="3"/>
      <c r="K13" s="6"/>
    </row>
    <row r="14">
      <c r="A14" s="3"/>
      <c r="B14" s="4" t="s">
        <v>16</v>
      </c>
      <c r="C14" s="3" t="s">
        <v>17</v>
      </c>
      <c r="D14" s="3"/>
      <c r="E14" s="3"/>
      <c r="F14" s="3"/>
      <c r="G14" s="3"/>
      <c r="H14" s="3"/>
      <c r="I14" s="3"/>
      <c r="J14" s="3"/>
      <c r="K14" s="6"/>
    </row>
    <row r="15">
      <c r="A15" s="3"/>
      <c r="B15" s="4" t="s">
        <v>18</v>
      </c>
      <c r="C15" s="3" t="s">
        <v>19</v>
      </c>
      <c r="D15" s="3"/>
      <c r="E15" s="3"/>
      <c r="F15" s="3"/>
      <c r="G15" s="3"/>
      <c r="H15" s="3"/>
      <c r="I15" s="3"/>
      <c r="J15" s="3"/>
      <c r="K15" s="6"/>
    </row>
    <row r="16">
      <c r="A16" s="3"/>
      <c r="B16" s="4" t="s">
        <v>20</v>
      </c>
      <c r="C16" s="3" t="str">
        <f>TEXT(Sources!C43,"yyyy-mm-dd hh:mm")&amp;" UTC"</f>
        <v>2026-10-18 21:34 UTC</v>
      </c>
      <c r="D16" s="3"/>
      <c r="E16" s="3"/>
      <c r="F16" s="3"/>
      <c r="G16" s="3"/>
      <c r="H16" s="3"/>
      <c r="I16" s="3"/>
      <c r="J16" s="3"/>
      <c r="K16" s="6"/>
    </row>
    <row r="17">
      <c r="A17" s="3"/>
      <c r="B17" s="4" t="s">
        <v>21</v>
      </c>
      <c r="C17" s="3" t="s">
        <v>22</v>
      </c>
      <c r="D17" s="3"/>
      <c r="E17" s="3"/>
      <c r="F17" s="3"/>
      <c r="G17" s="3"/>
      <c r="H17" s="3"/>
      <c r="I17" s="3"/>
      <c r="J17" s="3"/>
      <c r="K17" s="6"/>
    </row>
    <row r="18">
      <c r="A18" s="3"/>
      <c r="B18" s="4" t="s">
        <v>23</v>
      </c>
      <c r="C18" s="3" t="s">
        <v>24</v>
      </c>
      <c r="D18" s="3"/>
      <c r="E18" s="3"/>
      <c r="F18" s="3"/>
      <c r="G18" s="3"/>
      <c r="H18" s="3"/>
      <c r="I18" s="3"/>
      <c r="J18" s="3"/>
      <c r="K18" s="6"/>
    </row>
    <row r="19">
      <c r="A19" s="3"/>
      <c r="B19" s="3"/>
      <c r="C19" s="3"/>
      <c r="D19" s="3"/>
      <c r="E19" s="3"/>
      <c r="F19" s="3"/>
      <c r="G19" s="3"/>
      <c r="H19" s="3"/>
      <c r="I19" s="3"/>
      <c r="J19" s="3"/>
      <c r="K19" s="6"/>
    </row>
    <row r="20" ht="33">
      <c r="A20" s="3"/>
      <c r="B20" s="35" t="s">
        <v>25</v>
      </c>
      <c r="C20" s="54" t="s">
        <v>26</v>
      </c>
      <c r="D20" s="29" t="s">
        <v>27</v>
      </c>
      <c r="E20" s="29" t="s">
        <v>28</v>
      </c>
      <c r="F20" s="29" t="s">
        <v>29</v>
      </c>
      <c r="G20" s="29" t="s">
        <v>30</v>
      </c>
      <c r="H20" s="29" t="s">
        <v>31</v>
      </c>
      <c r="I20" s="29" t="s">
        <v>32</v>
      </c>
      <c r="J20" s="29"/>
      <c r="K20" s="41"/>
    </row>
    <row r="21">
      <c r="A21" s="3"/>
      <c r="B21" s="4" t="s">
        <v>33</v>
      </c>
      <c r="C21" s="14">
        <f>'Revenue summary'!I36</f>
        <v>8236.503365384777</v>
      </c>
      <c r="D21" s="19">
        <f>VALUE(Inputs!B40)</f>
        <v>8876.68</v>
      </c>
      <c r="E21" s="7">
        <f>C21-D21</f>
        <v>-640.1766346152235</v>
      </c>
      <c r="F21" s="32">
        <f>C21/D21-1</f>
        <v>-0.07211892674009013</v>
      </c>
      <c r="G21" s="7" t="s">
        <v>34</v>
      </c>
      <c r="H21" s="7" t="s">
        <v>34</v>
      </c>
      <c r="I21" s="19">
        <f>'Revenue summary'!D36</f>
        <v>7966</v>
      </c>
      <c r="J21" s="7"/>
      <c r="K21" s="6" t="s">
        <v>35</v>
      </c>
    </row>
    <row r="22">
      <c r="A22" s="3"/>
      <c r="B22" s="4" t="s">
        <v>36</v>
      </c>
      <c r="C22" s="14">
        <f>'Income Statement'!I85</f>
        <v>2466.2999999999997</v>
      </c>
      <c r="D22" s="19">
        <f>VALUE(Inputs!B53)</f>
        <v>2357.67</v>
      </c>
      <c r="E22" s="7">
        <f>C22-D22</f>
        <v>108.62999999999965</v>
      </c>
      <c r="F22" s="32">
        <f>C22/D22-1</f>
        <v>0.046075150466350134</v>
      </c>
      <c r="G22" s="7" t="s">
        <v>34</v>
      </c>
      <c r="H22" s="7" t="s">
        <v>34</v>
      </c>
      <c r="I22" s="19">
        <f>'Income Statement'!D85</f>
        <v>2348</v>
      </c>
      <c r="J22" s="7"/>
      <c r="K22" s="6" t="s">
        <v>37</v>
      </c>
    </row>
    <row r="23">
      <c r="A23" s="3"/>
      <c r="B23" s="4" t="s">
        <v>38</v>
      </c>
      <c r="C23" s="14">
        <f>'Income Statement'!I69</f>
        <v>2536.6899999999996</v>
      </c>
      <c r="D23" s="19">
        <f>VALUE(Inputs!B54)</f>
        <v>2464.3</v>
      </c>
      <c r="E23" s="7">
        <f>C23-D23</f>
        <v>72.38999999999942</v>
      </c>
      <c r="F23" s="32">
        <f>C23/D23-1</f>
        <v>0.029375481881264154</v>
      </c>
      <c r="G23" s="7" t="s">
        <v>34</v>
      </c>
      <c r="H23" s="7" t="s">
        <v>34</v>
      </c>
      <c r="I23" s="19">
        <f>'Income Statement'!D69</f>
        <v>2438</v>
      </c>
      <c r="J23" s="7"/>
      <c r="K23" s="6"/>
    </row>
    <row r="24">
      <c r="A24" s="3"/>
      <c r="B24" s="4" t="s">
        <v>39</v>
      </c>
      <c r="C24" s="42">
        <f>'Income Statement'!I106</f>
        <v>1.1777936962750715</v>
      </c>
      <c r="D24" s="36">
        <f>VALUE(Inputs!B22)</f>
        <v>1.18</v>
      </c>
      <c r="E24" s="65">
        <f>C24-D24</f>
        <v>-0.002206303724928471</v>
      </c>
      <c r="F24" s="32">
        <f>C24/D24-1</f>
        <v>-0.0018697489194309247</v>
      </c>
      <c r="G24" s="36" t="s">
        <v>34</v>
      </c>
      <c r="H24" s="18" t="s">
        <v>40</v>
      </c>
      <c r="I24" s="36">
        <f>'Income Statement'!D106</f>
        <v>1.1339708297111948</v>
      </c>
      <c r="J24" s="18"/>
      <c r="K24" s="64" t="str">
        <f>"No quarterly EPS guidance; FY2026 adj. EPS guidance $"&amp;TEXT(Guidance!D15,"0.00")&amp;"–$"&amp;TEXT(Guidance!E15,"0.00")&amp;" (midpoint $"&amp;TEXT(Guidance!F15,"0.00")&amp;", Guidance!F15)"</f>
        <v>No quarterly EPS guidance; FY2026 adj. EPS guidance $3.92–$4.02 (midpoint $3.97, Guidance!F15)</v>
      </c>
    </row>
    <row r="25">
      <c r="A25" s="3"/>
      <c r="B25" s="4" t="s">
        <v>41</v>
      </c>
      <c r="C25" s="42">
        <f>'Income Statement'!I103</f>
        <v>1.211408787010506</v>
      </c>
      <c r="D25" s="36">
        <f>VALUE(Inputs!B31)</f>
        <v>1.18</v>
      </c>
      <c r="E25" s="18">
        <f>C25-D25</f>
        <v>0.03140878701050598</v>
      </c>
      <c r="F25" s="32">
        <f>C25/D25-1</f>
        <v>0.026617616110598208</v>
      </c>
      <c r="G25" s="18" t="s">
        <v>34</v>
      </c>
      <c r="H25" s="18" t="s">
        <v>34</v>
      </c>
      <c r="I25" s="36">
        <f>'Income Statement'!D103</f>
        <v>1.1774364918381146</v>
      </c>
      <c r="J25" s="18"/>
      <c r="K25" s="6" t="s">
        <v>42</v>
      </c>
    </row>
    <row r="26">
      <c r="A26" s="3"/>
      <c r="B26" s="4" t="s">
        <v>43</v>
      </c>
      <c r="C26" s="14">
        <f>'Share Count'!I13</f>
        <v>2094</v>
      </c>
      <c r="D26" s="7"/>
      <c r="E26" s="7"/>
      <c r="F26" s="32"/>
      <c r="G26" s="7"/>
      <c r="H26" s="7"/>
      <c r="I26" s="19">
        <f>'Share Count'!D13</f>
        <v>2070.6</v>
      </c>
      <c r="J26" s="7"/>
      <c r="K26" s="6"/>
    </row>
    <row r="27">
      <c r="A27" s="3"/>
      <c r="B27" s="27" t="s">
        <v>44</v>
      </c>
      <c r="C27" s="49" t="str">
        <f>IF(AND('Revenue summary'!B49,'Revenue summary'!C49,'Revenue summary'!D49,'Revenue summary'!E49,'Revenue summary'!F49,'Revenue summary'!G49,'Revenue summary'!H49,'Revenue summary'!B51,'Revenue summary'!C51,'Revenue summary'!D51,'Revenue summary'!E51,'Revenue summary'!G51,'Revenue summary'!H51,'Income Statement'!B71,'Income Statement'!C71,'Income Statement'!D71,'Income Statement'!E71,'Income Statement'!F71,'Income Statement'!G71,'Income Statement'!H71,'Income Statement'!B87,'Income Statement'!C87,'Income Statement'!D87,'Income Statement'!E87,'Income Statement'!F87,'Income Statement'!G87,'Income Statement'!H87,'Income Statement'!B97,'Income Statement'!C97,'Income Statement'!D97,'Income Statement'!E97,'Income Statement'!F97,'Income Statement'!G97,'Income Statement'!H97,'Income Statement'!B105,'Income Statement'!C105,'Income Statement'!D105,'Income Statement'!E105,'Income Statement'!F105,'Income Statement'!G105,'Income Statement'!H105,'Income Statement'!B109,'Income Statement'!C109,'Income Statement'!D109,'Income Statement'!E109,'Income Statement'!F109,'Income Statement'!G109,'Income Statement'!H109,'Income Statement'!B110,'Income Statement'!C110,'Income Statement'!D110,'Income Statement'!E110,'Income Statement'!G110,'Income Statement'!H110,ABS('Balance Sheet'!B59)&lt;=$C$38,ABS('Balance Sheet'!C59)&lt;=$C$38,ABS('Balance Sheet'!D59)&lt;=$C$38,ABS('Balance Sheet'!E59)&lt;=$C$38,ABS('Balance Sheet'!F59)&lt;=$C$38,ABS('Balance Sheet'!G59)&lt;=$C$38,ABS('Balance Sheet'!H59)&lt;=$C$38,ABS('Balance Sheet'!I59)&lt;=$C$38,ABS('Balance Sheet'!B60)&lt;=$C$38,ABS('Balance Sheet'!C60)&lt;=$C$38,ABS('Balance Sheet'!D60)&lt;=$C$38,ABS('Balance Sheet'!E60)&lt;=$C$38,ABS('Balance Sheet'!F60)&lt;=$C$38,ABS('Balance Sheet'!G60)&lt;=$C$38,ABS('Balance Sheet'!H60)&lt;=$C$38,ABS('Cash Flow Statement'!C59)&lt;=$C$38,ABS('Cash Flow Statement'!D59)&lt;=$C$38,ABS('Cash Flow Statement'!E59)&lt;=$C$38,ABS('Cash Flow Statement'!G59)&lt;=$C$38,ABS('Cash Flow Statement'!H59)&lt;=$C$38,ABS('Cash Flow Statement'!B60)&lt;=$C$38,ABS('Cash Flow Statement'!C60)&lt;=$C$38,ABS('Cash Flow Statement'!D60)&lt;=$C$38,ABS('Cash Flow Statement'!E60)&lt;=$C$38,ABS('Cash Flow Statement'!F60)&lt;=$C$38,ABS('Cash Flow Statement'!G60)&lt;=$C$38,ABS('Cash Flow Statement'!H60)&lt;=$C$38,'Cash Flow Statement'!B61,'Cash Flow Statement'!C61,'Cash Flow Statement'!D61,'Cash Flow Statement'!E61,'Cash Flow Statement'!F61,'Cash Flow Statement'!G61,'Cash Flow Statement'!H61,'Cash Flow Statement'!B62,'Cash Flow Statement'!C62,'Cash Flow Statement'!D62,'Cash Flow Statement'!E62,'Cash Flow Statement'!F62,'Cash Flow Statement'!G62,'Cash Flow Statement'!H62,ABS('Cash Flow Statement'!B129)&lt;=$C$38,ABS('Cash Flow Statement'!C129)&lt;=$C$38,ABS('Cash Flow Statement'!D129)&lt;=$C$38,ABS('Cash Flow Statement'!E129)&lt;=$C$38,ABS('Cash Flow Statement'!G129)&lt;=$C$38,ABS('Cash Flow Statement'!H129)&lt;=$C$38,ABS('Segment - NEER'!D67)&lt;=$C$38,ABS('Segment - NEER'!G67)&lt;=$C$38,ABS('Segment - NEER'!H67)&lt;=$C$38),"PASS","FAIL")</f>
        <v>PASS</v>
      </c>
      <c r="D27" s="23"/>
      <c r="E27" s="23"/>
      <c r="F27" s="23"/>
      <c r="G27" s="23"/>
      <c r="H27" s="23"/>
      <c r="I27" s="23"/>
      <c r="J27" s="23"/>
      <c r="K27" s="6" t="s">
        <v>45</v>
      </c>
    </row>
    <row r="28">
      <c r="A28" s="3"/>
      <c r="B28" s="17" t="s">
        <v>46</v>
      </c>
      <c r="C28" s="16">
        <f>C56</f>
        <v>0.58</v>
      </c>
      <c r="D28" s="16"/>
      <c r="E28" s="16"/>
      <c r="F28" s="16"/>
      <c r="G28" s="16"/>
      <c r="H28" s="16"/>
      <c r="I28" s="16"/>
      <c r="J28" s="16"/>
      <c r="K28" s="6" t="s">
        <v>47</v>
      </c>
    </row>
    <row r="29">
      <c r="A29" s="3"/>
      <c r="B29" s="4" t="s">
        <v>48</v>
      </c>
      <c r="C29" s="23" t="s">
        <v>49</v>
      </c>
      <c r="D29" s="23"/>
      <c r="E29" s="23"/>
      <c r="F29" s="23"/>
      <c r="G29" s="23"/>
      <c r="H29" s="23"/>
      <c r="I29" s="23"/>
      <c r="J29" s="23"/>
      <c r="K29" s="6"/>
    </row>
    <row r="30">
      <c r="A30" s="3"/>
      <c r="B30" s="3"/>
      <c r="C30" s="3"/>
      <c r="D30" s="3"/>
      <c r="E30" s="3"/>
      <c r="F30" s="3"/>
      <c r="G30" s="3"/>
      <c r="H30" s="3"/>
      <c r="I30" s="3"/>
      <c r="J30" s="3"/>
      <c r="K30" s="6"/>
    </row>
    <row r="31">
      <c r="A31" s="3"/>
      <c r="B31" s="26" t="s">
        <v>50</v>
      </c>
      <c r="C31" s="3"/>
      <c r="D31" s="3"/>
      <c r="E31" s="3"/>
      <c r="F31" s="3"/>
      <c r="G31" s="3"/>
      <c r="H31" s="3"/>
      <c r="I31" s="3"/>
      <c r="J31" s="3"/>
      <c r="K31" s="6"/>
    </row>
    <row r="32">
      <c r="A32" s="3"/>
      <c r="B32" s="4" t="s">
        <v>51</v>
      </c>
      <c r="C32" s="24">
        <v>1.2</v>
      </c>
      <c r="D32" s="24">
        <v>1.24</v>
      </c>
      <c r="E32" s="18"/>
      <c r="F32" s="32"/>
      <c r="G32" s="18"/>
      <c r="H32" s="18"/>
      <c r="I32" s="18"/>
      <c r="J32" s="18"/>
      <c r="K32" s="6"/>
    </row>
    <row r="33">
      <c r="A33" s="3"/>
      <c r="B33" s="4" t="s">
        <v>52</v>
      </c>
      <c r="C33" s="24">
        <v>1.17</v>
      </c>
      <c r="D33" s="18"/>
      <c r="E33" s="18"/>
      <c r="F33" s="32"/>
      <c r="G33" s="18"/>
      <c r="H33" s="18"/>
      <c r="I33" s="18"/>
      <c r="J33" s="18"/>
      <c r="K33" s="6"/>
    </row>
    <row r="34">
      <c r="A34" s="3"/>
      <c r="B34" s="4" t="s">
        <v>53</v>
      </c>
      <c r="C34" s="24">
        <v>1.23</v>
      </c>
      <c r="D34" s="18"/>
      <c r="E34" s="18"/>
      <c r="F34" s="32"/>
      <c r="G34" s="18"/>
      <c r="H34" s="18"/>
      <c r="I34" s="18"/>
      <c r="J34" s="18"/>
      <c r="K34" s="6"/>
    </row>
    <row r="35">
      <c r="A35" s="3"/>
      <c r="B35" s="4" t="s">
        <v>54</v>
      </c>
      <c r="C35" s="36">
        <f>VALUE(Inputs!B23)</f>
        <v>1.2</v>
      </c>
      <c r="D35" s="36">
        <f>VALUE(Inputs!B24)</f>
        <v>1.24</v>
      </c>
      <c r="E35" s="36">
        <f>VALUE(Inputs!B25)</f>
        <v>1</v>
      </c>
      <c r="F35" s="32"/>
      <c r="G35" s="18"/>
      <c r="H35" s="18"/>
      <c r="I35" s="18"/>
      <c r="J35" s="18"/>
      <c r="K35" s="6"/>
    </row>
    <row r="36">
      <c r="A36" s="3"/>
      <c r="B36" s="3"/>
      <c r="C36" s="3"/>
      <c r="D36" s="3"/>
      <c r="E36" s="3"/>
      <c r="F36" s="3"/>
      <c r="G36" s="3"/>
      <c r="H36" s="3"/>
      <c r="I36" s="3"/>
      <c r="J36" s="3"/>
      <c r="K36" s="6"/>
    </row>
    <row r="37">
      <c r="A37" s="3"/>
      <c r="B37" s="26" t="s">
        <v>55</v>
      </c>
      <c r="C37" s="3"/>
      <c r="D37" s="3"/>
      <c r="E37" s="3"/>
      <c r="F37" s="3"/>
      <c r="G37" s="3"/>
      <c r="H37" s="3"/>
      <c r="I37" s="3"/>
      <c r="J37" s="3"/>
      <c r="K37" s="6"/>
    </row>
    <row r="38">
      <c r="A38" s="3"/>
      <c r="B38" s="4" t="s">
        <v>56</v>
      </c>
      <c r="C38" s="56">
        <v>0.01</v>
      </c>
      <c r="D38" s="47"/>
      <c r="E38" s="47"/>
      <c r="F38" s="47"/>
      <c r="G38" s="47"/>
      <c r="H38" s="47"/>
      <c r="I38" s="47"/>
      <c r="J38" s="47"/>
      <c r="K38" s="6" t="s">
        <v>57</v>
      </c>
    </row>
    <row r="39">
      <c r="A39" s="3"/>
      <c r="B39" s="3"/>
      <c r="C39" s="3"/>
      <c r="D39" s="3"/>
      <c r="E39" s="3"/>
      <c r="F39" s="3"/>
      <c r="G39" s="3"/>
      <c r="H39" s="3"/>
      <c r="I39" s="3"/>
      <c r="J39" s="3"/>
      <c r="K39" s="6"/>
    </row>
    <row r="40">
      <c r="A40" s="3"/>
      <c r="B40" s="26" t="s">
        <v>58</v>
      </c>
      <c r="C40" s="3"/>
      <c r="D40" s="3"/>
      <c r="E40" s="3"/>
      <c r="F40" s="3"/>
      <c r="G40" s="3"/>
      <c r="H40" s="3"/>
      <c r="I40" s="3"/>
      <c r="J40" s="3"/>
      <c r="K40" s="6"/>
    </row>
    <row r="41">
      <c r="A41" s="3"/>
      <c r="B41" s="4" t="s">
        <v>59</v>
      </c>
      <c r="C41" s="1">
        <v>166.46</v>
      </c>
      <c r="D41" s="7"/>
      <c r="E41" s="7"/>
      <c r="F41" s="32"/>
      <c r="G41" s="7"/>
      <c r="H41" s="7"/>
      <c r="I41" s="7"/>
      <c r="J41" s="7"/>
      <c r="K41" s="6" t="s">
        <v>60</v>
      </c>
    </row>
    <row r="42">
      <c r="A42" s="3"/>
      <c r="B42" s="4" t="s">
        <v>61</v>
      </c>
      <c r="C42" s="19">
        <f>VALUE(Inputs!B73)*'Share Count'!H21/1000</f>
        <v>166.44709448220001</v>
      </c>
      <c r="D42" s="7"/>
      <c r="E42" s="7"/>
      <c r="F42" s="32"/>
      <c r="G42" s="7"/>
      <c r="H42" s="7"/>
      <c r="I42" s="7"/>
      <c r="J42" s="7"/>
      <c r="K42" s="6"/>
    </row>
    <row r="43">
      <c r="A43" s="3"/>
      <c r="B43" s="4" t="s">
        <v>62</v>
      </c>
      <c r="C43" s="1">
        <v>2</v>
      </c>
      <c r="D43" s="7"/>
      <c r="E43" s="7"/>
      <c r="F43" s="32"/>
      <c r="G43" s="7"/>
      <c r="H43" s="7"/>
      <c r="I43" s="7"/>
      <c r="J43" s="7"/>
      <c r="K43" s="6" t="s">
        <v>63</v>
      </c>
    </row>
    <row r="44">
      <c r="A44" s="3"/>
      <c r="B44" s="4" t="s">
        <v>64</v>
      </c>
      <c r="C44" s="1">
        <v>10</v>
      </c>
      <c r="D44" s="7"/>
      <c r="E44" s="7"/>
      <c r="F44" s="32"/>
      <c r="G44" s="7"/>
      <c r="H44" s="7"/>
      <c r="I44" s="7"/>
      <c r="J44" s="7"/>
      <c r="K44" s="6" t="s">
        <v>63</v>
      </c>
    </row>
    <row r="45">
      <c r="A45" s="3"/>
      <c r="B45" s="4" t="s">
        <v>65</v>
      </c>
      <c r="C45" s="23" t="str">
        <f>IF(C41&gt;C44,"large",IF(C41&gt;=C43,"mid","small"))</f>
        <v>large</v>
      </c>
      <c r="D45" s="23"/>
      <c r="E45" s="23"/>
      <c r="F45" s="23"/>
      <c r="G45" s="23"/>
      <c r="H45" s="23"/>
      <c r="I45" s="23"/>
      <c r="J45" s="23"/>
      <c r="K45" s="6" t="s">
        <v>66</v>
      </c>
    </row>
    <row r="46">
      <c r="A46" s="3"/>
      <c r="B46" s="4" t="s">
        <v>67</v>
      </c>
      <c r="C46" s="23" t="s">
        <v>68</v>
      </c>
      <c r="D46" s="23"/>
      <c r="E46" s="23"/>
      <c r="F46" s="23"/>
      <c r="G46" s="23"/>
      <c r="H46" s="23"/>
      <c r="I46" s="23"/>
      <c r="J46" s="23"/>
      <c r="K46" s="6" t="s">
        <v>69</v>
      </c>
    </row>
    <row r="47">
      <c r="A47" s="3"/>
      <c r="B47" s="17" t="s">
        <v>70</v>
      </c>
      <c r="C47" s="44">
        <v>0.78</v>
      </c>
      <c r="D47" s="16"/>
      <c r="E47" s="16"/>
      <c r="F47" s="16"/>
      <c r="G47" s="16"/>
      <c r="H47" s="16"/>
      <c r="I47" s="16"/>
      <c r="J47" s="16"/>
      <c r="K47" s="6" t="s">
        <v>71</v>
      </c>
    </row>
    <row r="48">
      <c r="A48" s="3"/>
      <c r="B48" s="17" t="s">
        <v>72</v>
      </c>
      <c r="C48" s="44">
        <v>0.7</v>
      </c>
      <c r="D48" s="16"/>
      <c r="E48" s="16"/>
      <c r="F48" s="16"/>
      <c r="G48" s="16"/>
      <c r="H48" s="16"/>
      <c r="I48" s="16"/>
      <c r="J48" s="16"/>
      <c r="K48" s="6" t="s">
        <v>73</v>
      </c>
    </row>
    <row r="49">
      <c r="A49" s="3"/>
      <c r="B49" s="17" t="s">
        <v>74</v>
      </c>
      <c r="C49" s="44">
        <v>0.6</v>
      </c>
      <c r="D49" s="16"/>
      <c r="E49" s="16"/>
      <c r="F49" s="16"/>
      <c r="G49" s="16"/>
      <c r="H49" s="16"/>
      <c r="I49" s="16"/>
      <c r="J49" s="16"/>
      <c r="K49" s="6" t="s">
        <v>73</v>
      </c>
    </row>
    <row r="50">
      <c r="A50" s="3"/>
      <c r="B50" s="17" t="s">
        <v>75</v>
      </c>
      <c r="C50" s="16">
        <f>IF(OR(C45="large",C46="yes"),C47,IF(C45="mid",C48,C49))</f>
        <v>0.78</v>
      </c>
      <c r="D50" s="16"/>
      <c r="E50" s="16"/>
      <c r="F50" s="16"/>
      <c r="G50" s="16"/>
      <c r="H50" s="16"/>
      <c r="I50" s="16"/>
      <c r="J50" s="16"/>
      <c r="K50" s="6" t="s">
        <v>76</v>
      </c>
    </row>
    <row r="51">
      <c r="A51" s="3"/>
      <c r="B51" s="4" t="s">
        <v>77</v>
      </c>
      <c r="C51" s="50">
        <f>Inputs!B113</f>
        <v>6</v>
      </c>
      <c r="D51" s="8"/>
      <c r="E51" s="8"/>
      <c r="F51" s="8"/>
      <c r="G51" s="8"/>
      <c r="H51" s="8"/>
      <c r="I51" s="8"/>
      <c r="J51" s="8"/>
      <c r="K51" s="6"/>
    </row>
    <row r="52">
      <c r="A52" s="3"/>
      <c r="B52" s="4" t="s">
        <v>78</v>
      </c>
      <c r="C52" s="50">
        <f>Inputs!B114</f>
        <v>6</v>
      </c>
      <c r="D52" s="8"/>
      <c r="E52" s="8"/>
      <c r="F52" s="8"/>
      <c r="G52" s="8"/>
      <c r="H52" s="8"/>
      <c r="I52" s="8"/>
      <c r="J52" s="8"/>
      <c r="K52" s="6"/>
    </row>
    <row r="53">
      <c r="A53" s="3"/>
      <c r="B53" s="4" t="s">
        <v>79</v>
      </c>
      <c r="C53" s="57">
        <v>8</v>
      </c>
      <c r="D53" s="8"/>
      <c r="E53" s="8"/>
      <c r="F53" s="8"/>
      <c r="G53" s="8"/>
      <c r="H53" s="8"/>
      <c r="I53" s="8"/>
      <c r="J53" s="8"/>
      <c r="K53" s="6" t="s">
        <v>80</v>
      </c>
    </row>
    <row r="54">
      <c r="A54" s="3"/>
      <c r="B54" s="17" t="s">
        <v>81</v>
      </c>
      <c r="C54" s="16">
        <f>(C53*C50+C51)/(C53+C52)</f>
        <v>0.8742857142857143</v>
      </c>
      <c r="D54" s="16"/>
      <c r="E54" s="16"/>
      <c r="F54" s="16"/>
      <c r="G54" s="16"/>
      <c r="H54" s="16"/>
      <c r="I54" s="16"/>
      <c r="J54" s="16"/>
      <c r="K54" s="6"/>
    </row>
    <row r="55">
      <c r="A55" s="3"/>
      <c r="B55" s="4" t="s">
        <v>82</v>
      </c>
      <c r="C55" s="36">
        <f>Inputs!B115</f>
        <v>0.044999999999999964</v>
      </c>
      <c r="D55" s="18"/>
      <c r="E55" s="18"/>
      <c r="F55" s="32"/>
      <c r="G55" s="18"/>
      <c r="H55" s="18"/>
      <c r="I55" s="18"/>
      <c r="J55" s="18"/>
      <c r="K55" s="6" t="s">
        <v>83</v>
      </c>
    </row>
    <row r="56">
      <c r="A56" s="3"/>
      <c r="B56" s="17" t="s">
        <v>84</v>
      </c>
      <c r="C56" s="44">
        <v>0.58</v>
      </c>
      <c r="D56" s="16"/>
      <c r="E56" s="16"/>
      <c r="F56" s="16"/>
      <c r="G56" s="16"/>
      <c r="H56" s="16"/>
      <c r="I56" s="16"/>
      <c r="J56" s="16"/>
      <c r="K56" s="6" t="s">
        <v>85</v>
      </c>
    </row>
    <row r="57">
      <c r="A57" s="3"/>
      <c r="B57" s="17" t="s">
        <v>86</v>
      </c>
      <c r="C57" s="16">
        <f>C56-C54</f>
        <v>-0.2942857142857144</v>
      </c>
      <c r="D57" s="16"/>
      <c r="E57" s="16"/>
      <c r="F57" s="16"/>
      <c r="G57" s="16"/>
      <c r="H57" s="16"/>
      <c r="I57" s="16"/>
      <c r="J57" s="16"/>
      <c r="K57" s="6"/>
    </row>
    <row r="58">
      <c r="A58" s="3"/>
      <c r="B58" s="3"/>
      <c r="C58" s="3"/>
      <c r="D58" s="3"/>
      <c r="E58" s="3"/>
      <c r="F58" s="3"/>
      <c r="G58" s="3"/>
      <c r="H58" s="3"/>
      <c r="I58" s="3"/>
      <c r="J58" s="3"/>
      <c r="K58" s="6"/>
    </row>
    <row r="59">
      <c r="A59" s="3"/>
      <c r="B59" s="3"/>
      <c r="C59" s="3"/>
      <c r="D59" s="3"/>
      <c r="E59" s="3"/>
      <c r="F59" s="3"/>
      <c r="G59" s="3"/>
      <c r="H59" s="3"/>
      <c r="I59" s="3"/>
      <c r="J59" s="3"/>
      <c r="K59" s="6"/>
    </row>
    <row r="60">
      <c r="A60" s="3"/>
      <c r="B60" s="3"/>
      <c r="C60" s="3"/>
      <c r="D60" s="3"/>
      <c r="E60" s="3"/>
      <c r="F60" s="3"/>
      <c r="G60" s="3"/>
      <c r="H60" s="3"/>
      <c r="I60" s="3"/>
      <c r="J60" s="3"/>
      <c r="K60" s="6"/>
    </row>
  </sheetData>
  <drawing r:id="rId1"/>
</worksheet>
</file>

<file path=xl/worksheets/sheet2.xml><?xml version="1.0" encoding="utf-8"?>
<worksheet xmlns="http://schemas.openxmlformats.org/spreadsheetml/2006/main" xmlns:r="http://schemas.openxmlformats.org/officeDocument/2006/relationships">
  <dimension ref="A1:K58"/>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87</v>
      </c>
      <c r="B2" s="3"/>
      <c r="C2" s="3"/>
      <c r="D2" s="3"/>
      <c r="E2" s="3"/>
      <c r="F2" s="3"/>
      <c r="G2" s="3"/>
      <c r="H2" s="3"/>
      <c r="I2" s="3"/>
      <c r="J2" s="3"/>
      <c r="K2" s="3"/>
    </row>
    <row r="3">
      <c r="A3" s="37" t="s">
        <v>2</v>
      </c>
      <c r="B3" s="3"/>
      <c r="C3" s="3"/>
      <c r="D3" s="3"/>
      <c r="E3" s="3"/>
      <c r="F3" s="3"/>
      <c r="G3" s="3"/>
      <c r="H3" s="3"/>
      <c r="I3" s="3"/>
      <c r="J3" s="3"/>
      <c r="K3" s="3"/>
    </row>
    <row r="4">
      <c r="A4" s="12" t="s">
        <v>88</v>
      </c>
      <c r="B4" s="9" t="s">
        <v>89</v>
      </c>
      <c r="C4" s="9" t="s">
        <v>90</v>
      </c>
      <c r="D4" s="9" t="s">
        <v>91</v>
      </c>
      <c r="E4" s="9" t="s">
        <v>92</v>
      </c>
      <c r="F4" s="9" t="s">
        <v>93</v>
      </c>
      <c r="G4" s="9" t="s">
        <v>94</v>
      </c>
      <c r="H4" s="9" t="s">
        <v>95</v>
      </c>
      <c r="I4" s="9" t="s">
        <v>96</v>
      </c>
      <c r="J4" s="12" t="s">
        <v>4</v>
      </c>
      <c r="K4" s="3"/>
    </row>
    <row r="5">
      <c r="A5" s="28" t="s">
        <v>97</v>
      </c>
      <c r="B5" s="22">
        <f>DATE(2025,3,31)</f>
        <v>45747</v>
      </c>
      <c r="C5" s="22">
        <f>DATE(2025,6,30)</f>
        <v>45838</v>
      </c>
      <c r="D5" s="22">
        <f>DATE(2025,9,30)</f>
        <v>45930</v>
      </c>
      <c r="E5" s="22">
        <f>DATE(2025,12,31)</f>
        <v>46022</v>
      </c>
      <c r="F5" s="22">
        <f>DATE(2025,12,31)</f>
        <v>46022</v>
      </c>
      <c r="G5" s="22">
        <f>DATE(2026,3,31)</f>
        <v>46112</v>
      </c>
      <c r="H5" s="22">
        <f>DATE(2026,6,30)</f>
        <v>46203</v>
      </c>
      <c r="I5" s="22">
        <f>DATE(2026,9,30)</f>
        <v>46295</v>
      </c>
      <c r="J5" s="28"/>
      <c r="K5" s="3"/>
    </row>
    <row r="6">
      <c r="A6" s="33" t="s">
        <v>98</v>
      </c>
      <c r="B6" s="13">
        <f>B5-EOMONTH(B5,-3)</f>
        <v>90</v>
      </c>
      <c r="C6" s="13">
        <f>C5-EOMONTH(C5,-3)</f>
        <v>91</v>
      </c>
      <c r="D6" s="13">
        <f>D5-EOMONTH(D5,-3)</f>
        <v>92</v>
      </c>
      <c r="E6" s="13">
        <f>E5-EOMONTH(E5,-3)</f>
        <v>92</v>
      </c>
      <c r="F6" s="13">
        <f>F5-EOMONTH(F5,-12)</f>
        <v>365</v>
      </c>
      <c r="G6" s="13">
        <f>G5-EOMONTH(G5,-3)</f>
        <v>90</v>
      </c>
      <c r="H6" s="13">
        <f>H5-EOMONTH(H5,-3)</f>
        <v>91</v>
      </c>
      <c r="I6" s="13">
        <f>I5-EOMONTH(I5,-3)</f>
        <v>92</v>
      </c>
      <c r="J6" s="33"/>
      <c r="K6" s="3"/>
    </row>
    <row r="7">
      <c r="A7" s="3"/>
      <c r="B7" s="3"/>
      <c r="C7" s="3"/>
      <c r="D7" s="3"/>
      <c r="E7" s="3"/>
      <c r="F7" s="3"/>
      <c r="G7" s="3"/>
      <c r="H7" s="3"/>
      <c r="I7" s="11"/>
      <c r="J7" s="3"/>
      <c r="K7" s="3"/>
    </row>
    <row r="8">
      <c r="A8" s="26" t="s">
        <v>99</v>
      </c>
      <c r="B8" s="3"/>
      <c r="C8" s="3"/>
      <c r="D8" s="3"/>
      <c r="E8" s="3"/>
      <c r="F8" s="3"/>
      <c r="G8" s="3"/>
      <c r="H8" s="3"/>
      <c r="I8" s="11"/>
      <c r="J8" s="6"/>
      <c r="K8" s="6"/>
    </row>
    <row r="9">
      <c r="A9" s="4" t="s">
        <v>100</v>
      </c>
      <c r="B9" s="19">
        <f>'Segment - FPL'!B123</f>
        <v>3997</v>
      </c>
      <c r="C9" s="19">
        <f>'Segment - FPL'!C123</f>
        <v>4708</v>
      </c>
      <c r="D9" s="19">
        <f>'Segment - FPL'!D123</f>
        <v>5285</v>
      </c>
      <c r="E9" s="19">
        <f>'Segment - FPL'!E123</f>
        <v>4272</v>
      </c>
      <c r="F9" s="19">
        <f>'Segment - FPL'!F123</f>
        <v>18262</v>
      </c>
      <c r="G9" s="19">
        <f>'Segment - FPL'!G123</f>
        <v>4271</v>
      </c>
      <c r="H9" s="19">
        <f>'Segment - FPL'!H123</f>
        <v>4896</v>
      </c>
      <c r="I9" s="14">
        <f>'Segment - FPL'!I123</f>
        <v>5457.8615743400005</v>
      </c>
      <c r="J9" s="6" t="s">
        <v>101</v>
      </c>
      <c r="K9" s="6"/>
    </row>
    <row r="10">
      <c r="A10" s="17" t="s">
        <v>102</v>
      </c>
      <c r="B10" s="16" t="s">
        <v>34</v>
      </c>
      <c r="C10" s="16" t="s">
        <v>34</v>
      </c>
      <c r="D10" s="16" t="s">
        <v>34</v>
      </c>
      <c r="E10" s="16" t="s">
        <v>34</v>
      </c>
      <c r="F10" s="16" t="s">
        <v>34</v>
      </c>
      <c r="G10" s="16">
        <f>IF(OR(ISBLANK(G9),ISBLANK(B9)),"n/a",IFERROR(G9/B9-1,"n/a"))</f>
        <v>0.06855141356017014</v>
      </c>
      <c r="H10" s="16">
        <f>IF(OR(ISBLANK(H9),ISBLANK(C9)),"n/a",IFERROR(H9/C9-1,"n/a"))</f>
        <v>0.03993203058623629</v>
      </c>
      <c r="I10" s="15">
        <f>IF(OR(ISBLANK(I9),ISBLANK(D9)),"n/a",IFERROR(I9/D9-1,"n/a"))</f>
        <v>0.03270796108609275</v>
      </c>
      <c r="J10" s="6"/>
      <c r="K10" s="6"/>
    </row>
    <row r="11">
      <c r="A11" s="17" t="s">
        <v>103</v>
      </c>
      <c r="B11" s="16" t="s">
        <v>34</v>
      </c>
      <c r="C11" s="16">
        <f>IF(OR(ISBLANK(C9),ISBLANK(B9)),"n/a",IFERROR(C9/B9-1,"n/a"))</f>
        <v>0.17788341255941953</v>
      </c>
      <c r="D11" s="16">
        <f>IF(OR(ISBLANK(D9),ISBLANK(C9)),"n/a",IFERROR(D9/C9-1,"n/a"))</f>
        <v>0.12255734919286332</v>
      </c>
      <c r="E11" s="16">
        <f>IF(OR(ISBLANK(E9),ISBLANK(D9)),"n/a",IFERROR(E9/D9-1,"n/a"))</f>
        <v>-0.19167455061494798</v>
      </c>
      <c r="F11" s="16" t="s">
        <v>34</v>
      </c>
      <c r="G11" s="16">
        <f>IF(OR(ISBLANK(G9),ISBLANK(E9)),"n/a",IFERROR(G9/E9-1,"n/a"))</f>
        <v>-0.000234082397003732</v>
      </c>
      <c r="H11" s="16">
        <f>IF(OR(ISBLANK(H9),ISBLANK(G9)),"n/a",IFERROR(H9/G9-1,"n/a"))</f>
        <v>0.1463357527511122</v>
      </c>
      <c r="I11" s="15">
        <f>IF(OR(ISBLANK(I9),ISBLANK(H9)),"n/a",IFERROR(I9/H9-1,"n/a"))</f>
        <v>0.11475930848447713</v>
      </c>
      <c r="J11" s="6"/>
      <c r="K11" s="6"/>
    </row>
    <row r="12">
      <c r="A12" s="17" t="s">
        <v>104</v>
      </c>
      <c r="B12" s="16">
        <f>B9/B36</f>
        <v>0.6398271170161678</v>
      </c>
      <c r="C12" s="16">
        <f>C9/C36</f>
        <v>0.7026865671641791</v>
      </c>
      <c r="D12" s="16">
        <f>D9/D36</f>
        <v>0.663444639718805</v>
      </c>
      <c r="E12" s="16">
        <f>E9/E36</f>
        <v>0.6572307692307693</v>
      </c>
      <c r="F12" s="16">
        <f>F9/F36</f>
        <v>0.6661802794294678</v>
      </c>
      <c r="G12" s="16">
        <f>G9/G36</f>
        <v>0.6373675570810327</v>
      </c>
      <c r="H12" s="16">
        <f>H9/H36</f>
        <v>0.6498539952216618</v>
      </c>
      <c r="I12" s="15">
        <f>I9/I36</f>
        <v>0.6626430333626205</v>
      </c>
      <c r="J12" s="6"/>
      <c r="K12" s="6"/>
    </row>
    <row r="13">
      <c r="A13" s="26" t="s">
        <v>105</v>
      </c>
      <c r="B13" s="3"/>
      <c r="C13" s="3"/>
      <c r="D13" s="3"/>
      <c r="E13" s="3"/>
      <c r="F13" s="3"/>
      <c r="G13" s="3"/>
      <c r="H13" s="3"/>
      <c r="I13" s="11"/>
      <c r="J13" s="6"/>
      <c r="K13" s="6"/>
    </row>
    <row r="14">
      <c r="A14" s="17" t="s">
        <v>106</v>
      </c>
      <c r="B14" s="16" t="s">
        <v>34</v>
      </c>
      <c r="C14" s="16" t="s">
        <v>34</v>
      </c>
      <c r="D14" s="16" t="s">
        <v>34</v>
      </c>
      <c r="E14" s="16" t="s">
        <v>34</v>
      </c>
      <c r="F14" s="16" t="s">
        <v>34</v>
      </c>
      <c r="G14" s="16" t="s">
        <v>34</v>
      </c>
      <c r="H14" s="16" t="s">
        <v>34</v>
      </c>
      <c r="I14" s="15" t="s">
        <v>34</v>
      </c>
      <c r="J14" s="6" t="s">
        <v>107</v>
      </c>
      <c r="K14" s="6"/>
    </row>
    <row r="15">
      <c r="A15" s="17" t="s">
        <v>108</v>
      </c>
      <c r="B15" s="16" t="s">
        <v>109</v>
      </c>
      <c r="C15" s="16" t="s">
        <v>109</v>
      </c>
      <c r="D15" s="16" t="s">
        <v>109</v>
      </c>
      <c r="E15" s="16" t="s">
        <v>109</v>
      </c>
      <c r="F15" s="16" t="s">
        <v>109</v>
      </c>
      <c r="G15" s="16" t="s">
        <v>109</v>
      </c>
      <c r="H15" s="16" t="s">
        <v>109</v>
      </c>
      <c r="I15" s="15" t="s">
        <v>109</v>
      </c>
      <c r="J15" s="6" t="s">
        <v>110</v>
      </c>
      <c r="K15" s="6"/>
    </row>
    <row r="16">
      <c r="A16" s="17" t="s">
        <v>111</v>
      </c>
      <c r="B16" s="16" t="s">
        <v>109</v>
      </c>
      <c r="C16" s="16" t="s">
        <v>109</v>
      </c>
      <c r="D16" s="16" t="s">
        <v>109</v>
      </c>
      <c r="E16" s="16" t="s">
        <v>109</v>
      </c>
      <c r="F16" s="16" t="s">
        <v>109</v>
      </c>
      <c r="G16" s="16" t="s">
        <v>109</v>
      </c>
      <c r="H16" s="16" t="s">
        <v>109</v>
      </c>
      <c r="I16" s="15" t="s">
        <v>109</v>
      </c>
      <c r="J16" s="6" t="s">
        <v>112</v>
      </c>
      <c r="K16" s="6"/>
    </row>
    <row r="17">
      <c r="A17" s="17" t="s">
        <v>113</v>
      </c>
      <c r="B17" s="16" t="str">
        <f>B10</f>
        <v>n/a</v>
      </c>
      <c r="C17" s="16" t="str">
        <f>C10</f>
        <v>n/a</v>
      </c>
      <c r="D17" s="16" t="str">
        <f>D10</f>
        <v>n/a</v>
      </c>
      <c r="E17" s="16" t="str">
        <f>E10</f>
        <v>n/a</v>
      </c>
      <c r="F17" s="16" t="str">
        <f>F10</f>
        <v>n/a</v>
      </c>
      <c r="G17" s="16">
        <f>G10</f>
        <v>0.06855141356017014</v>
      </c>
      <c r="H17" s="16">
        <f>H10</f>
        <v>0.03993203058623629</v>
      </c>
      <c r="I17" s="15">
        <f>I10</f>
        <v>0.03270796108609275</v>
      </c>
      <c r="J17" s="6"/>
      <c r="K17" s="6"/>
    </row>
    <row r="18">
      <c r="A18" s="4" t="s">
        <v>114</v>
      </c>
      <c r="B18" s="19">
        <f>'Segment - NEER'!B49</f>
        <v>2163</v>
      </c>
      <c r="C18" s="19">
        <f>'Segment - NEER'!C49</f>
        <v>1914</v>
      </c>
      <c r="D18" s="19">
        <f>'Segment - NEER'!D49</f>
        <v>2566</v>
      </c>
      <c r="E18" s="19">
        <f>'Segment - NEER'!E49</f>
        <v>2117</v>
      </c>
      <c r="F18" s="19">
        <f>'Segment - NEER'!F49</f>
        <v>8760</v>
      </c>
      <c r="G18" s="19">
        <f>'Segment - NEER'!G49</f>
        <v>2311</v>
      </c>
      <c r="H18" s="19">
        <f>'Segment - NEER'!H49</f>
        <v>2532</v>
      </c>
      <c r="I18" s="14">
        <f>'Segment - NEER'!I49</f>
        <v>2663.6417910447763</v>
      </c>
      <c r="J18" s="6" t="s">
        <v>115</v>
      </c>
      <c r="K18" s="6"/>
    </row>
    <row r="19">
      <c r="A19" s="17" t="s">
        <v>102</v>
      </c>
      <c r="B19" s="16" t="s">
        <v>34</v>
      </c>
      <c r="C19" s="16" t="s">
        <v>34</v>
      </c>
      <c r="D19" s="16" t="s">
        <v>34</v>
      </c>
      <c r="E19" s="16" t="s">
        <v>34</v>
      </c>
      <c r="F19" s="16" t="s">
        <v>34</v>
      </c>
      <c r="G19" s="16">
        <f>IF(OR(ISBLANK(G18),ISBLANK(B18)),"n/a",IFERROR(G18/B18-1,"n/a"))</f>
        <v>0.0684234858992141</v>
      </c>
      <c r="H19" s="16">
        <f>IF(OR(ISBLANK(H18),ISBLANK(C18)),"n/a",IFERROR(H18/C18-1,"n/a"))</f>
        <v>0.322884012539185</v>
      </c>
      <c r="I19" s="15">
        <f>IF(OR(ISBLANK(I18),ISBLANK(D18)),"n/a",IFERROR(I18/D18-1,"n/a"))</f>
        <v>0.03805213992391909</v>
      </c>
      <c r="J19" s="6"/>
      <c r="K19" s="6"/>
    </row>
    <row r="20">
      <c r="A20" s="17" t="s">
        <v>103</v>
      </c>
      <c r="B20" s="16" t="s">
        <v>34</v>
      </c>
      <c r="C20" s="16">
        <f>IF(OR(ISBLANK(C18),ISBLANK(B18)),"n/a",IFERROR(C18/B18-1,"n/a"))</f>
        <v>-0.11511789181692089</v>
      </c>
      <c r="D20" s="16">
        <f>IF(OR(ISBLANK(D18),ISBLANK(C18)),"n/a",IFERROR(D18/C18-1,"n/a"))</f>
        <v>0.3406478578892371</v>
      </c>
      <c r="E20" s="16">
        <f>IF(OR(ISBLANK(E18),ISBLANK(D18)),"n/a",IFERROR(E18/D18-1,"n/a"))</f>
        <v>-0.1749805144193297</v>
      </c>
      <c r="F20" s="16" t="s">
        <v>34</v>
      </c>
      <c r="G20" s="16">
        <f>IF(OR(ISBLANK(G18),ISBLANK(E18)),"n/a",IFERROR(G18/E18-1,"n/a"))</f>
        <v>0.09163911195087393</v>
      </c>
      <c r="H20" s="16">
        <f>IF(OR(ISBLANK(H18),ISBLANK(G18)),"n/a",IFERROR(H18/G18-1,"n/a"))</f>
        <v>0.09562959757680667</v>
      </c>
      <c r="I20" s="15">
        <f>IF(OR(ISBLANK(I18),ISBLANK(H18)),"n/a",IFERROR(I18/H18-1,"n/a"))</f>
        <v>0.051991228690669855</v>
      </c>
      <c r="J20" s="6"/>
      <c r="K20" s="6"/>
    </row>
    <row r="21">
      <c r="A21" s="17" t="s">
        <v>104</v>
      </c>
      <c r="B21" s="16">
        <f>B18/B36</f>
        <v>0.3462461981751241</v>
      </c>
      <c r="C21" s="16">
        <f>C18/C36</f>
        <v>0.28567164179104476</v>
      </c>
      <c r="D21" s="16">
        <f>D18/D36</f>
        <v>0.3221190057745418</v>
      </c>
      <c r="E21" s="16">
        <f>E18/E36</f>
        <v>0.32569230769230767</v>
      </c>
      <c r="F21" s="16">
        <f>F18/F36</f>
        <v>0.3195564148396746</v>
      </c>
      <c r="G21" s="16">
        <f>G18/G36</f>
        <v>0.3448738994179973</v>
      </c>
      <c r="H21" s="16">
        <f>H18/H36</f>
        <v>0.33607645341120257</v>
      </c>
      <c r="I21" s="15">
        <f>I18/I36</f>
        <v>0.3233947310990192</v>
      </c>
      <c r="J21" s="6"/>
      <c r="K21" s="6"/>
    </row>
    <row r="22">
      <c r="A22" s="26" t="s">
        <v>105</v>
      </c>
      <c r="B22" s="3"/>
      <c r="C22" s="3"/>
      <c r="D22" s="3"/>
      <c r="E22" s="3"/>
      <c r="F22" s="3"/>
      <c r="G22" s="3"/>
      <c r="H22" s="3"/>
      <c r="I22" s="11"/>
      <c r="J22" s="6"/>
      <c r="K22" s="6"/>
    </row>
    <row r="23">
      <c r="A23" s="17" t="s">
        <v>106</v>
      </c>
      <c r="B23" s="16" t="s">
        <v>34</v>
      </c>
      <c r="C23" s="16" t="s">
        <v>34</v>
      </c>
      <c r="D23" s="16" t="s">
        <v>34</v>
      </c>
      <c r="E23" s="16" t="s">
        <v>34</v>
      </c>
      <c r="F23" s="16" t="s">
        <v>34</v>
      </c>
      <c r="G23" s="16" t="s">
        <v>34</v>
      </c>
      <c r="H23" s="16" t="s">
        <v>34</v>
      </c>
      <c r="I23" s="15" t="s">
        <v>34</v>
      </c>
      <c r="J23" s="6" t="s">
        <v>107</v>
      </c>
      <c r="K23" s="6"/>
    </row>
    <row r="24">
      <c r="A24" s="17" t="s">
        <v>108</v>
      </c>
      <c r="B24" s="16" t="s">
        <v>109</v>
      </c>
      <c r="C24" s="16" t="s">
        <v>109</v>
      </c>
      <c r="D24" s="16" t="s">
        <v>109</v>
      </c>
      <c r="E24" s="16" t="s">
        <v>109</v>
      </c>
      <c r="F24" s="16" t="s">
        <v>109</v>
      </c>
      <c r="G24" s="16" t="s">
        <v>109</v>
      </c>
      <c r="H24" s="16" t="s">
        <v>109</v>
      </c>
      <c r="I24" s="15" t="s">
        <v>109</v>
      </c>
      <c r="J24" s="6" t="s">
        <v>110</v>
      </c>
      <c r="K24" s="6"/>
    </row>
    <row r="25">
      <c r="A25" s="17" t="s">
        <v>111</v>
      </c>
      <c r="B25" s="16" t="s">
        <v>109</v>
      </c>
      <c r="C25" s="16" t="s">
        <v>109</v>
      </c>
      <c r="D25" s="16" t="s">
        <v>109</v>
      </c>
      <c r="E25" s="16" t="s">
        <v>109</v>
      </c>
      <c r="F25" s="16" t="s">
        <v>109</v>
      </c>
      <c r="G25" s="16" t="s">
        <v>109</v>
      </c>
      <c r="H25" s="16" t="s">
        <v>109</v>
      </c>
      <c r="I25" s="15" t="s">
        <v>109</v>
      </c>
      <c r="J25" s="6" t="s">
        <v>112</v>
      </c>
      <c r="K25" s="6"/>
    </row>
    <row r="26">
      <c r="A26" s="17" t="s">
        <v>113</v>
      </c>
      <c r="B26" s="16" t="str">
        <f>B19</f>
        <v>n/a</v>
      </c>
      <c r="C26" s="16" t="str">
        <f>C19</f>
        <v>n/a</v>
      </c>
      <c r="D26" s="16" t="str">
        <f>D19</f>
        <v>n/a</v>
      </c>
      <c r="E26" s="16" t="str">
        <f>E19</f>
        <v>n/a</v>
      </c>
      <c r="F26" s="16" t="str">
        <f>F19</f>
        <v>n/a</v>
      </c>
      <c r="G26" s="16">
        <f>G19</f>
        <v>0.0684234858992141</v>
      </c>
      <c r="H26" s="16">
        <f>H19</f>
        <v>0.322884012539185</v>
      </c>
      <c r="I26" s="15">
        <f>I19</f>
        <v>0.03805213992391909</v>
      </c>
      <c r="J26" s="6"/>
      <c r="K26" s="6"/>
    </row>
    <row r="27">
      <c r="A27" s="4" t="s">
        <v>116</v>
      </c>
      <c r="B27" s="1">
        <v>87</v>
      </c>
      <c r="C27" s="1">
        <v>78</v>
      </c>
      <c r="D27" s="1">
        <v>115</v>
      </c>
      <c r="E27" s="1">
        <v>111</v>
      </c>
      <c r="F27" s="7">
        <f>SUM(B27:E27)</f>
        <v>391</v>
      </c>
      <c r="G27" s="1">
        <v>119</v>
      </c>
      <c r="H27" s="1">
        <v>106</v>
      </c>
      <c r="I27" s="38">
        <v>115</v>
      </c>
      <c r="J27" s="6" t="s">
        <v>117</v>
      </c>
      <c r="K27" s="6"/>
    </row>
    <row r="28">
      <c r="A28" s="17" t="s">
        <v>102</v>
      </c>
      <c r="B28" s="16" t="s">
        <v>34</v>
      </c>
      <c r="C28" s="16" t="s">
        <v>34</v>
      </c>
      <c r="D28" s="16" t="s">
        <v>34</v>
      </c>
      <c r="E28" s="16" t="s">
        <v>34</v>
      </c>
      <c r="F28" s="16" t="s">
        <v>34</v>
      </c>
      <c r="G28" s="16">
        <f>IF(OR(ISBLANK(G27),ISBLANK(B27)),"n/a",IFERROR(G27/B27-1,"n/a"))</f>
        <v>0.367816091954023</v>
      </c>
      <c r="H28" s="16">
        <f>IF(OR(ISBLANK(H27),ISBLANK(C27)),"n/a",IFERROR(H27/C27-1,"n/a"))</f>
        <v>0.35897435897435903</v>
      </c>
      <c r="I28" s="15">
        <f>IF(OR(ISBLANK(I27),ISBLANK(D27)),"n/a",IFERROR(I27/D27-1,"n/a"))</f>
        <v>0</v>
      </c>
      <c r="J28" s="6"/>
      <c r="K28" s="6"/>
    </row>
    <row r="29">
      <c r="A29" s="17" t="s">
        <v>103</v>
      </c>
      <c r="B29" s="16" t="s">
        <v>34</v>
      </c>
      <c r="C29" s="16">
        <f>IF(OR(ISBLANK(C27),ISBLANK(B27)),"n/a",IFERROR(C27/B27-1,"n/a"))</f>
        <v>-0.10344827586206895</v>
      </c>
      <c r="D29" s="16">
        <f>IF(OR(ISBLANK(D27),ISBLANK(C27)),"n/a",IFERROR(D27/C27-1,"n/a"))</f>
        <v>0.47435897435897445</v>
      </c>
      <c r="E29" s="16">
        <f>IF(OR(ISBLANK(E27),ISBLANK(D27)),"n/a",IFERROR(E27/D27-1,"n/a"))</f>
        <v>-0.034782608695652195</v>
      </c>
      <c r="F29" s="16" t="s">
        <v>34</v>
      </c>
      <c r="G29" s="16">
        <f>IF(OR(ISBLANK(G27),ISBLANK(E27)),"n/a",IFERROR(G27/E27-1,"n/a"))</f>
        <v>0.072072072072072</v>
      </c>
      <c r="H29" s="16">
        <f>IF(OR(ISBLANK(H27),ISBLANK(G27)),"n/a",IFERROR(H27/G27-1,"n/a"))</f>
        <v>-0.10924369747899154</v>
      </c>
      <c r="I29" s="15">
        <f>IF(OR(ISBLANK(I27),ISBLANK(H27)),"n/a",IFERROR(I27/H27-1,"n/a"))</f>
        <v>0.08490566037735858</v>
      </c>
      <c r="J29" s="6"/>
      <c r="K29" s="6"/>
    </row>
    <row r="30">
      <c r="A30" s="17" t="s">
        <v>104</v>
      </c>
      <c r="B30" s="16">
        <f>B27/B36</f>
        <v>0.01392668480870818</v>
      </c>
      <c r="C30" s="16">
        <f>C27/C36</f>
        <v>0.011641791044776119</v>
      </c>
      <c r="D30" s="16">
        <f>D27/D36</f>
        <v>0.014436354506653277</v>
      </c>
      <c r="E30" s="16">
        <f>E27/E36</f>
        <v>0.017076923076923076</v>
      </c>
      <c r="F30" s="16">
        <f>F27/F36</f>
        <v>0.014263305730857623</v>
      </c>
      <c r="G30" s="16">
        <f>G27/G36</f>
        <v>0.017758543500970003</v>
      </c>
      <c r="H30" s="16">
        <f>H27/H36</f>
        <v>0.014069551367135651</v>
      </c>
      <c r="I30" s="15">
        <f>I27/I36</f>
        <v>0.013962235538360356</v>
      </c>
      <c r="J30" s="6"/>
      <c r="K30" s="6"/>
    </row>
    <row r="31">
      <c r="A31" s="26" t="s">
        <v>105</v>
      </c>
      <c r="B31" s="3"/>
      <c r="C31" s="3"/>
      <c r="D31" s="3"/>
      <c r="E31" s="3"/>
      <c r="F31" s="3"/>
      <c r="G31" s="3"/>
      <c r="H31" s="3"/>
      <c r="I31" s="11"/>
      <c r="J31" s="6"/>
      <c r="K31" s="6"/>
    </row>
    <row r="32">
      <c r="A32" s="17" t="s">
        <v>106</v>
      </c>
      <c r="B32" s="16" t="s">
        <v>34</v>
      </c>
      <c r="C32" s="16" t="s">
        <v>34</v>
      </c>
      <c r="D32" s="16" t="s">
        <v>34</v>
      </c>
      <c r="E32" s="16" t="s">
        <v>34</v>
      </c>
      <c r="F32" s="16" t="s">
        <v>34</v>
      </c>
      <c r="G32" s="16" t="s">
        <v>34</v>
      </c>
      <c r="H32" s="16" t="s">
        <v>34</v>
      </c>
      <c r="I32" s="15" t="s">
        <v>34</v>
      </c>
      <c r="J32" s="6" t="s">
        <v>107</v>
      </c>
      <c r="K32" s="6"/>
    </row>
    <row r="33">
      <c r="A33" s="17" t="s">
        <v>108</v>
      </c>
      <c r="B33" s="16" t="s">
        <v>109</v>
      </c>
      <c r="C33" s="16" t="s">
        <v>109</v>
      </c>
      <c r="D33" s="16" t="s">
        <v>109</v>
      </c>
      <c r="E33" s="16" t="s">
        <v>109</v>
      </c>
      <c r="F33" s="16" t="s">
        <v>109</v>
      </c>
      <c r="G33" s="16" t="s">
        <v>109</v>
      </c>
      <c r="H33" s="16" t="s">
        <v>109</v>
      </c>
      <c r="I33" s="15" t="s">
        <v>109</v>
      </c>
      <c r="J33" s="6" t="s">
        <v>110</v>
      </c>
      <c r="K33" s="6"/>
    </row>
    <row r="34">
      <c r="A34" s="17" t="s">
        <v>111</v>
      </c>
      <c r="B34" s="16" t="s">
        <v>109</v>
      </c>
      <c r="C34" s="16" t="s">
        <v>109</v>
      </c>
      <c r="D34" s="16" t="s">
        <v>109</v>
      </c>
      <c r="E34" s="16" t="s">
        <v>109</v>
      </c>
      <c r="F34" s="16" t="s">
        <v>109</v>
      </c>
      <c r="G34" s="16" t="s">
        <v>109</v>
      </c>
      <c r="H34" s="16" t="s">
        <v>109</v>
      </c>
      <c r="I34" s="15" t="s">
        <v>109</v>
      </c>
      <c r="J34" s="6" t="s">
        <v>112</v>
      </c>
      <c r="K34" s="6"/>
    </row>
    <row r="35">
      <c r="A35" s="17" t="s">
        <v>113</v>
      </c>
      <c r="B35" s="16" t="str">
        <f>B28</f>
        <v>n/a</v>
      </c>
      <c r="C35" s="16" t="str">
        <f>C28</f>
        <v>n/a</v>
      </c>
      <c r="D35" s="16" t="str">
        <f>D28</f>
        <v>n/a</v>
      </c>
      <c r="E35" s="16" t="str">
        <f>E28</f>
        <v>n/a</v>
      </c>
      <c r="F35" s="16" t="str">
        <f>F28</f>
        <v>n/a</v>
      </c>
      <c r="G35" s="16">
        <f>G28</f>
        <v>0.367816091954023</v>
      </c>
      <c r="H35" s="16">
        <f>H28</f>
        <v>0.35897435897435903</v>
      </c>
      <c r="I35" s="15">
        <f>I28</f>
        <v>0</v>
      </c>
      <c r="J35" s="6"/>
      <c r="K35" s="6"/>
    </row>
    <row r="36">
      <c r="A36" s="27" t="s">
        <v>118</v>
      </c>
      <c r="B36" s="5">
        <f>B9+B18+B27</f>
        <v>6247</v>
      </c>
      <c r="C36" s="5">
        <f>C9+C18+C27</f>
        <v>6700</v>
      </c>
      <c r="D36" s="5">
        <f>D9+D18+D27</f>
        <v>7966</v>
      </c>
      <c r="E36" s="5">
        <f>E9+E18+E27</f>
        <v>6500</v>
      </c>
      <c r="F36" s="5">
        <f>F9+F18+F27</f>
        <v>27413</v>
      </c>
      <c r="G36" s="5">
        <f>G9+G18+G27</f>
        <v>6701</v>
      </c>
      <c r="H36" s="5">
        <f>H9+H18+H27</f>
        <v>7534</v>
      </c>
      <c r="I36" s="2">
        <f>I9+I18+I27</f>
        <v>8236.503365384777</v>
      </c>
      <c r="J36" s="6" t="s">
        <v>119</v>
      </c>
      <c r="K36" s="6"/>
    </row>
    <row r="37">
      <c r="A37" s="17" t="s">
        <v>102</v>
      </c>
      <c r="B37" s="16" t="s">
        <v>34</v>
      </c>
      <c r="C37" s="16" t="s">
        <v>34</v>
      </c>
      <c r="D37" s="16" t="s">
        <v>34</v>
      </c>
      <c r="E37" s="16" t="s">
        <v>34</v>
      </c>
      <c r="F37" s="16" t="s">
        <v>34</v>
      </c>
      <c r="G37" s="16">
        <f>IF(OR(ISBLANK(G36),ISBLANK(B36)),"n/a",IFERROR(G36/B36-1,"n/a"))</f>
        <v>0.07267488394429322</v>
      </c>
      <c r="H37" s="16">
        <f>IF(OR(ISBLANK(H36),ISBLANK(C36)),"n/a",IFERROR(H36/C36-1,"n/a"))</f>
        <v>0.1244776119402986</v>
      </c>
      <c r="I37" s="15">
        <f>IF(OR(ISBLANK(I36),ISBLANK(D36)),"n/a",IFERROR(I36/D36-1,"n/a"))</f>
        <v>0.03395723893858604</v>
      </c>
      <c r="J37" s="6"/>
      <c r="K37" s="6"/>
    </row>
    <row r="38">
      <c r="A38" s="17" t="s">
        <v>103</v>
      </c>
      <c r="B38" s="16" t="s">
        <v>34</v>
      </c>
      <c r="C38" s="16">
        <f>IF(OR(ISBLANK(C36),ISBLANK(B36)),"n/a",IFERROR(C36/B36-1,"n/a"))</f>
        <v>0.07251480710741154</v>
      </c>
      <c r="D38" s="16">
        <f>IF(OR(ISBLANK(D36),ISBLANK(C36)),"n/a",IFERROR(D36/C36-1,"n/a"))</f>
        <v>0.18895522388059693</v>
      </c>
      <c r="E38" s="16">
        <f>IF(OR(ISBLANK(E36),ISBLANK(D36)),"n/a",IFERROR(E36/D36-1,"n/a"))</f>
        <v>-0.18403213658046702</v>
      </c>
      <c r="F38" s="16" t="s">
        <v>34</v>
      </c>
      <c r="G38" s="16">
        <f>IF(OR(ISBLANK(G36),ISBLANK(E36)),"n/a",IFERROR(G36/E36-1,"n/a"))</f>
        <v>0.03092307692307683</v>
      </c>
      <c r="H38" s="16">
        <f>IF(OR(ISBLANK(H36),ISBLANK(G36)),"n/a",IFERROR(H36/G36-1,"n/a"))</f>
        <v>0.12430980450679008</v>
      </c>
      <c r="I38" s="15">
        <f>IF(OR(ISBLANK(I36),ISBLANK(H36)),"n/a",IFERROR(I36/H36-1,"n/a"))</f>
        <v>0.09324440740440365</v>
      </c>
      <c r="J38" s="6"/>
      <c r="K38" s="6"/>
    </row>
    <row r="39">
      <c r="A39" s="17" t="s">
        <v>104</v>
      </c>
      <c r="B39" s="16">
        <f>B36/B36</f>
        <v>1</v>
      </c>
      <c r="C39" s="16">
        <f>C36/C36</f>
        <v>1</v>
      </c>
      <c r="D39" s="16">
        <f>D36/D36</f>
        <v>1</v>
      </c>
      <c r="E39" s="16">
        <f>E36/E36</f>
        <v>1</v>
      </c>
      <c r="F39" s="16">
        <f>F36/F36</f>
        <v>1</v>
      </c>
      <c r="G39" s="16">
        <f>G36/G36</f>
        <v>1</v>
      </c>
      <c r="H39" s="16">
        <f>H36/H36</f>
        <v>1</v>
      </c>
      <c r="I39" s="15">
        <f>I36/I36</f>
        <v>1</v>
      </c>
      <c r="J39" s="6"/>
      <c r="K39" s="6"/>
    </row>
    <row r="40">
      <c r="A40" s="26" t="s">
        <v>105</v>
      </c>
      <c r="B40" s="3"/>
      <c r="C40" s="3"/>
      <c r="D40" s="3"/>
      <c r="E40" s="3"/>
      <c r="F40" s="3"/>
      <c r="G40" s="3"/>
      <c r="H40" s="3"/>
      <c r="I40" s="11"/>
      <c r="J40" s="6"/>
      <c r="K40" s="6"/>
    </row>
    <row r="41">
      <c r="A41" s="17" t="s">
        <v>106</v>
      </c>
      <c r="B41" s="16" t="s">
        <v>34</v>
      </c>
      <c r="C41" s="16" t="s">
        <v>34</v>
      </c>
      <c r="D41" s="16" t="s">
        <v>34</v>
      </c>
      <c r="E41" s="16" t="s">
        <v>34</v>
      </c>
      <c r="F41" s="16" t="s">
        <v>34</v>
      </c>
      <c r="G41" s="16" t="s">
        <v>34</v>
      </c>
      <c r="H41" s="16" t="s">
        <v>34</v>
      </c>
      <c r="I41" s="15" t="s">
        <v>34</v>
      </c>
      <c r="J41" s="6" t="s">
        <v>107</v>
      </c>
      <c r="K41" s="6"/>
    </row>
    <row r="42">
      <c r="A42" s="17" t="s">
        <v>108</v>
      </c>
      <c r="B42" s="16" t="s">
        <v>109</v>
      </c>
      <c r="C42" s="16" t="s">
        <v>109</v>
      </c>
      <c r="D42" s="16" t="s">
        <v>109</v>
      </c>
      <c r="E42" s="16" t="s">
        <v>109</v>
      </c>
      <c r="F42" s="16" t="s">
        <v>109</v>
      </c>
      <c r="G42" s="16" t="s">
        <v>109</v>
      </c>
      <c r="H42" s="16" t="s">
        <v>109</v>
      </c>
      <c r="I42" s="15" t="s">
        <v>109</v>
      </c>
      <c r="J42" s="6" t="s">
        <v>110</v>
      </c>
      <c r="K42" s="6"/>
    </row>
    <row r="43">
      <c r="A43" s="17" t="s">
        <v>111</v>
      </c>
      <c r="B43" s="16" t="s">
        <v>109</v>
      </c>
      <c r="C43" s="16" t="s">
        <v>109</v>
      </c>
      <c r="D43" s="16" t="s">
        <v>109</v>
      </c>
      <c r="E43" s="16" t="s">
        <v>109</v>
      </c>
      <c r="F43" s="16" t="s">
        <v>109</v>
      </c>
      <c r="G43" s="16" t="s">
        <v>109</v>
      </c>
      <c r="H43" s="16" t="s">
        <v>109</v>
      </c>
      <c r="I43" s="15" t="s">
        <v>109</v>
      </c>
      <c r="J43" s="6" t="s">
        <v>112</v>
      </c>
      <c r="K43" s="6"/>
    </row>
    <row r="44">
      <c r="A44" s="17" t="s">
        <v>113</v>
      </c>
      <c r="B44" s="16" t="str">
        <f>B37</f>
        <v>n/a</v>
      </c>
      <c r="C44" s="16" t="str">
        <f>C37</f>
        <v>n/a</v>
      </c>
      <c r="D44" s="16" t="str">
        <f>D37</f>
        <v>n/a</v>
      </c>
      <c r="E44" s="16" t="str">
        <f>E37</f>
        <v>n/a</v>
      </c>
      <c r="F44" s="16" t="str">
        <f>F37</f>
        <v>n/a</v>
      </c>
      <c r="G44" s="16">
        <f>G37</f>
        <v>0.07267488394429322</v>
      </c>
      <c r="H44" s="16">
        <f>H37</f>
        <v>0.1244776119402986</v>
      </c>
      <c r="I44" s="15">
        <f>I37</f>
        <v>0.03395723893858604</v>
      </c>
      <c r="J44" s="6"/>
      <c r="K44" s="6"/>
    </row>
    <row r="45">
      <c r="A45" s="3"/>
      <c r="B45" s="3"/>
      <c r="C45" s="3"/>
      <c r="D45" s="3"/>
      <c r="E45" s="3"/>
      <c r="F45" s="3"/>
      <c r="G45" s="3"/>
      <c r="H45" s="3"/>
      <c r="I45" s="11"/>
      <c r="J45" s="6"/>
      <c r="K45" s="6"/>
    </row>
    <row r="46">
      <c r="A46" s="26" t="s">
        <v>120</v>
      </c>
      <c r="B46" s="3"/>
      <c r="C46" s="3"/>
      <c r="D46" s="3"/>
      <c r="E46" s="3"/>
      <c r="F46" s="3"/>
      <c r="G46" s="3"/>
      <c r="H46" s="3"/>
      <c r="I46" s="11"/>
      <c r="J46" s="6"/>
      <c r="K46" s="6"/>
    </row>
    <row r="47">
      <c r="A47" s="4" t="s">
        <v>121</v>
      </c>
      <c r="B47" s="1">
        <v>1</v>
      </c>
      <c r="C47" s="7"/>
      <c r="D47" s="7"/>
      <c r="E47" s="7"/>
      <c r="F47" s="7"/>
      <c r="G47" s="7"/>
      <c r="H47" s="7"/>
      <c r="I47" s="10"/>
      <c r="J47" s="6" t="s">
        <v>122</v>
      </c>
      <c r="K47" s="6"/>
    </row>
    <row r="48">
      <c r="A48" s="4" t="s">
        <v>123</v>
      </c>
      <c r="B48" s="1">
        <v>6247</v>
      </c>
      <c r="C48" s="1">
        <v>6700</v>
      </c>
      <c r="D48" s="1">
        <v>7966</v>
      </c>
      <c r="E48" s="1">
        <v>6500</v>
      </c>
      <c r="F48" s="1">
        <v>27412</v>
      </c>
      <c r="G48" s="1">
        <v>6701</v>
      </c>
      <c r="H48" s="1">
        <v>7534</v>
      </c>
      <c r="I48" s="10" t="s">
        <v>34</v>
      </c>
      <c r="J48" s="6" t="s">
        <v>124</v>
      </c>
      <c r="K48" s="6"/>
    </row>
    <row r="49">
      <c r="A49" s="4" t="s">
        <v>125</v>
      </c>
      <c r="B49" s="23" t="b">
        <f>ABS(B36-B48)&lt;=$B$47</f>
        <v>1</v>
      </c>
      <c r="C49" s="23" t="b">
        <f>ABS(C36-C48)&lt;=$B$47</f>
        <v>1</v>
      </c>
      <c r="D49" s="23" t="b">
        <f>ABS(D36-D48)&lt;=$B$47</f>
        <v>1</v>
      </c>
      <c r="E49" s="23" t="b">
        <f>ABS(E36-E48)&lt;=$B$47</f>
        <v>1</v>
      </c>
      <c r="F49" s="23" t="b">
        <f>ABS(F36-F48)&lt;=$B$47</f>
        <v>1</v>
      </c>
      <c r="G49" s="23" t="b">
        <f>ABS(G36-G48)&lt;=$B$47</f>
        <v>1</v>
      </c>
      <c r="H49" s="23" t="b">
        <f>ABS(H36-H48)&lt;=$B$47</f>
        <v>1</v>
      </c>
      <c r="I49" s="39"/>
      <c r="J49" s="6" t="s">
        <v>126</v>
      </c>
      <c r="K49" s="6"/>
    </row>
    <row r="50">
      <c r="A50" s="4" t="s">
        <v>127</v>
      </c>
      <c r="B50" s="19">
        <f>Inputs!B107</f>
        <v>6247</v>
      </c>
      <c r="C50" s="19">
        <f>Inputs!C107</f>
        <v>6700</v>
      </c>
      <c r="D50" s="19">
        <f>Inputs!D107</f>
        <v>7966</v>
      </c>
      <c r="E50" s="19">
        <f>Inputs!E107</f>
        <v>6500</v>
      </c>
      <c r="F50" s="7"/>
      <c r="G50" s="19">
        <f>Inputs!G107</f>
        <v>6701</v>
      </c>
      <c r="H50" s="19">
        <f>Inputs!H107</f>
        <v>7534</v>
      </c>
      <c r="I50" s="10"/>
      <c r="J50" s="6" t="s">
        <v>128</v>
      </c>
      <c r="K50" s="6"/>
    </row>
    <row r="51">
      <c r="A51" s="4" t="s">
        <v>129</v>
      </c>
      <c r="B51" s="23" t="b">
        <f>B50=B48</f>
        <v>1</v>
      </c>
      <c r="C51" s="23" t="b">
        <f>C50=C48</f>
        <v>1</v>
      </c>
      <c r="D51" s="23" t="b">
        <f>D50=D48</f>
        <v>1</v>
      </c>
      <c r="E51" s="23" t="b">
        <f>E50=E48</f>
        <v>1</v>
      </c>
      <c r="F51" s="23"/>
      <c r="G51" s="23" t="b">
        <f>G50=G48</f>
        <v>1</v>
      </c>
      <c r="H51" s="23" t="b">
        <f>H50=H48</f>
        <v>1</v>
      </c>
      <c r="I51" s="39"/>
      <c r="J51" s="6"/>
      <c r="K51" s="6"/>
    </row>
    <row r="52">
      <c r="A52" s="4" t="s">
        <v>130</v>
      </c>
      <c r="B52" s="19">
        <f>Inputs!B106</f>
        <v>6631.23</v>
      </c>
      <c r="C52" s="19">
        <f>Inputs!C106</f>
        <v>7501.93</v>
      </c>
      <c r="D52" s="19">
        <f>Inputs!D106</f>
        <v>8169.6</v>
      </c>
      <c r="E52" s="19">
        <f>Inputs!E106</f>
        <v>6793.94</v>
      </c>
      <c r="F52" s="7"/>
      <c r="G52" s="19">
        <f>Inputs!G106</f>
        <v>7111.35</v>
      </c>
      <c r="H52" s="19">
        <f>Inputs!H106</f>
        <v>8167.71</v>
      </c>
      <c r="I52" s="14">
        <f>VALUE(Inputs!B40)</f>
        <v>8876.68</v>
      </c>
      <c r="J52" s="6" t="s">
        <v>131</v>
      </c>
      <c r="K52" s="6"/>
    </row>
    <row r="53">
      <c r="A53" s="17" t="s">
        <v>132</v>
      </c>
      <c r="B53" s="16">
        <f>B36/B52-1</f>
        <v>-0.057942493323259736</v>
      </c>
      <c r="C53" s="16">
        <f>C36/C52-1</f>
        <v>-0.10689649196939988</v>
      </c>
      <c r="D53" s="16">
        <f>D36/D52-1</f>
        <v>-0.02492166079122604</v>
      </c>
      <c r="E53" s="16">
        <f>E36/E52-1</f>
        <v>-0.04326502736262017</v>
      </c>
      <c r="F53" s="16"/>
      <c r="G53" s="16">
        <f>G36/G52-1</f>
        <v>-0.05770353027203001</v>
      </c>
      <c r="H53" s="16">
        <f>H36/H52-1</f>
        <v>-0.07758723069256868</v>
      </c>
      <c r="I53" s="15">
        <f>I36/I52-1</f>
        <v>-0.07211892674009013</v>
      </c>
      <c r="J53" s="6" t="str">
        <f>"Consensus overstated revenue in all six prior quarters ("&amp;TEXT(MAX(B53:H53),"0.0%")&amp;" to "&amp;TEXT(MIN(B53:H53),"0.0%")&amp;")"</f>
        <v>Consensus overstated revenue in all six prior quarters (-2.5% to -10.7%)</v>
      </c>
      <c r="K53" s="6"/>
    </row>
    <row r="54">
      <c r="A54" s="3"/>
      <c r="B54" s="3"/>
      <c r="C54" s="3"/>
      <c r="D54" s="3"/>
      <c r="E54" s="3"/>
      <c r="F54" s="3"/>
      <c r="G54" s="3"/>
      <c r="H54" s="3"/>
      <c r="I54" s="11"/>
      <c r="J54" s="6"/>
      <c r="K54" s="6"/>
    </row>
    <row r="55">
      <c r="A55" s="3" t="s">
        <v>133</v>
      </c>
      <c r="B55" s="3"/>
      <c r="C55" s="3"/>
      <c r="D55" s="3"/>
      <c r="E55" s="3"/>
      <c r="F55" s="3"/>
      <c r="G55" s="3"/>
      <c r="H55" s="3"/>
      <c r="I55" s="11"/>
      <c r="J55" s="6"/>
      <c r="K55" s="6"/>
    </row>
    <row r="56">
      <c r="A56" s="3"/>
      <c r="B56" s="3"/>
      <c r="C56" s="3"/>
      <c r="D56" s="3"/>
      <c r="E56" s="3"/>
      <c r="F56" s="3"/>
      <c r="G56" s="3"/>
      <c r="H56" s="3"/>
      <c r="I56" s="11"/>
      <c r="J56" s="6"/>
      <c r="K56" s="6"/>
    </row>
    <row r="57">
      <c r="A57" s="3"/>
      <c r="B57" s="3"/>
      <c r="C57" s="3"/>
      <c r="D57" s="3"/>
      <c r="E57" s="3"/>
      <c r="F57" s="3"/>
      <c r="G57" s="3"/>
      <c r="H57" s="3"/>
      <c r="I57" s="11"/>
      <c r="J57" s="6"/>
      <c r="K57" s="6"/>
    </row>
    <row r="58">
      <c r="A58" s="3"/>
      <c r="B58" s="3"/>
      <c r="C58" s="3"/>
      <c r="D58" s="3"/>
      <c r="E58" s="3"/>
      <c r="F58" s="3"/>
      <c r="G58" s="3"/>
      <c r="H58" s="3"/>
      <c r="I58" s="11"/>
      <c r="J58" s="6"/>
      <c r="K58" s="6"/>
    </row>
  </sheetData>
</worksheet>
</file>

<file path=xl/worksheets/sheet3.xml><?xml version="1.0" encoding="utf-8"?>
<worksheet xmlns="http://schemas.openxmlformats.org/spreadsheetml/2006/main" xmlns:r="http://schemas.openxmlformats.org/officeDocument/2006/relationships">
  <dimension ref="A1:K190"/>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134</v>
      </c>
      <c r="B2" s="3"/>
      <c r="C2" s="3"/>
      <c r="D2" s="3"/>
      <c r="E2" s="3"/>
      <c r="F2" s="3"/>
      <c r="G2" s="3"/>
      <c r="H2" s="3"/>
      <c r="I2" s="3"/>
      <c r="J2" s="3"/>
      <c r="K2" s="3"/>
    </row>
    <row r="3">
      <c r="A3" s="37" t="s">
        <v>2</v>
      </c>
      <c r="B3" s="3"/>
      <c r="C3" s="3"/>
      <c r="D3" s="3"/>
      <c r="E3" s="3"/>
      <c r="F3" s="3"/>
      <c r="G3" s="3"/>
      <c r="H3" s="3"/>
      <c r="I3" s="3"/>
      <c r="J3" s="3"/>
      <c r="K3" s="3"/>
    </row>
    <row r="4">
      <c r="A4" s="12" t="s">
        <v>88</v>
      </c>
      <c r="B4" s="9" t="s">
        <v>89</v>
      </c>
      <c r="C4" s="9" t="s">
        <v>90</v>
      </c>
      <c r="D4" s="9" t="s">
        <v>91</v>
      </c>
      <c r="E4" s="9" t="s">
        <v>92</v>
      </c>
      <c r="F4" s="9" t="s">
        <v>93</v>
      </c>
      <c r="G4" s="9" t="s">
        <v>94</v>
      </c>
      <c r="H4" s="9" t="s">
        <v>95</v>
      </c>
      <c r="I4" s="9" t="s">
        <v>96</v>
      </c>
      <c r="J4" s="12" t="s">
        <v>4</v>
      </c>
      <c r="K4" s="3"/>
    </row>
    <row r="5">
      <c r="A5" s="28" t="s">
        <v>97</v>
      </c>
      <c r="B5" s="22">
        <f>DATE(2025,3,31)</f>
        <v>45747</v>
      </c>
      <c r="C5" s="22">
        <f>DATE(2025,6,30)</f>
        <v>45838</v>
      </c>
      <c r="D5" s="22">
        <f>DATE(2025,9,30)</f>
        <v>45930</v>
      </c>
      <c r="E5" s="22">
        <f>DATE(2025,12,31)</f>
        <v>46022</v>
      </c>
      <c r="F5" s="22">
        <f>DATE(2025,12,31)</f>
        <v>46022</v>
      </c>
      <c r="G5" s="22">
        <f>DATE(2026,3,31)</f>
        <v>46112</v>
      </c>
      <c r="H5" s="22">
        <f>DATE(2026,6,30)</f>
        <v>46203</v>
      </c>
      <c r="I5" s="22">
        <f>DATE(2026,9,30)</f>
        <v>46295</v>
      </c>
      <c r="J5" s="28"/>
      <c r="K5" s="3"/>
    </row>
    <row r="6">
      <c r="A6" s="33" t="s">
        <v>98</v>
      </c>
      <c r="B6" s="13">
        <f>B5-EOMONTH(B5,-3)</f>
        <v>90</v>
      </c>
      <c r="C6" s="13">
        <f>C5-EOMONTH(C5,-3)</f>
        <v>91</v>
      </c>
      <c r="D6" s="13">
        <f>D5-EOMONTH(D5,-3)</f>
        <v>92</v>
      </c>
      <c r="E6" s="13">
        <f>E5-EOMONTH(E5,-3)</f>
        <v>92</v>
      </c>
      <c r="F6" s="13">
        <f>F5-EOMONTH(F5,-12)</f>
        <v>365</v>
      </c>
      <c r="G6" s="13">
        <f>G5-EOMONTH(G5,-3)</f>
        <v>90</v>
      </c>
      <c r="H6" s="13">
        <f>H5-EOMONTH(H5,-3)</f>
        <v>91</v>
      </c>
      <c r="I6" s="13">
        <f>I5-EOMONTH(I5,-3)</f>
        <v>92</v>
      </c>
      <c r="J6" s="33"/>
      <c r="K6" s="3"/>
    </row>
    <row r="7">
      <c r="A7" s="3"/>
      <c r="B7" s="3"/>
      <c r="C7" s="3"/>
      <c r="D7" s="3"/>
      <c r="E7" s="3"/>
      <c r="F7" s="3"/>
      <c r="G7" s="3"/>
      <c r="H7" s="3"/>
      <c r="I7" s="11"/>
      <c r="J7" s="3"/>
      <c r="K7" s="3"/>
    </row>
    <row r="8">
      <c r="A8" s="26" t="s">
        <v>135</v>
      </c>
      <c r="B8" s="3"/>
      <c r="C8" s="3"/>
      <c r="D8" s="3"/>
      <c r="E8" s="3"/>
      <c r="F8" s="3"/>
      <c r="G8" s="3"/>
      <c r="H8" s="3"/>
      <c r="I8" s="11"/>
      <c r="J8" s="6"/>
      <c r="K8" s="6"/>
    </row>
    <row r="9">
      <c r="A9" s="4" t="s">
        <v>136</v>
      </c>
      <c r="B9" s="1">
        <v>6006</v>
      </c>
      <c r="C9" s="7">
        <f>B13</f>
        <v>6033</v>
      </c>
      <c r="D9" s="7">
        <f>C13</f>
        <v>6060</v>
      </c>
      <c r="E9" s="7">
        <f>D13</f>
        <v>6081</v>
      </c>
      <c r="F9" s="7">
        <f>B9</f>
        <v>6006</v>
      </c>
      <c r="G9" s="7">
        <f>E13</f>
        <v>6098</v>
      </c>
      <c r="H9" s="7" t="s">
        <v>34</v>
      </c>
      <c r="I9" s="10">
        <f>H13</f>
        <v>6147</v>
      </c>
      <c r="J9" s="6" t="s">
        <v>137</v>
      </c>
      <c r="K9" s="6"/>
    </row>
    <row r="10">
      <c r="A10" s="4" t="s">
        <v>138</v>
      </c>
      <c r="B10" s="23" t="s">
        <v>109</v>
      </c>
      <c r="C10" s="23" t="s">
        <v>109</v>
      </c>
      <c r="D10" s="23" t="s">
        <v>109</v>
      </c>
      <c r="E10" s="23" t="s">
        <v>109</v>
      </c>
      <c r="F10" s="23" t="s">
        <v>109</v>
      </c>
      <c r="G10" s="23" t="s">
        <v>109</v>
      </c>
      <c r="H10" s="23" t="s">
        <v>109</v>
      </c>
      <c r="I10" s="39" t="s">
        <v>109</v>
      </c>
      <c r="J10" s="6" t="s">
        <v>139</v>
      </c>
      <c r="K10" s="6"/>
    </row>
    <row r="11">
      <c r="A11" s="4" t="s">
        <v>140</v>
      </c>
      <c r="B11" s="23" t="s">
        <v>109</v>
      </c>
      <c r="C11" s="23" t="s">
        <v>109</v>
      </c>
      <c r="D11" s="23" t="s">
        <v>109</v>
      </c>
      <c r="E11" s="23" t="s">
        <v>109</v>
      </c>
      <c r="F11" s="23" t="s">
        <v>109</v>
      </c>
      <c r="G11" s="23" t="s">
        <v>109</v>
      </c>
      <c r="H11" s="23" t="s">
        <v>109</v>
      </c>
      <c r="I11" s="39" t="s">
        <v>109</v>
      </c>
      <c r="J11" s="6" t="s">
        <v>139</v>
      </c>
      <c r="K11" s="6"/>
    </row>
    <row r="12">
      <c r="A12" s="4" t="s">
        <v>141</v>
      </c>
      <c r="B12" s="7">
        <f>B13-B9</f>
        <v>27</v>
      </c>
      <c r="C12" s="7">
        <f>C13-C9</f>
        <v>27</v>
      </c>
      <c r="D12" s="7">
        <f>D13-D9</f>
        <v>21</v>
      </c>
      <c r="E12" s="7">
        <f>E13-E9</f>
        <v>17</v>
      </c>
      <c r="F12" s="7">
        <f>SUM(B12:E12)</f>
        <v>92</v>
      </c>
      <c r="G12" s="7" t="s">
        <v>34</v>
      </c>
      <c r="H12" s="7" t="s">
        <v>34</v>
      </c>
      <c r="I12" s="38">
        <v>22</v>
      </c>
      <c r="J12" s="6" t="s">
        <v>142</v>
      </c>
      <c r="K12" s="6"/>
    </row>
    <row r="13">
      <c r="A13" s="27" t="s">
        <v>143</v>
      </c>
      <c r="B13" s="20">
        <v>6033</v>
      </c>
      <c r="C13" s="20">
        <v>6060</v>
      </c>
      <c r="D13" s="20">
        <v>6081</v>
      </c>
      <c r="E13" s="20">
        <v>6098</v>
      </c>
      <c r="F13" s="5">
        <f>E13</f>
        <v>6098</v>
      </c>
      <c r="G13" s="5" t="s">
        <v>34</v>
      </c>
      <c r="H13" s="20">
        <v>6147</v>
      </c>
      <c r="I13" s="2">
        <f>I9+I12</f>
        <v>6169</v>
      </c>
      <c r="J13" s="6" t="s">
        <v>144</v>
      </c>
      <c r="K13" s="6"/>
    </row>
    <row r="14">
      <c r="A14" s="4" t="s">
        <v>145</v>
      </c>
      <c r="B14" s="7" t="s">
        <v>34</v>
      </c>
      <c r="C14" s="7" t="s">
        <v>34</v>
      </c>
      <c r="D14" s="7" t="s">
        <v>34</v>
      </c>
      <c r="E14" s="7" t="s">
        <v>34</v>
      </c>
      <c r="F14" s="7" t="s">
        <v>34</v>
      </c>
      <c r="G14" s="7" t="str">
        <f>IF(OR(ISBLANK(G12),ISBLANK(B12)),"n/a",IFERROR(G12-B12,"n/a"))</f>
        <v>n/a</v>
      </c>
      <c r="H14" s="7" t="str">
        <f>IF(OR(ISBLANK(H12),ISBLANK(C12)),"n/a",IFERROR(H12-C12,"n/a"))</f>
        <v>n/a</v>
      </c>
      <c r="I14" s="10">
        <f>IF(OR(ISBLANK(I12),ISBLANK(D12)),"n/a",IFERROR(I12-D12,"n/a"))</f>
        <v>1</v>
      </c>
      <c r="J14" s="6"/>
      <c r="K14" s="6"/>
    </row>
    <row r="15">
      <c r="A15" s="4" t="s">
        <v>146</v>
      </c>
      <c r="B15" s="7" t="s">
        <v>34</v>
      </c>
      <c r="C15" s="7">
        <f>IF(OR(ISBLANK(C12),ISBLANK(B12)),"n/a",IFERROR(C12-B12,"n/a"))</f>
        <v>0</v>
      </c>
      <c r="D15" s="7">
        <f>IF(OR(ISBLANK(D12),ISBLANK(C12)),"n/a",IFERROR(D12-C12,"n/a"))</f>
        <v>-6</v>
      </c>
      <c r="E15" s="7">
        <f>IF(OR(ISBLANK(E12),ISBLANK(D12)),"n/a",IFERROR(E12-D12,"n/a"))</f>
        <v>-4</v>
      </c>
      <c r="F15" s="7" t="s">
        <v>34</v>
      </c>
      <c r="G15" s="7" t="str">
        <f>IF(OR(ISBLANK(G12),ISBLANK(E12)),"n/a",IFERROR(G12-E12,"n/a"))</f>
        <v>n/a</v>
      </c>
      <c r="H15" s="7" t="str">
        <f>IF(OR(ISBLANK(H12),ISBLANK(G12)),"n/a",IFERROR(H12-G12,"n/a"))</f>
        <v>n/a</v>
      </c>
      <c r="I15" s="10" t="str">
        <f>IF(OR(ISBLANK(I12),ISBLANK(H12)),"n/a",IFERROR(I12-H12,"n/a"))</f>
        <v>n/a</v>
      </c>
      <c r="J15" s="6"/>
      <c r="K15" s="6"/>
    </row>
    <row r="16">
      <c r="A16" s="4" t="s">
        <v>147</v>
      </c>
      <c r="B16" s="7" t="s">
        <v>34</v>
      </c>
      <c r="C16" s="7" t="s">
        <v>34</v>
      </c>
      <c r="D16" s="7" t="s">
        <v>34</v>
      </c>
      <c r="E16" s="7" t="s">
        <v>34</v>
      </c>
      <c r="F16" s="7" t="s">
        <v>34</v>
      </c>
      <c r="G16" s="7" t="str">
        <f>IF(OR(ISBLANK(G13),ISBLANK(B13)),"n/a",IFERROR(G13-B13,"n/a"))</f>
        <v>n/a</v>
      </c>
      <c r="H16" s="7">
        <f>IF(OR(ISBLANK(H13),ISBLANK(C13)),"n/a",IFERROR(H13-C13,"n/a"))</f>
        <v>87</v>
      </c>
      <c r="I16" s="10">
        <f>IF(OR(ISBLANK(I13),ISBLANK(D13)),"n/a",IFERROR(I13-D13,"n/a"))</f>
        <v>88</v>
      </c>
      <c r="J16" s="6"/>
      <c r="K16" s="6"/>
    </row>
    <row r="17">
      <c r="A17" s="4" t="s">
        <v>148</v>
      </c>
      <c r="B17" s="7" t="s">
        <v>34</v>
      </c>
      <c r="C17" s="7">
        <f>IF(OR(ISBLANK(C13),ISBLANK(B13)),"n/a",IFERROR(C13-B13,"n/a"))</f>
        <v>27</v>
      </c>
      <c r="D17" s="7">
        <f>IF(OR(ISBLANK(D13),ISBLANK(C13)),"n/a",IFERROR(D13-C13,"n/a"))</f>
        <v>21</v>
      </c>
      <c r="E17" s="7">
        <f>IF(OR(ISBLANK(E13),ISBLANK(D13)),"n/a",IFERROR(E13-D13,"n/a"))</f>
        <v>17</v>
      </c>
      <c r="F17" s="7" t="s">
        <v>34</v>
      </c>
      <c r="G17" s="7" t="str">
        <f>IF(OR(ISBLANK(G13),ISBLANK(E13)),"n/a",IFERROR(G13-E13,"n/a"))</f>
        <v>n/a</v>
      </c>
      <c r="H17" s="7" t="str">
        <f>IF(OR(ISBLANK(H13),ISBLANK(G13)),"n/a",IFERROR(H13-G13,"n/a"))</f>
        <v>n/a</v>
      </c>
      <c r="I17" s="10">
        <f>IF(OR(ISBLANK(I13),ISBLANK(H13)),"n/a",IFERROR(I13-H13,"n/a"))</f>
        <v>22</v>
      </c>
      <c r="J17" s="6"/>
      <c r="K17" s="6"/>
    </row>
    <row r="18">
      <c r="A18" s="26" t="s">
        <v>149</v>
      </c>
      <c r="B18" s="3"/>
      <c r="C18" s="3"/>
      <c r="D18" s="3"/>
      <c r="E18" s="3"/>
      <c r="F18" s="3"/>
      <c r="G18" s="3"/>
      <c r="H18" s="3"/>
      <c r="I18" s="11"/>
      <c r="J18" s="6"/>
      <c r="K18" s="6"/>
    </row>
    <row r="19">
      <c r="A19" s="4" t="s">
        <v>150</v>
      </c>
      <c r="B19" s="1">
        <v>5344</v>
      </c>
      <c r="C19" s="1">
        <v>5370</v>
      </c>
      <c r="D19" s="1">
        <v>5393</v>
      </c>
      <c r="E19" s="1">
        <v>5409</v>
      </c>
      <c r="F19" s="1">
        <v>5380</v>
      </c>
      <c r="G19" s="7">
        <f>2*H176-H19</f>
        <v>5432</v>
      </c>
      <c r="H19" s="1">
        <v>5452</v>
      </c>
      <c r="I19" s="10">
        <f>D19*I31/D31</f>
        <v>5466.682139917695</v>
      </c>
      <c r="J19" s="6" t="s">
        <v>151</v>
      </c>
      <c r="K19" s="6"/>
    </row>
    <row r="20">
      <c r="A20" s="17" t="s">
        <v>152</v>
      </c>
      <c r="B20" s="16" t="s">
        <v>34</v>
      </c>
      <c r="C20" s="16" t="s">
        <v>34</v>
      </c>
      <c r="D20" s="16" t="s">
        <v>34</v>
      </c>
      <c r="E20" s="16" t="s">
        <v>34</v>
      </c>
      <c r="F20" s="16" t="s">
        <v>34</v>
      </c>
      <c r="G20" s="16">
        <f>IF(OR(ISBLANK(G19),ISBLANK(B19)),"n/a",IFERROR(G19/B19-1,"n/a"))</f>
        <v>0.01646706586826352</v>
      </c>
      <c r="H20" s="16">
        <f>IF(OR(ISBLANK(H19),ISBLANK(C19)),"n/a",IFERROR(H19/C19-1,"n/a"))</f>
        <v>0.015270018621973858</v>
      </c>
      <c r="I20" s="15">
        <f>IF(OR(ISBLANK(I19),ISBLANK(D19)),"n/a",IFERROR(I19/D19-1,"n/a"))</f>
        <v>0.01366255144032924</v>
      </c>
      <c r="J20" s="6"/>
      <c r="K20" s="6"/>
    </row>
    <row r="21">
      <c r="A21" s="4" t="s">
        <v>153</v>
      </c>
      <c r="B21" s="7" t="s">
        <v>34</v>
      </c>
      <c r="C21" s="7">
        <f>IF(OR(ISBLANK(C19),ISBLANK(B19)),"n/a",IFERROR(C19-B19,"n/a"))</f>
        <v>26</v>
      </c>
      <c r="D21" s="7">
        <f>IF(OR(ISBLANK(D19),ISBLANK(C19)),"n/a",IFERROR(D19-C19,"n/a"))</f>
        <v>23</v>
      </c>
      <c r="E21" s="7">
        <f>IF(OR(ISBLANK(E19),ISBLANK(D19)),"n/a",IFERROR(E19-D19,"n/a"))</f>
        <v>16</v>
      </c>
      <c r="F21" s="7" t="s">
        <v>34</v>
      </c>
      <c r="G21" s="7">
        <f>IF(OR(ISBLANK(G19),ISBLANK(E19)),"n/a",IFERROR(G19-E19,"n/a"))</f>
        <v>23</v>
      </c>
      <c r="H21" s="7">
        <f>IF(OR(ISBLANK(H19),ISBLANK(G19)),"n/a",IFERROR(H19-G19,"n/a"))</f>
        <v>20</v>
      </c>
      <c r="I21" s="10">
        <f>IF(OR(ISBLANK(I19),ISBLANK(H19)),"n/a",IFERROR(I19-H19,"n/a"))</f>
        <v>14.682139917695167</v>
      </c>
      <c r="J21" s="6"/>
      <c r="K21" s="6"/>
    </row>
    <row r="22">
      <c r="A22" s="4" t="s">
        <v>154</v>
      </c>
      <c r="B22" s="1">
        <v>655</v>
      </c>
      <c r="C22" s="1">
        <v>658</v>
      </c>
      <c r="D22" s="1">
        <v>660</v>
      </c>
      <c r="E22" s="1">
        <v>661</v>
      </c>
      <c r="F22" s="1">
        <v>658</v>
      </c>
      <c r="G22" s="7">
        <f>2*H177-H22</f>
        <v>666</v>
      </c>
      <c r="H22" s="1">
        <v>668</v>
      </c>
      <c r="I22" s="10">
        <f>D22*I31/D31</f>
        <v>669.0172839506173</v>
      </c>
      <c r="J22" s="6" t="s">
        <v>151</v>
      </c>
      <c r="K22" s="6"/>
    </row>
    <row r="23">
      <c r="A23" s="17" t="s">
        <v>152</v>
      </c>
      <c r="B23" s="16" t="s">
        <v>34</v>
      </c>
      <c r="C23" s="16" t="s">
        <v>34</v>
      </c>
      <c r="D23" s="16" t="s">
        <v>34</v>
      </c>
      <c r="E23" s="16" t="s">
        <v>34</v>
      </c>
      <c r="F23" s="16" t="s">
        <v>34</v>
      </c>
      <c r="G23" s="16">
        <f>IF(OR(ISBLANK(G22),ISBLANK(B22)),"n/a",IFERROR(G22/B22-1,"n/a"))</f>
        <v>0.016793893129771087</v>
      </c>
      <c r="H23" s="16">
        <f>IF(OR(ISBLANK(H22),ISBLANK(C22)),"n/a",IFERROR(H22/C22-1,"n/a"))</f>
        <v>0.015197568389057725</v>
      </c>
      <c r="I23" s="15">
        <f>IF(OR(ISBLANK(I22),ISBLANK(D22)),"n/a",IFERROR(I22/D22-1,"n/a"))</f>
        <v>0.01366255144032924</v>
      </c>
      <c r="J23" s="6"/>
      <c r="K23" s="6"/>
    </row>
    <row r="24">
      <c r="A24" s="4" t="s">
        <v>153</v>
      </c>
      <c r="B24" s="7" t="s">
        <v>34</v>
      </c>
      <c r="C24" s="7">
        <f>IF(OR(ISBLANK(C22),ISBLANK(B22)),"n/a",IFERROR(C22-B22,"n/a"))</f>
        <v>3</v>
      </c>
      <c r="D24" s="7">
        <f>IF(OR(ISBLANK(D22),ISBLANK(C22)),"n/a",IFERROR(D22-C22,"n/a"))</f>
        <v>2</v>
      </c>
      <c r="E24" s="7">
        <f>IF(OR(ISBLANK(E22),ISBLANK(D22)),"n/a",IFERROR(E22-D22,"n/a"))</f>
        <v>1</v>
      </c>
      <c r="F24" s="7" t="s">
        <v>34</v>
      </c>
      <c r="G24" s="7">
        <f>IF(OR(ISBLANK(G22),ISBLANK(E22)),"n/a",IFERROR(G22-E22,"n/a"))</f>
        <v>5</v>
      </c>
      <c r="H24" s="7">
        <f>IF(OR(ISBLANK(H22),ISBLANK(G22)),"n/a",IFERROR(H22-G22,"n/a"))</f>
        <v>2</v>
      </c>
      <c r="I24" s="10">
        <f>IF(OR(ISBLANK(I22),ISBLANK(H22)),"n/a",IFERROR(I22-H22,"n/a"))</f>
        <v>1.0172839506172977</v>
      </c>
      <c r="J24" s="6"/>
      <c r="K24" s="6"/>
    </row>
    <row r="25">
      <c r="A25" s="4" t="s">
        <v>155</v>
      </c>
      <c r="B25" s="1">
        <v>14</v>
      </c>
      <c r="C25" s="1">
        <v>14</v>
      </c>
      <c r="D25" s="1">
        <v>14</v>
      </c>
      <c r="E25" s="1">
        <v>14</v>
      </c>
      <c r="F25" s="1">
        <v>14</v>
      </c>
      <c r="G25" s="7">
        <f>2*H178-H25</f>
        <v>15</v>
      </c>
      <c r="H25" s="1">
        <v>13</v>
      </c>
      <c r="I25" s="10">
        <f>D25*I31/D31</f>
        <v>14.19127572016461</v>
      </c>
      <c r="J25" s="6" t="s">
        <v>151</v>
      </c>
      <c r="K25" s="6"/>
    </row>
    <row r="26">
      <c r="A26" s="17" t="s">
        <v>152</v>
      </c>
      <c r="B26" s="16" t="s">
        <v>34</v>
      </c>
      <c r="C26" s="16" t="s">
        <v>34</v>
      </c>
      <c r="D26" s="16" t="s">
        <v>34</v>
      </c>
      <c r="E26" s="16" t="s">
        <v>34</v>
      </c>
      <c r="F26" s="16" t="s">
        <v>34</v>
      </c>
      <c r="G26" s="16">
        <f>IF(OR(ISBLANK(G25),ISBLANK(B25)),"n/a",IFERROR(G25/B25-1,"n/a"))</f>
        <v>0.0714285714285714</v>
      </c>
      <c r="H26" s="16">
        <f>IF(OR(ISBLANK(H25),ISBLANK(C25)),"n/a",IFERROR(H25/C25-1,"n/a"))</f>
        <v>-0.0714285714285714</v>
      </c>
      <c r="I26" s="15">
        <f>IF(OR(ISBLANK(I25),ISBLANK(D25)),"n/a",IFERROR(I25/D25-1,"n/a"))</f>
        <v>0.01366255144032924</v>
      </c>
      <c r="J26" s="6"/>
      <c r="K26" s="6"/>
    </row>
    <row r="27">
      <c r="A27" s="4" t="s">
        <v>153</v>
      </c>
      <c r="B27" s="7" t="s">
        <v>34</v>
      </c>
      <c r="C27" s="7">
        <f>IF(OR(ISBLANK(C25),ISBLANK(B25)),"n/a",IFERROR(C25-B25,"n/a"))</f>
        <v>0</v>
      </c>
      <c r="D27" s="7">
        <f>IF(OR(ISBLANK(D25),ISBLANK(C25)),"n/a",IFERROR(D25-C25,"n/a"))</f>
        <v>0</v>
      </c>
      <c r="E27" s="7">
        <f>IF(OR(ISBLANK(E25),ISBLANK(D25)),"n/a",IFERROR(E25-D25,"n/a"))</f>
        <v>0</v>
      </c>
      <c r="F27" s="7" t="s">
        <v>34</v>
      </c>
      <c r="G27" s="7">
        <f>IF(OR(ISBLANK(G25),ISBLANK(E25)),"n/a",IFERROR(G25-E25,"n/a"))</f>
        <v>1</v>
      </c>
      <c r="H27" s="7">
        <f>IF(OR(ISBLANK(H25),ISBLANK(G25)),"n/a",IFERROR(H25-G25,"n/a"))</f>
        <v>-2</v>
      </c>
      <c r="I27" s="10">
        <f>IF(OR(ISBLANK(I25),ISBLANK(H25)),"n/a",IFERROR(I25-H25,"n/a"))</f>
        <v>1.1912757201646098</v>
      </c>
      <c r="J27" s="6"/>
      <c r="K27" s="6"/>
    </row>
    <row r="28">
      <c r="A28" s="4" t="s">
        <v>156</v>
      </c>
      <c r="B28" s="1">
        <v>8</v>
      </c>
      <c r="C28" s="1">
        <v>8</v>
      </c>
      <c r="D28" s="1">
        <v>8</v>
      </c>
      <c r="E28" s="1">
        <v>8</v>
      </c>
      <c r="F28" s="1">
        <v>8</v>
      </c>
      <c r="G28" s="7">
        <f>2*H179-H28</f>
        <v>8</v>
      </c>
      <c r="H28" s="1">
        <v>8</v>
      </c>
      <c r="I28" s="10">
        <f>D28*I31/D31</f>
        <v>8.109300411522634</v>
      </c>
      <c r="J28" s="6" t="s">
        <v>151</v>
      </c>
      <c r="K28" s="6"/>
    </row>
    <row r="29">
      <c r="A29" s="17" t="s">
        <v>152</v>
      </c>
      <c r="B29" s="16" t="s">
        <v>34</v>
      </c>
      <c r="C29" s="16" t="s">
        <v>34</v>
      </c>
      <c r="D29" s="16" t="s">
        <v>34</v>
      </c>
      <c r="E29" s="16" t="s">
        <v>34</v>
      </c>
      <c r="F29" s="16" t="s">
        <v>34</v>
      </c>
      <c r="G29" s="16">
        <f>IF(OR(ISBLANK(G28),ISBLANK(B28)),"n/a",IFERROR(G28/B28-1,"n/a"))</f>
        <v>0</v>
      </c>
      <c r="H29" s="16">
        <f>IF(OR(ISBLANK(H28),ISBLANK(C28)),"n/a",IFERROR(H28/C28-1,"n/a"))</f>
        <v>0</v>
      </c>
      <c r="I29" s="15">
        <f>IF(OR(ISBLANK(I28),ISBLANK(D28)),"n/a",IFERROR(I28/D28-1,"n/a"))</f>
        <v>0.01366255144032924</v>
      </c>
      <c r="J29" s="6"/>
      <c r="K29" s="6"/>
    </row>
    <row r="30">
      <c r="A30" s="4" t="s">
        <v>153</v>
      </c>
      <c r="B30" s="7" t="s">
        <v>34</v>
      </c>
      <c r="C30" s="7">
        <f>IF(OR(ISBLANK(C28),ISBLANK(B28)),"n/a",IFERROR(C28-B28,"n/a"))</f>
        <v>0</v>
      </c>
      <c r="D30" s="7">
        <f>IF(OR(ISBLANK(D28),ISBLANK(C28)),"n/a",IFERROR(D28-C28,"n/a"))</f>
        <v>0</v>
      </c>
      <c r="E30" s="7">
        <f>IF(OR(ISBLANK(E28),ISBLANK(D28)),"n/a",IFERROR(E28-D28,"n/a"))</f>
        <v>0</v>
      </c>
      <c r="F30" s="7" t="s">
        <v>34</v>
      </c>
      <c r="G30" s="7">
        <f>IF(OR(ISBLANK(G28),ISBLANK(E28)),"n/a",IFERROR(G28-E28,"n/a"))</f>
        <v>0</v>
      </c>
      <c r="H30" s="7">
        <f>IF(OR(ISBLANK(H28),ISBLANK(G28)),"n/a",IFERROR(H28-G28,"n/a"))</f>
        <v>0</v>
      </c>
      <c r="I30" s="10">
        <f>IF(OR(ISBLANK(I28),ISBLANK(H28)),"n/a",IFERROR(I28-H28,"n/a"))</f>
        <v>0.10930041152263392</v>
      </c>
      <c r="J30" s="6"/>
      <c r="K30" s="6"/>
    </row>
    <row r="31">
      <c r="A31" s="27" t="s">
        <v>157</v>
      </c>
      <c r="B31" s="5">
        <f>SUM(B19,B22,B25,B28)</f>
        <v>6021</v>
      </c>
      <c r="C31" s="5">
        <f>SUM(C19,C22,C25,C28)</f>
        <v>6050</v>
      </c>
      <c r="D31" s="5">
        <f>SUM(D19,D22,D25,D28)</f>
        <v>6075</v>
      </c>
      <c r="E31" s="5">
        <f>SUM(E19,E22,E25,E28)</f>
        <v>6092</v>
      </c>
      <c r="F31" s="5">
        <f>SUM(F19,F22,F25,F28)</f>
        <v>6060</v>
      </c>
      <c r="G31" s="5">
        <f>SUM(G19,G22,G25,G28)</f>
        <v>6121</v>
      </c>
      <c r="H31" s="5">
        <f>SUM(H19,H22,H25,H28)</f>
        <v>6141</v>
      </c>
      <c r="I31" s="2">
        <f>(I9+I13)/2</f>
        <v>6158</v>
      </c>
      <c r="J31" s="6" t="s">
        <v>158</v>
      </c>
      <c r="K31" s="6"/>
    </row>
    <row r="32">
      <c r="A32" s="17" t="s">
        <v>102</v>
      </c>
      <c r="B32" s="16" t="s">
        <v>34</v>
      </c>
      <c r="C32" s="16" t="s">
        <v>34</v>
      </c>
      <c r="D32" s="16" t="s">
        <v>34</v>
      </c>
      <c r="E32" s="16" t="s">
        <v>34</v>
      </c>
      <c r="F32" s="16" t="s">
        <v>34</v>
      </c>
      <c r="G32" s="16">
        <f>IF(OR(ISBLANK(G31),ISBLANK(B31)),"n/a",IFERROR(G31/B31-1,"n/a"))</f>
        <v>0.016608536787908967</v>
      </c>
      <c r="H32" s="16">
        <f>IF(OR(ISBLANK(H31),ISBLANK(C31)),"n/a",IFERROR(H31/C31-1,"n/a"))</f>
        <v>0.015041322314049532</v>
      </c>
      <c r="I32" s="15">
        <f>IF(OR(ISBLANK(I31),ISBLANK(D31)),"n/a",IFERROR(I31/D31-1,"n/a"))</f>
        <v>0.01366255144032924</v>
      </c>
      <c r="J32" s="6"/>
      <c r="K32" s="6"/>
    </row>
    <row r="33">
      <c r="A33" s="4" t="s">
        <v>159</v>
      </c>
      <c r="B33" s="7" t="s">
        <v>34</v>
      </c>
      <c r="C33" s="7">
        <f>IF(OR(ISBLANK(C31),ISBLANK(B31)),"n/a",IFERROR(C31-B31,"n/a"))</f>
        <v>29</v>
      </c>
      <c r="D33" s="7">
        <f>IF(OR(ISBLANK(D31),ISBLANK(C31)),"n/a",IFERROR(D31-C31,"n/a"))</f>
        <v>25</v>
      </c>
      <c r="E33" s="7">
        <f>IF(OR(ISBLANK(E31),ISBLANK(D31)),"n/a",IFERROR(E31-D31,"n/a"))</f>
        <v>17</v>
      </c>
      <c r="F33" s="7" t="s">
        <v>34</v>
      </c>
      <c r="G33" s="7">
        <f>IF(OR(ISBLANK(G31),ISBLANK(E31)),"n/a",IFERROR(G31-E31,"n/a"))</f>
        <v>29</v>
      </c>
      <c r="H33" s="7">
        <f>IF(OR(ISBLANK(H31),ISBLANK(G31)),"n/a",IFERROR(H31-G31,"n/a"))</f>
        <v>20</v>
      </c>
      <c r="I33" s="10">
        <f>IF(OR(ISBLANK(I31),ISBLANK(H31)),"n/a",IFERROR(I31-H31,"n/a"))</f>
        <v>17</v>
      </c>
      <c r="J33" s="6"/>
      <c r="K33" s="6"/>
    </row>
    <row r="34">
      <c r="A34" s="17" t="s">
        <v>160</v>
      </c>
      <c r="B34" s="16">
        <f>B19/B31</f>
        <v>0.8875602059458562</v>
      </c>
      <c r="C34" s="16">
        <f>C19/C31</f>
        <v>0.8876033057851239</v>
      </c>
      <c r="D34" s="16">
        <f>D19/D31</f>
        <v>0.8877366255144032</v>
      </c>
      <c r="E34" s="16">
        <f>E19/E31</f>
        <v>0.8878857518056468</v>
      </c>
      <c r="F34" s="16">
        <f>F19/F31</f>
        <v>0.8877887788778878</v>
      </c>
      <c r="G34" s="16">
        <f>G19/G31</f>
        <v>0.8874366933507597</v>
      </c>
      <c r="H34" s="16">
        <f>H19/H31</f>
        <v>0.8878032893665527</v>
      </c>
      <c r="I34" s="15">
        <f>I19/I31</f>
        <v>0.8877366255144032</v>
      </c>
      <c r="J34" s="6"/>
      <c r="K34" s="6"/>
    </row>
    <row r="35">
      <c r="A35" s="4" t="s">
        <v>161</v>
      </c>
      <c r="B35" s="8" t="s">
        <v>34</v>
      </c>
      <c r="C35" s="8" t="s">
        <v>34</v>
      </c>
      <c r="D35" s="8" t="s">
        <v>34</v>
      </c>
      <c r="E35" s="8" t="s">
        <v>34</v>
      </c>
      <c r="F35" s="8" t="s">
        <v>34</v>
      </c>
      <c r="G35" s="8">
        <f>IF(OR(ISBLANK(G34),ISBLANK(B34)),"n/a",IFERROR((G34-B34)*10000,"n/a"))</f>
        <v>-1.235125950964644</v>
      </c>
      <c r="H35" s="8">
        <f>IF(OR(ISBLANK(H34),ISBLANK(C34)),"n/a",IFERROR((H34-C34)*10000,"n/a"))</f>
        <v>1.9998358142880868</v>
      </c>
      <c r="I35" s="30">
        <f>IF(OR(ISBLANK(I34),ISBLANK(D34)),"n/a",IFERROR((I34-D34)*10000,"n/a"))</f>
        <v>0</v>
      </c>
      <c r="J35" s="6"/>
      <c r="K35" s="6"/>
    </row>
    <row r="36">
      <c r="A36" s="4" t="s">
        <v>162</v>
      </c>
      <c r="B36" s="8" t="s">
        <v>34</v>
      </c>
      <c r="C36" s="8">
        <f>IF(OR(ISBLANK(C34),ISBLANK(B34)),"n/a",IFERROR((C34-B34)*10000,"n/a"))</f>
        <v>0.4309983926775729</v>
      </c>
      <c r="D36" s="8">
        <f>IF(OR(ISBLANK(D34),ISBLANK(C34)),"n/a",IFERROR((D34-C34)*10000,"n/a"))</f>
        <v>1.3331972927932423</v>
      </c>
      <c r="E36" s="8">
        <f>IF(OR(ISBLANK(E34),ISBLANK(D34)),"n/a",IFERROR((E34-D34)*10000,"n/a"))</f>
        <v>1.4912629124352872</v>
      </c>
      <c r="F36" s="8" t="s">
        <v>34</v>
      </c>
      <c r="G36" s="8">
        <f>IF(OR(ISBLANK(G34),ISBLANK(E34)),"n/a",IFERROR((G34-E34)*10000,"n/a"))</f>
        <v>-4.490584548870746</v>
      </c>
      <c r="H36" s="8">
        <f>IF(OR(ISBLANK(H34),ISBLANK(G34)),"n/a",IFERROR((H34-G34)*10000,"n/a"))</f>
        <v>3.6659601579303036</v>
      </c>
      <c r="I36" s="30">
        <f>IF(OR(ISBLANK(I34),ISBLANK(H34)),"n/a",IFERROR((I34-H34)*10000,"n/a"))</f>
        <v>-0.6666385214948445</v>
      </c>
      <c r="J36" s="6"/>
      <c r="K36" s="6"/>
    </row>
    <row r="37">
      <c r="A37" s="3"/>
      <c r="B37" s="3"/>
      <c r="C37" s="3"/>
      <c r="D37" s="3"/>
      <c r="E37" s="3"/>
      <c r="F37" s="3"/>
      <c r="G37" s="3"/>
      <c r="H37" s="3"/>
      <c r="I37" s="11"/>
      <c r="J37" s="6"/>
      <c r="K37" s="6"/>
    </row>
    <row r="38">
      <c r="A38" s="26" t="s">
        <v>163</v>
      </c>
      <c r="B38" s="3"/>
      <c r="C38" s="3"/>
      <c r="D38" s="3"/>
      <c r="E38" s="3"/>
      <c r="F38" s="3"/>
      <c r="G38" s="3"/>
      <c r="H38" s="3"/>
      <c r="I38" s="11"/>
      <c r="J38" s="6"/>
      <c r="K38" s="6"/>
    </row>
    <row r="39">
      <c r="A39" s="4" t="s">
        <v>164</v>
      </c>
      <c r="B39" s="1">
        <v>14312</v>
      </c>
      <c r="C39" s="1">
        <v>18235</v>
      </c>
      <c r="D39" s="1">
        <v>22358</v>
      </c>
      <c r="E39" s="1">
        <v>16008</v>
      </c>
      <c r="F39" s="7">
        <f>SUM(B39:E39)</f>
        <v>70913</v>
      </c>
      <c r="G39" s="7">
        <f>H165-H39</f>
        <v>15289</v>
      </c>
      <c r="H39" s="1">
        <v>18202</v>
      </c>
      <c r="I39" s="10">
        <f>D39*(1+I40)</f>
        <v>23028.74</v>
      </c>
      <c r="J39" s="6" t="s">
        <v>165</v>
      </c>
      <c r="K39" s="6"/>
    </row>
    <row r="40">
      <c r="A40" s="17" t="s">
        <v>166</v>
      </c>
      <c r="B40" s="16" t="s">
        <v>34</v>
      </c>
      <c r="C40" s="16" t="s">
        <v>34</v>
      </c>
      <c r="D40" s="16" t="s">
        <v>34</v>
      </c>
      <c r="E40" s="16" t="s">
        <v>34</v>
      </c>
      <c r="F40" s="16" t="s">
        <v>34</v>
      </c>
      <c r="G40" s="16">
        <f>IF(OR(ISBLANK(G39),ISBLANK(B39)),"n/a",IFERROR(G39/B39-1,"n/a"))</f>
        <v>0.06826439351593061</v>
      </c>
      <c r="H40" s="16">
        <f>IF(OR(ISBLANK(H39),ISBLANK(C39)),"n/a",IFERROR(H39/C39-1,"n/a"))</f>
        <v>-0.0018097066081711466</v>
      </c>
      <c r="I40" s="46">
        <v>0.03</v>
      </c>
      <c r="J40" s="6"/>
      <c r="K40" s="6"/>
    </row>
    <row r="41">
      <c r="A41" s="4" t="s">
        <v>153</v>
      </c>
      <c r="B41" s="7" t="s">
        <v>34</v>
      </c>
      <c r="C41" s="7">
        <f>IF(OR(ISBLANK(C39),ISBLANK(B39)),"n/a",IFERROR(C39-B39,"n/a"))</f>
        <v>3923</v>
      </c>
      <c r="D41" s="7">
        <f>IF(OR(ISBLANK(D39),ISBLANK(C39)),"n/a",IFERROR(D39-C39,"n/a"))</f>
        <v>4123</v>
      </c>
      <c r="E41" s="7">
        <f>IF(OR(ISBLANK(E39),ISBLANK(D39)),"n/a",IFERROR(E39-D39,"n/a"))</f>
        <v>-6350</v>
      </c>
      <c r="F41" s="7" t="s">
        <v>34</v>
      </c>
      <c r="G41" s="7">
        <f>IF(OR(ISBLANK(G39),ISBLANK(E39)),"n/a",IFERROR(G39-E39,"n/a"))</f>
        <v>-719</v>
      </c>
      <c r="H41" s="7">
        <f>IF(OR(ISBLANK(H39),ISBLANK(G39)),"n/a",IFERROR(H39-G39,"n/a"))</f>
        <v>2913</v>
      </c>
      <c r="I41" s="10">
        <f>IF(OR(ISBLANK(I39),ISBLANK(H39)),"n/a",IFERROR(I39-H39,"n/a"))</f>
        <v>4826.740000000002</v>
      </c>
      <c r="J41" s="6"/>
      <c r="K41" s="6"/>
    </row>
    <row r="42">
      <c r="A42" s="4" t="s">
        <v>167</v>
      </c>
      <c r="B42" s="1">
        <v>11608</v>
      </c>
      <c r="C42" s="1">
        <v>13596</v>
      </c>
      <c r="D42" s="1">
        <v>15303</v>
      </c>
      <c r="E42" s="1">
        <v>12974</v>
      </c>
      <c r="F42" s="7">
        <f>SUM(B42:E42)</f>
        <v>53481</v>
      </c>
      <c r="G42" s="7">
        <f>H166-H42</f>
        <v>11990</v>
      </c>
      <c r="H42" s="1">
        <v>13669</v>
      </c>
      <c r="I42" s="10">
        <f>D42*(1+I43)</f>
        <v>15532.544999999998</v>
      </c>
      <c r="J42" s="6" t="s">
        <v>165</v>
      </c>
      <c r="K42" s="6"/>
    </row>
    <row r="43">
      <c r="A43" s="17" t="s">
        <v>166</v>
      </c>
      <c r="B43" s="16" t="s">
        <v>34</v>
      </c>
      <c r="C43" s="16" t="s">
        <v>34</v>
      </c>
      <c r="D43" s="16" t="s">
        <v>34</v>
      </c>
      <c r="E43" s="16" t="s">
        <v>34</v>
      </c>
      <c r="F43" s="16" t="s">
        <v>34</v>
      </c>
      <c r="G43" s="16">
        <f>IF(OR(ISBLANK(G42),ISBLANK(B42)),"n/a",IFERROR(G42/B42-1,"n/a"))</f>
        <v>0.03290833907649904</v>
      </c>
      <c r="H43" s="16">
        <f>IF(OR(ISBLANK(H42),ISBLANK(C42)),"n/a",IFERROR(H42/C42-1,"n/a"))</f>
        <v>0.005369226243012726</v>
      </c>
      <c r="I43" s="46">
        <v>0.015</v>
      </c>
      <c r="J43" s="6"/>
      <c r="K43" s="6"/>
    </row>
    <row r="44">
      <c r="A44" s="4" t="s">
        <v>153</v>
      </c>
      <c r="B44" s="7" t="s">
        <v>34</v>
      </c>
      <c r="C44" s="7">
        <f>IF(OR(ISBLANK(C42),ISBLANK(B42)),"n/a",IFERROR(C42-B42,"n/a"))</f>
        <v>1988</v>
      </c>
      <c r="D44" s="7">
        <f>IF(OR(ISBLANK(D42),ISBLANK(C42)),"n/a",IFERROR(D42-C42,"n/a"))</f>
        <v>1707</v>
      </c>
      <c r="E44" s="7">
        <f>IF(OR(ISBLANK(E42),ISBLANK(D42)),"n/a",IFERROR(E42-D42,"n/a"))</f>
        <v>-2329</v>
      </c>
      <c r="F44" s="7" t="s">
        <v>34</v>
      </c>
      <c r="G44" s="7">
        <f>IF(OR(ISBLANK(G42),ISBLANK(E42)),"n/a",IFERROR(G42-E42,"n/a"))</f>
        <v>-984</v>
      </c>
      <c r="H44" s="7">
        <f>IF(OR(ISBLANK(H42),ISBLANK(G42)),"n/a",IFERROR(H42-G42,"n/a"))</f>
        <v>1679</v>
      </c>
      <c r="I44" s="10">
        <f>IF(OR(ISBLANK(I42),ISBLANK(H42)),"n/a",IFERROR(I42-H42,"n/a"))</f>
        <v>1863.5449999999983</v>
      </c>
      <c r="J44" s="6"/>
      <c r="K44" s="6"/>
    </row>
    <row r="45">
      <c r="A45" s="4" t="s">
        <v>168</v>
      </c>
      <c r="B45" s="1">
        <v>1081</v>
      </c>
      <c r="C45" s="1">
        <v>1134</v>
      </c>
      <c r="D45" s="1">
        <v>1262</v>
      </c>
      <c r="E45" s="1">
        <v>1097</v>
      </c>
      <c r="F45" s="7">
        <f>SUM(B45:E45)</f>
        <v>4574</v>
      </c>
      <c r="G45" s="7">
        <f>H167-H45</f>
        <v>1086</v>
      </c>
      <c r="H45" s="1">
        <v>1128</v>
      </c>
      <c r="I45" s="10">
        <f>D45*(1+I46)</f>
        <v>1224.1399999999999</v>
      </c>
      <c r="J45" s="6" t="s">
        <v>165</v>
      </c>
      <c r="K45" s="6"/>
    </row>
    <row r="46">
      <c r="A46" s="17" t="s">
        <v>166</v>
      </c>
      <c r="B46" s="16" t="s">
        <v>34</v>
      </c>
      <c r="C46" s="16" t="s">
        <v>34</v>
      </c>
      <c r="D46" s="16" t="s">
        <v>34</v>
      </c>
      <c r="E46" s="16" t="s">
        <v>34</v>
      </c>
      <c r="F46" s="16" t="s">
        <v>34</v>
      </c>
      <c r="G46" s="16">
        <f>IF(OR(ISBLANK(G45),ISBLANK(B45)),"n/a",IFERROR(G45/B45-1,"n/a"))</f>
        <v>0.0046253469010175685</v>
      </c>
      <c r="H46" s="16">
        <f>IF(OR(ISBLANK(H45),ISBLANK(C45)),"n/a",IFERROR(H45/C45-1,"n/a"))</f>
        <v>-0.005291005291005346</v>
      </c>
      <c r="I46" s="46">
        <v>-0.03</v>
      </c>
      <c r="J46" s="6"/>
      <c r="K46" s="6"/>
    </row>
    <row r="47">
      <c r="A47" s="4" t="s">
        <v>153</v>
      </c>
      <c r="B47" s="7" t="s">
        <v>34</v>
      </c>
      <c r="C47" s="7">
        <f>IF(OR(ISBLANK(C45),ISBLANK(B45)),"n/a",IFERROR(C45-B45,"n/a"))</f>
        <v>53</v>
      </c>
      <c r="D47" s="7">
        <f>IF(OR(ISBLANK(D45),ISBLANK(C45)),"n/a",IFERROR(D45-C45,"n/a"))</f>
        <v>128</v>
      </c>
      <c r="E47" s="7">
        <f>IF(OR(ISBLANK(E45),ISBLANK(D45)),"n/a",IFERROR(E45-D45,"n/a"))</f>
        <v>-165</v>
      </c>
      <c r="F47" s="7" t="s">
        <v>34</v>
      </c>
      <c r="G47" s="7">
        <f>IF(OR(ISBLANK(G45),ISBLANK(E45)),"n/a",IFERROR(G45-E45,"n/a"))</f>
        <v>-11</v>
      </c>
      <c r="H47" s="7">
        <f>IF(OR(ISBLANK(H45),ISBLANK(G45)),"n/a",IFERROR(H45-G45,"n/a"))</f>
        <v>42</v>
      </c>
      <c r="I47" s="10">
        <f>IF(OR(ISBLANK(I45),ISBLANK(H45)),"n/a",IFERROR(I45-H45,"n/a"))</f>
        <v>96.13999999999987</v>
      </c>
      <c r="J47" s="6"/>
      <c r="K47" s="6"/>
    </row>
    <row r="48">
      <c r="A48" s="4" t="s">
        <v>169</v>
      </c>
      <c r="B48" s="1">
        <v>110</v>
      </c>
      <c r="C48" s="1">
        <v>125</v>
      </c>
      <c r="D48" s="1">
        <v>126</v>
      </c>
      <c r="E48" s="1">
        <v>127</v>
      </c>
      <c r="F48" s="7">
        <f>SUM(B48:E48)</f>
        <v>488</v>
      </c>
      <c r="G48" s="7">
        <f>H168-H48</f>
        <v>126</v>
      </c>
      <c r="H48" s="1">
        <v>129</v>
      </c>
      <c r="I48" s="10">
        <f>D48*(1+I49)</f>
        <v>126</v>
      </c>
      <c r="J48" s="6" t="s">
        <v>165</v>
      </c>
      <c r="K48" s="6"/>
    </row>
    <row r="49">
      <c r="A49" s="17" t="s">
        <v>166</v>
      </c>
      <c r="B49" s="16" t="s">
        <v>34</v>
      </c>
      <c r="C49" s="16" t="s">
        <v>34</v>
      </c>
      <c r="D49" s="16" t="s">
        <v>34</v>
      </c>
      <c r="E49" s="16" t="s">
        <v>34</v>
      </c>
      <c r="F49" s="16" t="s">
        <v>34</v>
      </c>
      <c r="G49" s="16">
        <f>IF(OR(ISBLANK(G48),ISBLANK(B48)),"n/a",IFERROR(G48/B48-1,"n/a"))</f>
        <v>0.1454545454545455</v>
      </c>
      <c r="H49" s="16">
        <f>IF(OR(ISBLANK(H48),ISBLANK(C48)),"n/a",IFERROR(H48/C48-1,"n/a"))</f>
        <v>0.03200000000000003</v>
      </c>
      <c r="I49" s="46">
        <v>0</v>
      </c>
      <c r="J49" s="6"/>
      <c r="K49" s="6"/>
    </row>
    <row r="50">
      <c r="A50" s="4" t="s">
        <v>153</v>
      </c>
      <c r="B50" s="7" t="s">
        <v>34</v>
      </c>
      <c r="C50" s="7">
        <f>IF(OR(ISBLANK(C48),ISBLANK(B48)),"n/a",IFERROR(C48-B48,"n/a"))</f>
        <v>15</v>
      </c>
      <c r="D50" s="7">
        <f>IF(OR(ISBLANK(D48),ISBLANK(C48)),"n/a",IFERROR(D48-C48,"n/a"))</f>
        <v>1</v>
      </c>
      <c r="E50" s="7">
        <f>IF(OR(ISBLANK(E48),ISBLANK(D48)),"n/a",IFERROR(E48-D48,"n/a"))</f>
        <v>1</v>
      </c>
      <c r="F50" s="7" t="s">
        <v>34</v>
      </c>
      <c r="G50" s="7">
        <f>IF(OR(ISBLANK(G48),ISBLANK(E48)),"n/a",IFERROR(G48-E48,"n/a"))</f>
        <v>-1</v>
      </c>
      <c r="H50" s="7">
        <f>IF(OR(ISBLANK(H48),ISBLANK(G48)),"n/a",IFERROR(H48-G48,"n/a"))</f>
        <v>3</v>
      </c>
      <c r="I50" s="10">
        <f>IF(OR(ISBLANK(I48),ISBLANK(H48)),"n/a",IFERROR(I48-H48,"n/a"))</f>
        <v>-3</v>
      </c>
      <c r="J50" s="6"/>
      <c r="K50" s="6"/>
    </row>
    <row r="51">
      <c r="A51" s="27" t="s">
        <v>170</v>
      </c>
      <c r="B51" s="5">
        <f>B39+B42+B45+B48</f>
        <v>27111</v>
      </c>
      <c r="C51" s="5">
        <f>C39+C42+C45+C48</f>
        <v>33090</v>
      </c>
      <c r="D51" s="5">
        <f>D39+D42+D45+D48</f>
        <v>39049</v>
      </c>
      <c r="E51" s="5">
        <f>E39+E42+E45+E48</f>
        <v>30206</v>
      </c>
      <c r="F51" s="5">
        <f>F39+F42+F45+F48</f>
        <v>129456</v>
      </c>
      <c r="G51" s="5">
        <f>G39+G42+G45+G48</f>
        <v>28491</v>
      </c>
      <c r="H51" s="5">
        <f>H39+H42+H45+H48</f>
        <v>33128</v>
      </c>
      <c r="I51" s="2">
        <f>I39+I42+I45+I48</f>
        <v>39911.425</v>
      </c>
      <c r="J51" s="6"/>
      <c r="K51" s="6"/>
    </row>
    <row r="52">
      <c r="A52" s="17" t="s">
        <v>152</v>
      </c>
      <c r="B52" s="16" t="s">
        <v>34</v>
      </c>
      <c r="C52" s="16" t="s">
        <v>34</v>
      </c>
      <c r="D52" s="16" t="s">
        <v>34</v>
      </c>
      <c r="E52" s="16" t="s">
        <v>34</v>
      </c>
      <c r="F52" s="16" t="s">
        <v>34</v>
      </c>
      <c r="G52" s="16">
        <f>IF(OR(ISBLANK(G51),ISBLANK(B51)),"n/a",IFERROR(G51/B51-1,"n/a"))</f>
        <v>0.050901847958393365</v>
      </c>
      <c r="H52" s="16">
        <f>IF(OR(ISBLANK(H51),ISBLANK(C51)),"n/a",IFERROR(H51/C51-1,"n/a"))</f>
        <v>0.0011483831973406744</v>
      </c>
      <c r="I52" s="15">
        <f>IF(OR(ISBLANK(I51),ISBLANK(D51)),"n/a",IFERROR(I51/D51-1,"n/a"))</f>
        <v>0.0220857128223515</v>
      </c>
      <c r="J52" s="6"/>
      <c r="K52" s="6"/>
    </row>
    <row r="53">
      <c r="A53" s="4" t="s">
        <v>153</v>
      </c>
      <c r="B53" s="7" t="s">
        <v>34</v>
      </c>
      <c r="C53" s="7">
        <f>IF(OR(ISBLANK(C51),ISBLANK(B51)),"n/a",IFERROR(C51-B51,"n/a"))</f>
        <v>5979</v>
      </c>
      <c r="D53" s="7">
        <f>IF(OR(ISBLANK(D51),ISBLANK(C51)),"n/a",IFERROR(D51-C51,"n/a"))</f>
        <v>5959</v>
      </c>
      <c r="E53" s="7">
        <f>IF(OR(ISBLANK(E51),ISBLANK(D51)),"n/a",IFERROR(E51-D51,"n/a"))</f>
        <v>-8843</v>
      </c>
      <c r="F53" s="7" t="s">
        <v>34</v>
      </c>
      <c r="G53" s="7">
        <f>IF(OR(ISBLANK(G51),ISBLANK(E51)),"n/a",IFERROR(G51-E51,"n/a"))</f>
        <v>-1715</v>
      </c>
      <c r="H53" s="7">
        <f>IF(OR(ISBLANK(H51),ISBLANK(G51)),"n/a",IFERROR(H51-G51,"n/a"))</f>
        <v>4637</v>
      </c>
      <c r="I53" s="10">
        <f>IF(OR(ISBLANK(I51),ISBLANK(H51)),"n/a",IFERROR(I51-H51,"n/a"))</f>
        <v>6783.425000000003</v>
      </c>
      <c r="J53" s="6"/>
      <c r="K53" s="6"/>
    </row>
    <row r="54">
      <c r="A54" s="4" t="s">
        <v>171</v>
      </c>
      <c r="B54" s="1">
        <v>-70</v>
      </c>
      <c r="C54" s="1">
        <v>1844</v>
      </c>
      <c r="D54" s="1">
        <v>-551</v>
      </c>
      <c r="E54" s="1">
        <v>-695</v>
      </c>
      <c r="F54" s="7">
        <f>SUM(B54:E54)</f>
        <v>528</v>
      </c>
      <c r="G54" s="7">
        <f>H169-H54</f>
        <v>-533</v>
      </c>
      <c r="H54" s="1">
        <v>1939</v>
      </c>
      <c r="I54" s="10">
        <f>D54</f>
        <v>-551</v>
      </c>
      <c r="J54" s="6" t="s">
        <v>172</v>
      </c>
      <c r="K54" s="6"/>
    </row>
    <row r="55">
      <c r="A55" s="4" t="s">
        <v>173</v>
      </c>
      <c r="B55" s="7" t="s">
        <v>34</v>
      </c>
      <c r="C55" s="7" t="s">
        <v>34</v>
      </c>
      <c r="D55" s="7" t="s">
        <v>34</v>
      </c>
      <c r="E55" s="7" t="s">
        <v>34</v>
      </c>
      <c r="F55" s="7" t="s">
        <v>34</v>
      </c>
      <c r="G55" s="7">
        <f>IF(OR(ISBLANK(G54),ISBLANK(B54)),"n/a",IFERROR(G54-B54,"n/a"))</f>
        <v>-463</v>
      </c>
      <c r="H55" s="7">
        <f>IF(OR(ISBLANK(H54),ISBLANK(C54)),"n/a",IFERROR(H54-C54,"n/a"))</f>
        <v>95</v>
      </c>
      <c r="I55" s="10">
        <f>IF(OR(ISBLANK(I54),ISBLANK(D54)),"n/a",IFERROR(I54-D54,"n/a"))</f>
        <v>0</v>
      </c>
      <c r="J55" s="6"/>
      <c r="K55" s="6"/>
    </row>
    <row r="56">
      <c r="A56" s="4" t="s">
        <v>153</v>
      </c>
      <c r="B56" s="7" t="s">
        <v>34</v>
      </c>
      <c r="C56" s="7">
        <f>IF(OR(ISBLANK(C54),ISBLANK(B54)),"n/a",IFERROR(C54-B54,"n/a"))</f>
        <v>1914</v>
      </c>
      <c r="D56" s="7">
        <f>IF(OR(ISBLANK(D54),ISBLANK(C54)),"n/a",IFERROR(D54-C54,"n/a"))</f>
        <v>-2395</v>
      </c>
      <c r="E56" s="7">
        <f>IF(OR(ISBLANK(E54),ISBLANK(D54)),"n/a",IFERROR(E54-D54,"n/a"))</f>
        <v>-144</v>
      </c>
      <c r="F56" s="7" t="s">
        <v>34</v>
      </c>
      <c r="G56" s="7">
        <f>IF(OR(ISBLANK(G54),ISBLANK(E54)),"n/a",IFERROR(G54-E54,"n/a"))</f>
        <v>162</v>
      </c>
      <c r="H56" s="7">
        <f>IF(OR(ISBLANK(H54),ISBLANK(G54)),"n/a",IFERROR(H54-G54,"n/a"))</f>
        <v>2472</v>
      </c>
      <c r="I56" s="10">
        <f>IF(OR(ISBLANK(I54),ISBLANK(H54)),"n/a",IFERROR(I54-H54,"n/a"))</f>
        <v>-2490</v>
      </c>
      <c r="J56" s="6"/>
      <c r="K56" s="6"/>
    </row>
    <row r="57">
      <c r="A57" s="27" t="s">
        <v>174</v>
      </c>
      <c r="B57" s="5">
        <f>B51+B54</f>
        <v>27041</v>
      </c>
      <c r="C57" s="5">
        <f>C51+C54</f>
        <v>34934</v>
      </c>
      <c r="D57" s="5">
        <f>D51+D54</f>
        <v>38498</v>
      </c>
      <c r="E57" s="5">
        <f>E51+E54</f>
        <v>29511</v>
      </c>
      <c r="F57" s="5">
        <f>F51+F54</f>
        <v>129984</v>
      </c>
      <c r="G57" s="5">
        <f>G51+G54</f>
        <v>27958</v>
      </c>
      <c r="H57" s="5">
        <f>H51+H54</f>
        <v>35067</v>
      </c>
      <c r="I57" s="2">
        <f>I51+I54</f>
        <v>39360.425</v>
      </c>
      <c r="J57" s="6" t="s">
        <v>175</v>
      </c>
      <c r="K57" s="6"/>
    </row>
    <row r="58">
      <c r="A58" s="17" t="s">
        <v>152</v>
      </c>
      <c r="B58" s="16" t="s">
        <v>34</v>
      </c>
      <c r="C58" s="16" t="s">
        <v>34</v>
      </c>
      <c r="D58" s="16" t="s">
        <v>34</v>
      </c>
      <c r="E58" s="16" t="s">
        <v>34</v>
      </c>
      <c r="F58" s="16" t="s">
        <v>34</v>
      </c>
      <c r="G58" s="16">
        <f>IF(OR(ISBLANK(G57),ISBLANK(B57)),"n/a",IFERROR(G57/B57-1,"n/a"))</f>
        <v>0.033911467771162274</v>
      </c>
      <c r="H58" s="16">
        <f>IF(OR(ISBLANK(H57),ISBLANK(C57)),"n/a",IFERROR(H57/C57-1,"n/a"))</f>
        <v>0.003807179252304449</v>
      </c>
      <c r="I58" s="15">
        <f>IF(OR(ISBLANK(I57),ISBLANK(D57)),"n/a",IFERROR(I57/D57-1,"n/a"))</f>
        <v>0.02240181308119915</v>
      </c>
      <c r="J58" s="6"/>
      <c r="K58" s="6"/>
    </row>
    <row r="59">
      <c r="A59" s="4" t="s">
        <v>153</v>
      </c>
      <c r="B59" s="7" t="s">
        <v>34</v>
      </c>
      <c r="C59" s="7">
        <f>IF(OR(ISBLANK(C57),ISBLANK(B57)),"n/a",IFERROR(C57-B57,"n/a"))</f>
        <v>7893</v>
      </c>
      <c r="D59" s="7">
        <f>IF(OR(ISBLANK(D57),ISBLANK(C57)),"n/a",IFERROR(D57-C57,"n/a"))</f>
        <v>3564</v>
      </c>
      <c r="E59" s="7">
        <f>IF(OR(ISBLANK(E57),ISBLANK(D57)),"n/a",IFERROR(E57-D57,"n/a"))</f>
        <v>-8987</v>
      </c>
      <c r="F59" s="7" t="s">
        <v>34</v>
      </c>
      <c r="G59" s="7">
        <f>IF(OR(ISBLANK(G57),ISBLANK(E57)),"n/a",IFERROR(G57-E57,"n/a"))</f>
        <v>-1553</v>
      </c>
      <c r="H59" s="7">
        <f>IF(OR(ISBLANK(H57),ISBLANK(G57)),"n/a",IFERROR(H57-G57,"n/a"))</f>
        <v>7109</v>
      </c>
      <c r="I59" s="10">
        <f>IF(OR(ISBLANK(I57),ISBLANK(H57)),"n/a",IFERROR(I57-H57,"n/a"))</f>
        <v>4293.425000000003</v>
      </c>
      <c r="J59" s="6"/>
      <c r="K59" s="6"/>
    </row>
    <row r="60">
      <c r="A60" s="4" t="s">
        <v>176</v>
      </c>
      <c r="B60" s="1">
        <v>1992</v>
      </c>
      <c r="C60" s="1">
        <v>2448</v>
      </c>
      <c r="D60" s="1">
        <v>2705</v>
      </c>
      <c r="E60" s="1">
        <v>2002</v>
      </c>
      <c r="F60" s="7">
        <f>SUM(B60:E60)</f>
        <v>9147</v>
      </c>
      <c r="G60" s="7">
        <f>H170-H60</f>
        <v>1989</v>
      </c>
      <c r="H60" s="1">
        <v>2023</v>
      </c>
      <c r="I60" s="10">
        <f>D60*(1+I61)</f>
        <v>2705</v>
      </c>
      <c r="J60" s="6" t="s">
        <v>177</v>
      </c>
      <c r="K60" s="6"/>
    </row>
    <row r="61">
      <c r="A61" s="17" t="s">
        <v>166</v>
      </c>
      <c r="B61" s="16" t="s">
        <v>34</v>
      </c>
      <c r="C61" s="16" t="s">
        <v>34</v>
      </c>
      <c r="D61" s="16" t="s">
        <v>34</v>
      </c>
      <c r="E61" s="16" t="s">
        <v>34</v>
      </c>
      <c r="F61" s="16" t="s">
        <v>34</v>
      </c>
      <c r="G61" s="16">
        <f>IF(OR(ISBLANK(G60),ISBLANK(B60)),"n/a",IFERROR(G60/B60-1,"n/a"))</f>
        <v>-0.001506024096385561</v>
      </c>
      <c r="H61" s="16">
        <f>IF(OR(ISBLANK(H60),ISBLANK(C60)),"n/a",IFERROR(H60/C60-1,"n/a"))</f>
        <v>-0.17361111111111116</v>
      </c>
      <c r="I61" s="46">
        <v>0</v>
      </c>
      <c r="J61" s="6"/>
      <c r="K61" s="6"/>
    </row>
    <row r="62">
      <c r="A62" s="4" t="s">
        <v>153</v>
      </c>
      <c r="B62" s="7" t="s">
        <v>34</v>
      </c>
      <c r="C62" s="7">
        <f>IF(OR(ISBLANK(C60),ISBLANK(B60)),"n/a",IFERROR(C60-B60,"n/a"))</f>
        <v>456</v>
      </c>
      <c r="D62" s="7">
        <f>IF(OR(ISBLANK(D60),ISBLANK(C60)),"n/a",IFERROR(D60-C60,"n/a"))</f>
        <v>257</v>
      </c>
      <c r="E62" s="7">
        <f>IF(OR(ISBLANK(E60),ISBLANK(D60)),"n/a",IFERROR(E60-D60,"n/a"))</f>
        <v>-703</v>
      </c>
      <c r="F62" s="7" t="s">
        <v>34</v>
      </c>
      <c r="G62" s="7">
        <f>IF(OR(ISBLANK(G60),ISBLANK(E60)),"n/a",IFERROR(G60-E60,"n/a"))</f>
        <v>-13</v>
      </c>
      <c r="H62" s="7">
        <f>IF(OR(ISBLANK(H60),ISBLANK(G60)),"n/a",IFERROR(H60-G60,"n/a"))</f>
        <v>34</v>
      </c>
      <c r="I62" s="10">
        <f>IF(OR(ISBLANK(I60),ISBLANK(H60)),"n/a",IFERROR(I60-H60,"n/a"))</f>
        <v>682</v>
      </c>
      <c r="J62" s="6"/>
      <c r="K62" s="6"/>
    </row>
    <row r="63">
      <c r="A63" s="4" t="s">
        <v>178</v>
      </c>
      <c r="B63" s="1">
        <v>1156</v>
      </c>
      <c r="C63" s="1">
        <v>961</v>
      </c>
      <c r="D63" s="1">
        <v>722</v>
      </c>
      <c r="E63" s="1">
        <v>828</v>
      </c>
      <c r="F63" s="7">
        <f>SUM(B63:E63)</f>
        <v>3667</v>
      </c>
      <c r="G63" s="7">
        <f>H171-H63</f>
        <v>1370</v>
      </c>
      <c r="H63" s="1">
        <v>779</v>
      </c>
      <c r="I63" s="10">
        <f>D63</f>
        <v>722</v>
      </c>
      <c r="J63" s="6" t="s">
        <v>179</v>
      </c>
      <c r="K63" s="6"/>
    </row>
    <row r="64">
      <c r="A64" s="17" t="s">
        <v>152</v>
      </c>
      <c r="B64" s="16" t="s">
        <v>34</v>
      </c>
      <c r="C64" s="16" t="s">
        <v>34</v>
      </c>
      <c r="D64" s="16" t="s">
        <v>34</v>
      </c>
      <c r="E64" s="16" t="s">
        <v>34</v>
      </c>
      <c r="F64" s="16" t="s">
        <v>34</v>
      </c>
      <c r="G64" s="16">
        <f>IF(OR(ISBLANK(G63),ISBLANK(B63)),"n/a",IFERROR(G63/B63-1,"n/a"))</f>
        <v>0.18512110726643605</v>
      </c>
      <c r="H64" s="16">
        <f>IF(OR(ISBLANK(H63),ISBLANK(C63)),"n/a",IFERROR(H63/C63-1,"n/a"))</f>
        <v>-0.1893860561914672</v>
      </c>
      <c r="I64" s="15">
        <f>IF(OR(ISBLANK(I63),ISBLANK(D63)),"n/a",IFERROR(I63/D63-1,"n/a"))</f>
        <v>0</v>
      </c>
      <c r="J64" s="6"/>
      <c r="K64" s="6"/>
    </row>
    <row r="65">
      <c r="A65" s="4" t="s">
        <v>153</v>
      </c>
      <c r="B65" s="7" t="s">
        <v>34</v>
      </c>
      <c r="C65" s="7">
        <f>IF(OR(ISBLANK(C63),ISBLANK(B63)),"n/a",IFERROR(C63-B63,"n/a"))</f>
        <v>-195</v>
      </c>
      <c r="D65" s="7">
        <f>IF(OR(ISBLANK(D63),ISBLANK(C63)),"n/a",IFERROR(D63-C63,"n/a"))</f>
        <v>-239</v>
      </c>
      <c r="E65" s="7">
        <f>IF(OR(ISBLANK(E63),ISBLANK(D63)),"n/a",IFERROR(E63-D63,"n/a"))</f>
        <v>106</v>
      </c>
      <c r="F65" s="7" t="s">
        <v>34</v>
      </c>
      <c r="G65" s="7">
        <f>IF(OR(ISBLANK(G63),ISBLANK(E63)),"n/a",IFERROR(G63-E63,"n/a"))</f>
        <v>542</v>
      </c>
      <c r="H65" s="7">
        <f>IF(OR(ISBLANK(H63),ISBLANK(G63)),"n/a",IFERROR(H63-G63,"n/a"))</f>
        <v>-591</v>
      </c>
      <c r="I65" s="10">
        <f>IF(OR(ISBLANK(I63),ISBLANK(H63)),"n/a",IFERROR(I63-H63,"n/a"))</f>
        <v>-57</v>
      </c>
      <c r="J65" s="6"/>
      <c r="K65" s="6"/>
    </row>
    <row r="66">
      <c r="A66" s="27" t="s">
        <v>180</v>
      </c>
      <c r="B66" s="5">
        <f>B57+B60+B63</f>
        <v>30189</v>
      </c>
      <c r="C66" s="5">
        <f>C57+C60+C63</f>
        <v>38343</v>
      </c>
      <c r="D66" s="5">
        <f>D57+D60+D63</f>
        <v>41925</v>
      </c>
      <c r="E66" s="5">
        <f>E57+E60+E63</f>
        <v>32341</v>
      </c>
      <c r="F66" s="5">
        <f>F57+F60+F63</f>
        <v>142798</v>
      </c>
      <c r="G66" s="5">
        <f>G57+G60+G63</f>
        <v>31317</v>
      </c>
      <c r="H66" s="5">
        <f>H57+H60+H63</f>
        <v>37869</v>
      </c>
      <c r="I66" s="2">
        <f>I57+I60+I63</f>
        <v>42787.425</v>
      </c>
      <c r="J66" s="6" t="s">
        <v>181</v>
      </c>
      <c r="K66" s="6"/>
    </row>
    <row r="67">
      <c r="A67" s="17" t="s">
        <v>102</v>
      </c>
      <c r="B67" s="16" t="s">
        <v>34</v>
      </c>
      <c r="C67" s="16" t="s">
        <v>34</v>
      </c>
      <c r="D67" s="16" t="s">
        <v>34</v>
      </c>
      <c r="E67" s="16" t="s">
        <v>34</v>
      </c>
      <c r="F67" s="16" t="s">
        <v>34</v>
      </c>
      <c r="G67" s="16">
        <f>IF(OR(ISBLANK(G66),ISBLANK(B66)),"n/a",IFERROR(G66/B66-1,"n/a"))</f>
        <v>0.03736460300109301</v>
      </c>
      <c r="H67" s="16">
        <f>IF(OR(ISBLANK(H66),ISBLANK(C66)),"n/a",IFERROR(H66/C66-1,"n/a"))</f>
        <v>-0.012362099992175857</v>
      </c>
      <c r="I67" s="15">
        <f>IF(OR(ISBLANK(I66),ISBLANK(D66)),"n/a",IFERROR(I66/D66-1,"n/a"))</f>
        <v>0.020570661896243347</v>
      </c>
      <c r="J67" s="6"/>
      <c r="K67" s="6"/>
    </row>
    <row r="68">
      <c r="A68" s="4" t="s">
        <v>159</v>
      </c>
      <c r="B68" s="7" t="s">
        <v>34</v>
      </c>
      <c r="C68" s="7">
        <f>IF(OR(ISBLANK(C66),ISBLANK(B66)),"n/a",IFERROR(C66-B66,"n/a"))</f>
        <v>8154</v>
      </c>
      <c r="D68" s="7">
        <f>IF(OR(ISBLANK(D66),ISBLANK(C66)),"n/a",IFERROR(D66-C66,"n/a"))</f>
        <v>3582</v>
      </c>
      <c r="E68" s="7">
        <f>IF(OR(ISBLANK(E66),ISBLANK(D66)),"n/a",IFERROR(E66-D66,"n/a"))</f>
        <v>-9584</v>
      </c>
      <c r="F68" s="7" t="s">
        <v>34</v>
      </c>
      <c r="G68" s="7">
        <f>IF(OR(ISBLANK(G66),ISBLANK(E66)),"n/a",IFERROR(G66-E66,"n/a"))</f>
        <v>-1024</v>
      </c>
      <c r="H68" s="7">
        <f>IF(OR(ISBLANK(H66),ISBLANK(G66)),"n/a",IFERROR(H66-G66,"n/a"))</f>
        <v>6552</v>
      </c>
      <c r="I68" s="10">
        <f>IF(OR(ISBLANK(I66),ISBLANK(H66)),"n/a",IFERROR(I66-H66,"n/a"))</f>
        <v>4918.425000000003</v>
      </c>
      <c r="J68" s="6"/>
      <c r="K68" s="6"/>
    </row>
    <row r="69">
      <c r="A69" s="4" t="s">
        <v>182</v>
      </c>
      <c r="B69" s="47">
        <f>B39/B19</f>
        <v>2.67814371257485</v>
      </c>
      <c r="C69" s="47">
        <f>C39/C19</f>
        <v>3.3957169459962757</v>
      </c>
      <c r="D69" s="47">
        <f>D39/D19</f>
        <v>4.145744483589839</v>
      </c>
      <c r="E69" s="47">
        <f>E39/E19</f>
        <v>2.959511924570161</v>
      </c>
      <c r="F69" s="47">
        <f>F39/F19</f>
        <v>13.18085501858736</v>
      </c>
      <c r="G69" s="47">
        <f>G39/G19</f>
        <v>2.814617083946981</v>
      </c>
      <c r="H69" s="47">
        <f>H39/H19</f>
        <v>3.338591342626559</v>
      </c>
      <c r="I69" s="59">
        <f>I39/I19</f>
        <v>4.2125624667006365</v>
      </c>
      <c r="J69" s="6"/>
      <c r="K69" s="6"/>
    </row>
    <row r="70">
      <c r="A70" s="17" t="s">
        <v>152</v>
      </c>
      <c r="B70" s="16" t="s">
        <v>34</v>
      </c>
      <c r="C70" s="16" t="s">
        <v>34</v>
      </c>
      <c r="D70" s="16" t="s">
        <v>34</v>
      </c>
      <c r="E70" s="16" t="s">
        <v>34</v>
      </c>
      <c r="F70" s="16" t="s">
        <v>34</v>
      </c>
      <c r="G70" s="16">
        <f>IF(OR(ISBLANK(G69),ISBLANK(B69)),"n/a",IFERROR(G69/B69-1,"n/a"))</f>
        <v>0.05095819568283022</v>
      </c>
      <c r="H70" s="16">
        <f>IF(OR(ISBLANK(H69),ISBLANK(C69)),"n/a",IFERROR(H69/C69-1,"n/a"))</f>
        <v>-0.016822840147813434</v>
      </c>
      <c r="I70" s="15">
        <f>IF(OR(ISBLANK(I69),ISBLANK(D69)),"n/a",IFERROR(I69/D69-1,"n/a"))</f>
        <v>0.01611724585904506</v>
      </c>
      <c r="J70" s="6"/>
      <c r="K70" s="6"/>
    </row>
    <row r="71">
      <c r="A71" s="4" t="s">
        <v>153</v>
      </c>
      <c r="B71" s="47" t="s">
        <v>34</v>
      </c>
      <c r="C71" s="47">
        <f>IF(OR(ISBLANK(C69),ISBLANK(B69)),"n/a",IFERROR(C69-B69,"n/a"))</f>
        <v>0.7175732334214255</v>
      </c>
      <c r="D71" s="47">
        <f>IF(OR(ISBLANK(D69),ISBLANK(C69)),"n/a",IFERROR(D69-C69,"n/a"))</f>
        <v>0.7500275375935632</v>
      </c>
      <c r="E71" s="47">
        <f>IF(OR(ISBLANK(E69),ISBLANK(D69)),"n/a",IFERROR(E69-D69,"n/a"))</f>
        <v>-1.186232559019678</v>
      </c>
      <c r="F71" s="47" t="s">
        <v>34</v>
      </c>
      <c r="G71" s="47">
        <f>IF(OR(ISBLANK(G69),ISBLANK(E69)),"n/a",IFERROR(G69-E69,"n/a"))</f>
        <v>-0.1448948406231798</v>
      </c>
      <c r="H71" s="47">
        <f>IF(OR(ISBLANK(H69),ISBLANK(G69)),"n/a",IFERROR(H69-G69,"n/a"))</f>
        <v>0.5239742586795781</v>
      </c>
      <c r="I71" s="59">
        <f>IF(OR(ISBLANK(I69),ISBLANK(H69)),"n/a",IFERROR(I69-H69,"n/a"))</f>
        <v>0.8739711240740773</v>
      </c>
      <c r="J71" s="6"/>
      <c r="K71" s="6"/>
    </row>
    <row r="72">
      <c r="A72" s="4" t="s">
        <v>183</v>
      </c>
      <c r="B72" s="1">
        <v>121</v>
      </c>
      <c r="C72" s="1">
        <v>709</v>
      </c>
      <c r="D72" s="1">
        <v>977</v>
      </c>
      <c r="E72" s="1">
        <v>312</v>
      </c>
      <c r="F72" s="7">
        <f>SUM(B72:E72)</f>
        <v>2119</v>
      </c>
      <c r="G72" s="7">
        <f>H180-H72</f>
        <v>138</v>
      </c>
      <c r="H72" s="1">
        <v>704</v>
      </c>
      <c r="I72" s="38">
        <v>1020</v>
      </c>
      <c r="J72" s="6" t="s">
        <v>184</v>
      </c>
      <c r="K72" s="6"/>
    </row>
    <row r="73">
      <c r="A73" s="17" t="s">
        <v>152</v>
      </c>
      <c r="B73" s="16" t="s">
        <v>34</v>
      </c>
      <c r="C73" s="16" t="s">
        <v>34</v>
      </c>
      <c r="D73" s="16" t="s">
        <v>34</v>
      </c>
      <c r="E73" s="16" t="s">
        <v>34</v>
      </c>
      <c r="F73" s="16" t="s">
        <v>34</v>
      </c>
      <c r="G73" s="16">
        <f>IF(OR(ISBLANK(G72),ISBLANK(B72)),"n/a",IFERROR(G72/B72-1,"n/a"))</f>
        <v>0.14049586776859502</v>
      </c>
      <c r="H73" s="16">
        <f>IF(OR(ISBLANK(H72),ISBLANK(C72)),"n/a",IFERROR(H72/C72-1,"n/a"))</f>
        <v>-0.007052186177715081</v>
      </c>
      <c r="I73" s="15">
        <f>IF(OR(ISBLANK(I72),ISBLANK(D72)),"n/a",IFERROR(I72/D72-1,"n/a"))</f>
        <v>0.04401228249744116</v>
      </c>
      <c r="J73" s="6"/>
      <c r="K73" s="6"/>
    </row>
    <row r="74">
      <c r="A74" s="4" t="s">
        <v>153</v>
      </c>
      <c r="B74" s="7" t="s">
        <v>34</v>
      </c>
      <c r="C74" s="7">
        <f>IF(OR(ISBLANK(C72),ISBLANK(B72)),"n/a",IFERROR(C72-B72,"n/a"))</f>
        <v>588</v>
      </c>
      <c r="D74" s="7">
        <f>IF(OR(ISBLANK(D72),ISBLANK(C72)),"n/a",IFERROR(D72-C72,"n/a"))</f>
        <v>268</v>
      </c>
      <c r="E74" s="7">
        <f>IF(OR(ISBLANK(E72),ISBLANK(D72)),"n/a",IFERROR(E72-D72,"n/a"))</f>
        <v>-665</v>
      </c>
      <c r="F74" s="7" t="s">
        <v>34</v>
      </c>
      <c r="G74" s="7">
        <f>IF(OR(ISBLANK(G72),ISBLANK(E72)),"n/a",IFERROR(G72-E72,"n/a"))</f>
        <v>-174</v>
      </c>
      <c r="H74" s="7">
        <f>IF(OR(ISBLANK(H72),ISBLANK(G72)),"n/a",IFERROR(H72-G72,"n/a"))</f>
        <v>566</v>
      </c>
      <c r="I74" s="10">
        <f>IF(OR(ISBLANK(I72),ISBLANK(H72)),"n/a",IFERROR(I72-H72,"n/a"))</f>
        <v>316</v>
      </c>
      <c r="J74" s="6"/>
      <c r="K74" s="6"/>
    </row>
    <row r="75">
      <c r="A75" s="4" t="s">
        <v>185</v>
      </c>
      <c r="B75" s="1">
        <v>129</v>
      </c>
      <c r="C75" s="1">
        <v>650</v>
      </c>
      <c r="D75" s="1">
        <v>979</v>
      </c>
      <c r="E75" s="1">
        <v>323</v>
      </c>
      <c r="F75" s="7">
        <f>SUM(B75:E75)</f>
        <v>2081</v>
      </c>
      <c r="G75" s="7">
        <f>H181-H75</f>
        <v>136</v>
      </c>
      <c r="H75" s="1">
        <v>650</v>
      </c>
      <c r="I75" s="10">
        <f>D75</f>
        <v>979</v>
      </c>
      <c r="J75" s="6" t="s">
        <v>177</v>
      </c>
      <c r="K75" s="6"/>
    </row>
    <row r="76">
      <c r="A76" s="4" t="s">
        <v>173</v>
      </c>
      <c r="B76" s="7" t="s">
        <v>34</v>
      </c>
      <c r="C76" s="7" t="s">
        <v>34</v>
      </c>
      <c r="D76" s="7" t="s">
        <v>34</v>
      </c>
      <c r="E76" s="7" t="s">
        <v>34</v>
      </c>
      <c r="F76" s="7" t="s">
        <v>34</v>
      </c>
      <c r="G76" s="7">
        <f>IF(OR(ISBLANK(G75),ISBLANK(B75)),"n/a",IFERROR(G75-B75,"n/a"))</f>
        <v>7</v>
      </c>
      <c r="H76" s="7">
        <f>IF(OR(ISBLANK(H75),ISBLANK(C75)),"n/a",IFERROR(H75-C75,"n/a"))</f>
        <v>0</v>
      </c>
      <c r="I76" s="10">
        <f>IF(OR(ISBLANK(I75),ISBLANK(D75)),"n/a",IFERROR(I75-D75,"n/a"))</f>
        <v>0</v>
      </c>
      <c r="J76" s="6"/>
      <c r="K76" s="6"/>
    </row>
    <row r="77">
      <c r="A77" s="4" t="s">
        <v>153</v>
      </c>
      <c r="B77" s="7" t="s">
        <v>34</v>
      </c>
      <c r="C77" s="7">
        <f>IF(OR(ISBLANK(C75),ISBLANK(B75)),"n/a",IFERROR(C75-B75,"n/a"))</f>
        <v>521</v>
      </c>
      <c r="D77" s="7">
        <f>IF(OR(ISBLANK(D75),ISBLANK(C75)),"n/a",IFERROR(D75-C75,"n/a"))</f>
        <v>329</v>
      </c>
      <c r="E77" s="7">
        <f>IF(OR(ISBLANK(E75),ISBLANK(D75)),"n/a",IFERROR(E75-D75,"n/a"))</f>
        <v>-656</v>
      </c>
      <c r="F77" s="7" t="s">
        <v>34</v>
      </c>
      <c r="G77" s="7">
        <f>IF(OR(ISBLANK(G75),ISBLANK(E75)),"n/a",IFERROR(G75-E75,"n/a"))</f>
        <v>-187</v>
      </c>
      <c r="H77" s="7">
        <f>IF(OR(ISBLANK(H75),ISBLANK(G75)),"n/a",IFERROR(H75-G75,"n/a"))</f>
        <v>514</v>
      </c>
      <c r="I77" s="10">
        <f>IF(OR(ISBLANK(I75),ISBLANK(H75)),"n/a",IFERROR(I75-H75,"n/a"))</f>
        <v>329</v>
      </c>
      <c r="J77" s="6"/>
      <c r="K77" s="6"/>
    </row>
    <row r="78">
      <c r="A78" s="17" t="s">
        <v>186</v>
      </c>
      <c r="B78" s="16">
        <f>B72/B75-1</f>
        <v>-0.06201550387596899</v>
      </c>
      <c r="C78" s="16">
        <f>C72/C75-1</f>
        <v>0.09076923076923071</v>
      </c>
      <c r="D78" s="16">
        <f>D72/D75-1</f>
        <v>-0.002042900919305368</v>
      </c>
      <c r="E78" s="16">
        <f>E72/E75-1</f>
        <v>-0.034055727554179516</v>
      </c>
      <c r="F78" s="16">
        <f>F72/F75-1</f>
        <v>0.01826045170591062</v>
      </c>
      <c r="G78" s="16">
        <f>G72/G75-1</f>
        <v>0.014705882352941124</v>
      </c>
      <c r="H78" s="16">
        <f>H72/H75-1</f>
        <v>0.08307692307692305</v>
      </c>
      <c r="I78" s="15">
        <f>I72/I75-1</f>
        <v>0.04187946884576088</v>
      </c>
      <c r="J78" s="6"/>
      <c r="K78" s="6"/>
    </row>
    <row r="79">
      <c r="A79" s="4" t="s">
        <v>161</v>
      </c>
      <c r="B79" s="8" t="s">
        <v>34</v>
      </c>
      <c r="C79" s="8" t="s">
        <v>34</v>
      </c>
      <c r="D79" s="8" t="s">
        <v>34</v>
      </c>
      <c r="E79" s="8" t="s">
        <v>34</v>
      </c>
      <c r="F79" s="8" t="s">
        <v>34</v>
      </c>
      <c r="G79" s="8">
        <f>IF(OR(ISBLANK(G78),ISBLANK(B78)),"n/a",IFERROR((G78-B78)*10000,"n/a"))</f>
        <v>767.2138622891011</v>
      </c>
      <c r="H79" s="8">
        <f>IF(OR(ISBLANK(H78),ISBLANK(C78)),"n/a",IFERROR((H78-C78)*10000,"n/a"))</f>
        <v>-76.92307692307665</v>
      </c>
      <c r="I79" s="30">
        <f>IF(OR(ISBLANK(I78),ISBLANK(D78)),"n/a",IFERROR((I78-D78)*10000,"n/a"))</f>
        <v>439.2236976506625</v>
      </c>
      <c r="J79" s="6"/>
      <c r="K79" s="6"/>
    </row>
    <row r="80">
      <c r="A80" s="4" t="s">
        <v>162</v>
      </c>
      <c r="B80" s="8" t="s">
        <v>34</v>
      </c>
      <c r="C80" s="8">
        <f>IF(OR(ISBLANK(C78),ISBLANK(B78)),"n/a",IFERROR((C78-B78)*10000,"n/a"))</f>
        <v>1527.847346451997</v>
      </c>
      <c r="D80" s="8">
        <f>IF(OR(ISBLANK(D78),ISBLANK(C78)),"n/a",IFERROR((D78-C78)*10000,"n/a"))</f>
        <v>-928.1213168853608</v>
      </c>
      <c r="E80" s="8">
        <f>IF(OR(ISBLANK(E78),ISBLANK(D78)),"n/a",IFERROR((E78-D78)*10000,"n/a"))</f>
        <v>-320.1282663487415</v>
      </c>
      <c r="F80" s="8" t="s">
        <v>34</v>
      </c>
      <c r="G80" s="8">
        <f>IF(OR(ISBLANK(G78),ISBLANK(E78)),"n/a",IFERROR((G78-E78)*10000,"n/a"))</f>
        <v>487.6160990712064</v>
      </c>
      <c r="H80" s="8">
        <f>IF(OR(ISBLANK(H78),ISBLANK(G78)),"n/a",IFERROR((H78-G78)*10000,"n/a"))</f>
        <v>683.7104072398192</v>
      </c>
      <c r="I80" s="30">
        <f>IF(OR(ISBLANK(I78),ISBLANK(H78)),"n/a",IFERROR((I78-H78)*10000,"n/a"))</f>
        <v>-411.9745423116217</v>
      </c>
      <c r="J80" s="6"/>
      <c r="K80" s="6"/>
    </row>
    <row r="81">
      <c r="A81" s="3"/>
      <c r="B81" s="3"/>
      <c r="C81" s="3"/>
      <c r="D81" s="3"/>
      <c r="E81" s="3"/>
      <c r="F81" s="3"/>
      <c r="G81" s="3"/>
      <c r="H81" s="3"/>
      <c r="I81" s="11"/>
      <c r="J81" s="6"/>
      <c r="K81" s="6"/>
    </row>
    <row r="82">
      <c r="A82" s="26" t="s">
        <v>187</v>
      </c>
      <c r="B82" s="3"/>
      <c r="C82" s="3"/>
      <c r="D82" s="3"/>
      <c r="E82" s="3"/>
      <c r="F82" s="3"/>
      <c r="G82" s="3"/>
      <c r="H82" s="3"/>
      <c r="I82" s="11"/>
      <c r="J82" s="6"/>
      <c r="K82" s="6"/>
    </row>
    <row r="83">
      <c r="A83" s="4" t="s">
        <v>188</v>
      </c>
      <c r="B83" s="56">
        <v>14.79</v>
      </c>
      <c r="C83" s="56">
        <v>14.66</v>
      </c>
      <c r="D83" s="56">
        <v>14.64</v>
      </c>
      <c r="E83" s="56">
        <v>14.73</v>
      </c>
      <c r="F83" s="56">
        <v>14.7</v>
      </c>
      <c r="G83" s="47">
        <f>(H172*H165-H83*H39)/G39</f>
        <v>15.053337039701749</v>
      </c>
      <c r="H83" s="56">
        <v>14.9</v>
      </c>
      <c r="I83" s="59">
        <f>D83*(1+I84)</f>
        <v>14.7864</v>
      </c>
      <c r="J83" s="6" t="s">
        <v>189</v>
      </c>
      <c r="K83" s="6"/>
    </row>
    <row r="84">
      <c r="A84" s="17" t="s">
        <v>166</v>
      </c>
      <c r="B84" s="16" t="s">
        <v>34</v>
      </c>
      <c r="C84" s="16" t="s">
        <v>34</v>
      </c>
      <c r="D84" s="16" t="s">
        <v>34</v>
      </c>
      <c r="E84" s="16" t="s">
        <v>34</v>
      </c>
      <c r="F84" s="16" t="s">
        <v>34</v>
      </c>
      <c r="G84" s="16">
        <f>IF(OR(ISBLANK(G83),ISBLANK(B83)),"n/a",IFERROR(G83/B83-1,"n/a"))</f>
        <v>0.017805073678279104</v>
      </c>
      <c r="H84" s="16">
        <f>IF(OR(ISBLANK(H83),ISBLANK(C83)),"n/a",IFERROR(H83/C83-1,"n/a"))</f>
        <v>0.016371077762619368</v>
      </c>
      <c r="I84" s="46">
        <v>0.01</v>
      </c>
      <c r="J84" s="6"/>
      <c r="K84" s="6"/>
    </row>
    <row r="85">
      <c r="A85" s="4" t="s">
        <v>190</v>
      </c>
      <c r="B85" s="47" t="s">
        <v>34</v>
      </c>
      <c r="C85" s="47" t="s">
        <v>34</v>
      </c>
      <c r="D85" s="47" t="s">
        <v>34</v>
      </c>
      <c r="E85" s="47" t="s">
        <v>34</v>
      </c>
      <c r="F85" s="47" t="s">
        <v>34</v>
      </c>
      <c r="G85" s="47">
        <f>IF(OR(ISBLANK(G83),ISBLANK(B83)),"n/a",IFERROR(G83-B83,"n/a"))</f>
        <v>0.2633370397017494</v>
      </c>
      <c r="H85" s="47">
        <f>IF(OR(ISBLANK(H83),ISBLANK(C83)),"n/a",IFERROR(H83-C83,"n/a"))</f>
        <v>0.2400000000000002</v>
      </c>
      <c r="I85" s="59">
        <f>IF(OR(ISBLANK(I83),ISBLANK(D83)),"n/a",IFERROR(I83-D83,"n/a"))</f>
        <v>0.14639999999999986</v>
      </c>
      <c r="J85" s="6"/>
      <c r="K85" s="6"/>
    </row>
    <row r="86">
      <c r="A86" s="4" t="s">
        <v>191</v>
      </c>
      <c r="B86" s="47" t="s">
        <v>34</v>
      </c>
      <c r="C86" s="47">
        <f>IF(OR(ISBLANK(C83),ISBLANK(B83)),"n/a",IFERROR(C83-B83,"n/a"))</f>
        <v>-0.129999999999999</v>
      </c>
      <c r="D86" s="47">
        <f>IF(OR(ISBLANK(D83),ISBLANK(C83)),"n/a",IFERROR(D83-C83,"n/a"))</f>
        <v>-0.019999999999999574</v>
      </c>
      <c r="E86" s="47">
        <f>IF(OR(ISBLANK(E83),ISBLANK(D83)),"n/a",IFERROR(E83-D83,"n/a"))</f>
        <v>0.08999999999999986</v>
      </c>
      <c r="F86" s="47" t="s">
        <v>34</v>
      </c>
      <c r="G86" s="47">
        <f>IF(OR(ISBLANK(G83),ISBLANK(E83)),"n/a",IFERROR(G83-E83,"n/a"))</f>
        <v>0.3233370397017481</v>
      </c>
      <c r="H86" s="47">
        <f>IF(OR(ISBLANK(H83),ISBLANK(G83)),"n/a",IFERROR(H83-G83,"n/a"))</f>
        <v>-0.15333703970174817</v>
      </c>
      <c r="I86" s="59">
        <f>IF(OR(ISBLANK(I83),ISBLANK(H83)),"n/a",IFERROR(I83-H83,"n/a"))</f>
        <v>-0.11359999999999992</v>
      </c>
      <c r="J86" s="6"/>
      <c r="K86" s="6"/>
    </row>
    <row r="87">
      <c r="A87" s="4" t="s">
        <v>192</v>
      </c>
      <c r="B87" s="56">
        <v>11.22</v>
      </c>
      <c r="C87" s="56">
        <v>10.78</v>
      </c>
      <c r="D87" s="56">
        <v>10.6</v>
      </c>
      <c r="E87" s="56">
        <v>10.97</v>
      </c>
      <c r="F87" s="56">
        <v>10.87</v>
      </c>
      <c r="G87" s="47">
        <f>(H173*H166-H87*H42)/G42</f>
        <v>11.82660633861551</v>
      </c>
      <c r="H87" s="56">
        <v>11.42</v>
      </c>
      <c r="I87" s="59">
        <f>D87*(1+I88)</f>
        <v>10.706</v>
      </c>
      <c r="J87" s="6" t="s">
        <v>189</v>
      </c>
      <c r="K87" s="6"/>
    </row>
    <row r="88">
      <c r="A88" s="17" t="s">
        <v>166</v>
      </c>
      <c r="B88" s="16" t="s">
        <v>34</v>
      </c>
      <c r="C88" s="16" t="s">
        <v>34</v>
      </c>
      <c r="D88" s="16" t="s">
        <v>34</v>
      </c>
      <c r="E88" s="16" t="s">
        <v>34</v>
      </c>
      <c r="F88" s="16" t="s">
        <v>34</v>
      </c>
      <c r="G88" s="16">
        <f>IF(OR(ISBLANK(G87),ISBLANK(B87)),"n/a",IFERROR(G87/B87-1,"n/a"))</f>
        <v>0.05406473606198836</v>
      </c>
      <c r="H88" s="16">
        <f>IF(OR(ISBLANK(H87),ISBLANK(C87)),"n/a",IFERROR(H87/C87-1,"n/a"))</f>
        <v>0.05936920222634523</v>
      </c>
      <c r="I88" s="46">
        <v>0.01</v>
      </c>
      <c r="J88" s="6"/>
      <c r="K88" s="6"/>
    </row>
    <row r="89">
      <c r="A89" s="4" t="s">
        <v>190</v>
      </c>
      <c r="B89" s="47" t="s">
        <v>34</v>
      </c>
      <c r="C89" s="47" t="s">
        <v>34</v>
      </c>
      <c r="D89" s="47" t="s">
        <v>34</v>
      </c>
      <c r="E89" s="47" t="s">
        <v>34</v>
      </c>
      <c r="F89" s="47" t="s">
        <v>34</v>
      </c>
      <c r="G89" s="47">
        <f>IF(OR(ISBLANK(G87),ISBLANK(B87)),"n/a",IFERROR(G87-B87,"n/a"))</f>
        <v>0.60660633861551</v>
      </c>
      <c r="H89" s="47">
        <f>IF(OR(ISBLANK(H87),ISBLANK(C87)),"n/a",IFERROR(H87-C87,"n/a"))</f>
        <v>0.6400000000000006</v>
      </c>
      <c r="I89" s="59">
        <f>IF(OR(ISBLANK(I87),ISBLANK(D87)),"n/a",IFERROR(I87-D87,"n/a"))</f>
        <v>0.10599999999999987</v>
      </c>
      <c r="J89" s="6"/>
      <c r="K89" s="6"/>
    </row>
    <row r="90">
      <c r="A90" s="4" t="s">
        <v>191</v>
      </c>
      <c r="B90" s="47" t="s">
        <v>34</v>
      </c>
      <c r="C90" s="47">
        <f>IF(OR(ISBLANK(C87),ISBLANK(B87)),"n/a",IFERROR(C87-B87,"n/a"))</f>
        <v>-0.4400000000000013</v>
      </c>
      <c r="D90" s="47">
        <f>IF(OR(ISBLANK(D87),ISBLANK(C87)),"n/a",IFERROR(D87-C87,"n/a"))</f>
        <v>-0.17999999999999972</v>
      </c>
      <c r="E90" s="47">
        <f>IF(OR(ISBLANK(E87),ISBLANK(D87)),"n/a",IFERROR(E87-D87,"n/a"))</f>
        <v>0.370000000000001</v>
      </c>
      <c r="F90" s="47" t="s">
        <v>34</v>
      </c>
      <c r="G90" s="47">
        <f>IF(OR(ISBLANK(G87),ISBLANK(E87)),"n/a",IFERROR(G87-E87,"n/a"))</f>
        <v>0.85660633861551</v>
      </c>
      <c r="H90" s="47">
        <f>IF(OR(ISBLANK(H87),ISBLANK(G87)),"n/a",IFERROR(H87-G87,"n/a"))</f>
        <v>-0.40660633861551077</v>
      </c>
      <c r="I90" s="59">
        <f>IF(OR(ISBLANK(I87),ISBLANK(H87)),"n/a",IFERROR(I87-H87,"n/a"))</f>
        <v>-0.7140000000000004</v>
      </c>
      <c r="J90" s="6"/>
      <c r="K90" s="6"/>
    </row>
    <row r="91">
      <c r="A91" s="4" t="s">
        <v>193</v>
      </c>
      <c r="B91" s="56">
        <v>8.01</v>
      </c>
      <c r="C91" s="56">
        <v>7.58</v>
      </c>
      <c r="D91" s="56">
        <v>7.52</v>
      </c>
      <c r="E91" s="56">
        <v>7.82</v>
      </c>
      <c r="F91" s="56">
        <v>7.72</v>
      </c>
      <c r="G91" s="47">
        <f>(H174*H167-H91*H45)/G45</f>
        <v>8.242320441988952</v>
      </c>
      <c r="H91" s="56">
        <v>8.12</v>
      </c>
      <c r="I91" s="59">
        <f>D91*(1+I92)</f>
        <v>7.595199999999999</v>
      </c>
      <c r="J91" s="6" t="s">
        <v>189</v>
      </c>
      <c r="K91" s="6"/>
    </row>
    <row r="92">
      <c r="A92" s="17" t="s">
        <v>166</v>
      </c>
      <c r="B92" s="16" t="s">
        <v>34</v>
      </c>
      <c r="C92" s="16" t="s">
        <v>34</v>
      </c>
      <c r="D92" s="16" t="s">
        <v>34</v>
      </c>
      <c r="E92" s="16" t="s">
        <v>34</v>
      </c>
      <c r="F92" s="16" t="s">
        <v>34</v>
      </c>
      <c r="G92" s="16">
        <f>IF(OR(ISBLANK(G91),ISBLANK(B91)),"n/a",IFERROR(G91/B91-1,"n/a"))</f>
        <v>0.029003800497996446</v>
      </c>
      <c r="H92" s="16">
        <f>IF(OR(ISBLANK(H91),ISBLANK(C91)),"n/a",IFERROR(H91/C91-1,"n/a"))</f>
        <v>0.07124010554089688</v>
      </c>
      <c r="I92" s="46">
        <v>0.01</v>
      </c>
      <c r="J92" s="6"/>
      <c r="K92" s="6"/>
    </row>
    <row r="93">
      <c r="A93" s="4" t="s">
        <v>190</v>
      </c>
      <c r="B93" s="47" t="s">
        <v>34</v>
      </c>
      <c r="C93" s="47" t="s">
        <v>34</v>
      </c>
      <c r="D93" s="47" t="s">
        <v>34</v>
      </c>
      <c r="E93" s="47" t="s">
        <v>34</v>
      </c>
      <c r="F93" s="47" t="s">
        <v>34</v>
      </c>
      <c r="G93" s="47">
        <f>IF(OR(ISBLANK(G91),ISBLANK(B91)),"n/a",IFERROR(G91-B91,"n/a"))</f>
        <v>0.23232044198895174</v>
      </c>
      <c r="H93" s="47">
        <f>IF(OR(ISBLANK(H91),ISBLANK(C91)),"n/a",IFERROR(H91-C91,"n/a"))</f>
        <v>0.5399999999999991</v>
      </c>
      <c r="I93" s="59">
        <f>IF(OR(ISBLANK(I91),ISBLANK(D91)),"n/a",IFERROR(I91-D91,"n/a"))</f>
        <v>0.07519999999999971</v>
      </c>
      <c r="J93" s="6"/>
      <c r="K93" s="6"/>
    </row>
    <row r="94">
      <c r="A94" s="4" t="s">
        <v>191</v>
      </c>
      <c r="B94" s="47" t="s">
        <v>34</v>
      </c>
      <c r="C94" s="47">
        <f>IF(OR(ISBLANK(C91),ISBLANK(B91)),"n/a",IFERROR(C91-B91,"n/a"))</f>
        <v>-0.4299999999999997</v>
      </c>
      <c r="D94" s="47">
        <f>IF(OR(ISBLANK(D91),ISBLANK(C91)),"n/a",IFERROR(D91-C91,"n/a"))</f>
        <v>-0.0600000000000005</v>
      </c>
      <c r="E94" s="47">
        <f>IF(OR(ISBLANK(E91),ISBLANK(D91)),"n/a",IFERROR(E91-D91,"n/a"))</f>
        <v>0.3000000000000007</v>
      </c>
      <c r="F94" s="47" t="s">
        <v>34</v>
      </c>
      <c r="G94" s="47">
        <f>IF(OR(ISBLANK(G91),ISBLANK(E91)),"n/a",IFERROR(G91-E91,"n/a"))</f>
        <v>0.42232044198895125</v>
      </c>
      <c r="H94" s="47">
        <f>IF(OR(ISBLANK(H91),ISBLANK(G91)),"n/a",IFERROR(H91-G91,"n/a"))</f>
        <v>-0.12232044198895231</v>
      </c>
      <c r="I94" s="59">
        <f>IF(OR(ISBLANK(I91),ISBLANK(H91)),"n/a",IFERROR(I91-H91,"n/a"))</f>
        <v>-0.5247999999999999</v>
      </c>
      <c r="J94" s="6"/>
      <c r="K94" s="6"/>
    </row>
    <row r="95">
      <c r="A95" s="3"/>
      <c r="B95" s="3"/>
      <c r="C95" s="3"/>
      <c r="D95" s="3"/>
      <c r="E95" s="3"/>
      <c r="F95" s="3"/>
      <c r="G95" s="3"/>
      <c r="H95" s="3"/>
      <c r="I95" s="11"/>
      <c r="J95" s="6"/>
      <c r="K95" s="6"/>
    </row>
    <row r="96">
      <c r="A96" s="26" t="s">
        <v>194</v>
      </c>
      <c r="B96" s="3"/>
      <c r="C96" s="3"/>
      <c r="D96" s="3"/>
      <c r="E96" s="3"/>
      <c r="F96" s="3"/>
      <c r="G96" s="3"/>
      <c r="H96" s="3"/>
      <c r="I96" s="11"/>
      <c r="J96" s="6"/>
      <c r="K96" s="6"/>
    </row>
    <row r="97">
      <c r="A97" s="4" t="s">
        <v>195</v>
      </c>
      <c r="B97" s="7">
        <f>B39*B83/100</f>
        <v>2116.7448</v>
      </c>
      <c r="C97" s="7">
        <f>C39*C83/100</f>
        <v>2673.2509999999997</v>
      </c>
      <c r="D97" s="7">
        <f>D39*D83/100</f>
        <v>3273.2111999999997</v>
      </c>
      <c r="E97" s="7">
        <f>E39*E83/100</f>
        <v>2357.9784</v>
      </c>
      <c r="F97" s="7">
        <f>SUM(B97:E97)</f>
        <v>10421.185399999998</v>
      </c>
      <c r="G97" s="7">
        <f>G39*G83/100</f>
        <v>2301.5047000000004</v>
      </c>
      <c r="H97" s="7">
        <f>H39*H83/100</f>
        <v>2712.098</v>
      </c>
      <c r="I97" s="10">
        <f>I39*I83/100</f>
        <v>3405.1216113600003</v>
      </c>
      <c r="J97" s="6"/>
      <c r="K97" s="6"/>
    </row>
    <row r="98">
      <c r="A98" s="17" t="s">
        <v>152</v>
      </c>
      <c r="B98" s="16" t="s">
        <v>34</v>
      </c>
      <c r="C98" s="16" t="s">
        <v>34</v>
      </c>
      <c r="D98" s="16" t="s">
        <v>34</v>
      </c>
      <c r="E98" s="16" t="s">
        <v>34</v>
      </c>
      <c r="F98" s="16" t="s">
        <v>34</v>
      </c>
      <c r="G98" s="16">
        <f>IF(OR(ISBLANK(G97),ISBLANK(B97)),"n/a",IFERROR(G97/B97-1,"n/a"))</f>
        <v>0.08728491975036401</v>
      </c>
      <c r="H98" s="16">
        <f>IF(OR(ISBLANK(H97),ISBLANK(C97)),"n/a",IFERROR(H97/C97-1,"n/a"))</f>
        <v>0.014531744306838457</v>
      </c>
      <c r="I98" s="15">
        <f>IF(OR(ISBLANK(I97),ISBLANK(D97)),"n/a",IFERROR(I97/D97-1,"n/a"))</f>
        <v>0.040300000000000225</v>
      </c>
      <c r="J98" s="6"/>
      <c r="K98" s="6"/>
    </row>
    <row r="99">
      <c r="A99" s="17" t="s">
        <v>196</v>
      </c>
      <c r="B99" s="16" t="s">
        <v>34</v>
      </c>
      <c r="C99" s="16">
        <f>IF(OR(ISBLANK(C97),ISBLANK(B97)),"n/a",IFERROR(C97/B97-1,"n/a"))</f>
        <v>0.2629066101874915</v>
      </c>
      <c r="D99" s="16">
        <f>IF(OR(ISBLANK(D97),ISBLANK(C97)),"n/a",IFERROR(D97/C97-1,"n/a"))</f>
        <v>0.2244309269874023</v>
      </c>
      <c r="E99" s="16">
        <f>IF(OR(ISBLANK(E97),ISBLANK(D97)),"n/a",IFERROR(E97/D97-1,"n/a"))</f>
        <v>-0.2796131212064775</v>
      </c>
      <c r="F99" s="16" t="s">
        <v>34</v>
      </c>
      <c r="G99" s="16">
        <f>IF(OR(ISBLANK(G97),ISBLANK(E97)),"n/a",IFERROR(G97/E97-1,"n/a"))</f>
        <v>-0.023950049754484448</v>
      </c>
      <c r="H99" s="16">
        <f>IF(OR(ISBLANK(H97),ISBLANK(G97)),"n/a",IFERROR(H97/G97-1,"n/a"))</f>
        <v>0.17840211232242953</v>
      </c>
      <c r="I99" s="15">
        <f>IF(OR(ISBLANK(I97),ISBLANK(H97)),"n/a",IFERROR(I97/H97-1,"n/a"))</f>
        <v>0.25553044593521346</v>
      </c>
      <c r="J99" s="6"/>
      <c r="K99" s="6"/>
    </row>
    <row r="100">
      <c r="A100" s="4" t="s">
        <v>197</v>
      </c>
      <c r="B100" s="7">
        <f>B42*B87/100</f>
        <v>1302.4176</v>
      </c>
      <c r="C100" s="7">
        <f>C42*C87/100</f>
        <v>1465.6488</v>
      </c>
      <c r="D100" s="7">
        <f>D42*D87/100</f>
        <v>1622.118</v>
      </c>
      <c r="E100" s="7">
        <f>E42*E87/100</f>
        <v>1423.2478</v>
      </c>
      <c r="F100" s="7">
        <f>SUM(B100:E100)</f>
        <v>5813.4322</v>
      </c>
      <c r="G100" s="7">
        <f>G42*G87/100</f>
        <v>1418.0100999999997</v>
      </c>
      <c r="H100" s="7">
        <f>H42*H87/100</f>
        <v>1560.9998</v>
      </c>
      <c r="I100" s="10">
        <f>I42*I87/100</f>
        <v>1662.9142676999995</v>
      </c>
      <c r="J100" s="6"/>
      <c r="K100" s="6"/>
    </row>
    <row r="101">
      <c r="A101" s="17" t="s">
        <v>152</v>
      </c>
      <c r="B101" s="16" t="s">
        <v>34</v>
      </c>
      <c r="C101" s="16" t="s">
        <v>34</v>
      </c>
      <c r="D101" s="16" t="s">
        <v>34</v>
      </c>
      <c r="E101" s="16" t="s">
        <v>34</v>
      </c>
      <c r="F101" s="16" t="s">
        <v>34</v>
      </c>
      <c r="G101" s="16">
        <f>IF(OR(ISBLANK(G100),ISBLANK(B100)),"n/a",IFERROR(G100/B100-1,"n/a"))</f>
        <v>0.08875225580489676</v>
      </c>
      <c r="H101" s="16">
        <f>IF(OR(ISBLANK(H100),ISBLANK(C100)),"n/a",IFERROR(H100/C100-1,"n/a"))</f>
        <v>0.06505719514797814</v>
      </c>
      <c r="I101" s="15">
        <f>IF(OR(ISBLANK(I100),ISBLANK(D100)),"n/a",IFERROR(I100/D100-1,"n/a"))</f>
        <v>0.025149999999999784</v>
      </c>
      <c r="J101" s="6"/>
      <c r="K101" s="6"/>
    </row>
    <row r="102">
      <c r="A102" s="17" t="s">
        <v>196</v>
      </c>
      <c r="B102" s="16" t="s">
        <v>34</v>
      </c>
      <c r="C102" s="16">
        <f>IF(OR(ISBLANK(C100),ISBLANK(B100)),"n/a",IFERROR(C100/B100-1,"n/a"))</f>
        <v>0.1253293874407102</v>
      </c>
      <c r="D102" s="16">
        <f>IF(OR(ISBLANK(D100),ISBLANK(C100)),"n/a",IFERROR(D100/C100-1,"n/a"))</f>
        <v>0.10675763525341142</v>
      </c>
      <c r="E102" s="16">
        <f>IF(OR(ISBLANK(E100),ISBLANK(D100)),"n/a",IFERROR(E100/D100-1,"n/a"))</f>
        <v>-0.12259909575012418</v>
      </c>
      <c r="F102" s="16" t="s">
        <v>34</v>
      </c>
      <c r="G102" s="16">
        <f>IF(OR(ISBLANK(G100),ISBLANK(E100)),"n/a",IFERROR(G100/E100-1,"n/a"))</f>
        <v>-0.0036801040549652164</v>
      </c>
      <c r="H102" s="16">
        <f>IF(OR(ISBLANK(H100),ISBLANK(G100)),"n/a",IFERROR(H100/G100-1,"n/a"))</f>
        <v>0.10083828034793285</v>
      </c>
      <c r="I102" s="15">
        <f>IF(OR(ISBLANK(I100),ISBLANK(H100)),"n/a",IFERROR(I100/H100-1,"n/a"))</f>
        <v>0.06528794411120331</v>
      </c>
      <c r="J102" s="6"/>
      <c r="K102" s="6"/>
    </row>
    <row r="103">
      <c r="A103" s="4" t="s">
        <v>198</v>
      </c>
      <c r="B103" s="7">
        <f>B45*B91/100</f>
        <v>86.5881</v>
      </c>
      <c r="C103" s="7">
        <f>C45*C91/100</f>
        <v>85.9572</v>
      </c>
      <c r="D103" s="7">
        <f>D45*D91/100</f>
        <v>94.9024</v>
      </c>
      <c r="E103" s="7">
        <f>E45*E91/100</f>
        <v>85.78540000000001</v>
      </c>
      <c r="F103" s="7">
        <f>SUM(B103:E103)</f>
        <v>353.23310000000004</v>
      </c>
      <c r="G103" s="7">
        <f>G45*G91/100</f>
        <v>89.51160000000002</v>
      </c>
      <c r="H103" s="7">
        <f>H45*H91/100</f>
        <v>91.59359999999998</v>
      </c>
      <c r="I103" s="10">
        <f>I45*I91/100</f>
        <v>92.97588127999998</v>
      </c>
      <c r="J103" s="6"/>
      <c r="K103" s="6"/>
    </row>
    <row r="104">
      <c r="A104" s="17" t="s">
        <v>152</v>
      </c>
      <c r="B104" s="16" t="s">
        <v>34</v>
      </c>
      <c r="C104" s="16" t="s">
        <v>34</v>
      </c>
      <c r="D104" s="16" t="s">
        <v>34</v>
      </c>
      <c r="E104" s="16" t="s">
        <v>34</v>
      </c>
      <c r="F104" s="16" t="s">
        <v>34</v>
      </c>
      <c r="G104" s="16">
        <f>IF(OR(ISBLANK(G103),ISBLANK(B103)),"n/a",IFERROR(G103/B103-1,"n/a"))</f>
        <v>0.03376330003776529</v>
      </c>
      <c r="H104" s="16">
        <f>IF(OR(ISBLANK(H103),ISBLANK(C103)),"n/a",IFERROR(H103/C103-1,"n/a"))</f>
        <v>0.06557216847454295</v>
      </c>
      <c r="I104" s="15">
        <f>IF(OR(ISBLANK(I103),ISBLANK(D103)),"n/a",IFERROR(I103/D103-1,"n/a"))</f>
        <v>-0.020300000000000207</v>
      </c>
      <c r="J104" s="6"/>
      <c r="K104" s="6"/>
    </row>
    <row r="105">
      <c r="A105" s="17" t="s">
        <v>196</v>
      </c>
      <c r="B105" s="16" t="s">
        <v>34</v>
      </c>
      <c r="C105" s="16">
        <f>IF(OR(ISBLANK(C103),ISBLANK(B103)),"n/a",IFERROR(C103/B103-1,"n/a"))</f>
        <v>-0.007286220623850093</v>
      </c>
      <c r="D105" s="16">
        <f>IF(OR(ISBLANK(D103),ISBLANK(C103)),"n/a",IFERROR(D103/C103-1,"n/a"))</f>
        <v>0.10406574434718663</v>
      </c>
      <c r="E105" s="16">
        <f>IF(OR(ISBLANK(E103),ISBLANK(D103)),"n/a",IFERROR(E103/D103-1,"n/a"))</f>
        <v>-0.09606711737532447</v>
      </c>
      <c r="F105" s="16" t="s">
        <v>34</v>
      </c>
      <c r="G105" s="16">
        <f>IF(OR(ISBLANK(G103),ISBLANK(E103)),"n/a",IFERROR(G103/E103-1,"n/a"))</f>
        <v>0.04343629568667873</v>
      </c>
      <c r="H105" s="16">
        <f>IF(OR(ISBLANK(H103),ISBLANK(G103)),"n/a",IFERROR(H103/G103-1,"n/a"))</f>
        <v>0.023259555186142977</v>
      </c>
      <c r="I105" s="15">
        <f>IF(OR(ISBLANK(I103),ISBLANK(H103)),"n/a",IFERROR(I103/H103-1,"n/a"))</f>
        <v>0.01509146141215112</v>
      </c>
      <c r="J105" s="6"/>
      <c r="K105" s="6"/>
    </row>
    <row r="106">
      <c r="A106" s="4" t="s">
        <v>199</v>
      </c>
      <c r="B106" s="56">
        <v>12.6</v>
      </c>
      <c r="C106" s="56">
        <v>12.44</v>
      </c>
      <c r="D106" s="56">
        <v>12.45</v>
      </c>
      <c r="E106" s="56">
        <v>12.46</v>
      </c>
      <c r="F106" s="56">
        <v>12.48</v>
      </c>
      <c r="G106" s="47">
        <f>(H175*(H165+H166+H167+H168+H170)-H106*(H39+H42+H45+H48+H60))/(G39+G42+G45+G48+G60)</f>
        <v>13.185324803149607</v>
      </c>
      <c r="H106" s="56">
        <v>12.97</v>
      </c>
      <c r="I106" s="59">
        <f>I110*100/(I39+I42+I45+I48+I60)</f>
        <v>12.603672350132607</v>
      </c>
      <c r="J106" s="6" t="s">
        <v>200</v>
      </c>
      <c r="K106" s="6"/>
    </row>
    <row r="107">
      <c r="A107" s="17" t="s">
        <v>152</v>
      </c>
      <c r="B107" s="16" t="s">
        <v>34</v>
      </c>
      <c r="C107" s="16" t="s">
        <v>34</v>
      </c>
      <c r="D107" s="16" t="s">
        <v>34</v>
      </c>
      <c r="E107" s="16" t="s">
        <v>34</v>
      </c>
      <c r="F107" s="16" t="s">
        <v>34</v>
      </c>
      <c r="G107" s="16">
        <f>IF(OR(ISBLANK(G106),ISBLANK(B106)),"n/a",IFERROR(G106/B106-1,"n/a"))</f>
        <v>0.0464543494563181</v>
      </c>
      <c r="H107" s="16">
        <f>IF(OR(ISBLANK(H106),ISBLANK(C106)),"n/a",IFERROR(H106/C106-1,"n/a"))</f>
        <v>0.04260450160771723</v>
      </c>
      <c r="I107" s="15">
        <f>IF(OR(ISBLANK(I106),ISBLANK(D106)),"n/a",IFERROR(I106/D106-1,"n/a"))</f>
        <v>0.012343160653221386</v>
      </c>
      <c r="J107" s="6"/>
      <c r="K107" s="6"/>
    </row>
    <row r="108">
      <c r="A108" s="4" t="s">
        <v>190</v>
      </c>
      <c r="B108" s="47" t="s">
        <v>34</v>
      </c>
      <c r="C108" s="47" t="s">
        <v>34</v>
      </c>
      <c r="D108" s="47" t="s">
        <v>34</v>
      </c>
      <c r="E108" s="47" t="s">
        <v>34</v>
      </c>
      <c r="F108" s="47" t="s">
        <v>34</v>
      </c>
      <c r="G108" s="47">
        <f>IF(OR(ISBLANK(G106),ISBLANK(B106)),"n/a",IFERROR(G106-B106,"n/a"))</f>
        <v>0.5853248031496072</v>
      </c>
      <c r="H108" s="47">
        <f>IF(OR(ISBLANK(H106),ISBLANK(C106)),"n/a",IFERROR(H106-C106,"n/a"))</f>
        <v>0.5300000000000011</v>
      </c>
      <c r="I108" s="59">
        <f>IF(OR(ISBLANK(I106),ISBLANK(D106)),"n/a",IFERROR(I106-D106,"n/a"))</f>
        <v>0.1536723501326076</v>
      </c>
      <c r="J108" s="6"/>
      <c r="K108" s="6"/>
    </row>
    <row r="109">
      <c r="A109" s="4" t="s">
        <v>191</v>
      </c>
      <c r="B109" s="47" t="s">
        <v>34</v>
      </c>
      <c r="C109" s="47">
        <f>IF(OR(ISBLANK(C106),ISBLANK(B106)),"n/a",IFERROR(C106-B106,"n/a"))</f>
        <v>-0.16000000000000014</v>
      </c>
      <c r="D109" s="47">
        <f>IF(OR(ISBLANK(D106),ISBLANK(C106)),"n/a",IFERROR(D106-C106,"n/a"))</f>
        <v>0.009999999999999787</v>
      </c>
      <c r="E109" s="47">
        <f>IF(OR(ISBLANK(E106),ISBLANK(D106)),"n/a",IFERROR(E106-D106,"n/a"))</f>
        <v>0.010000000000001563</v>
      </c>
      <c r="F109" s="47" t="s">
        <v>34</v>
      </c>
      <c r="G109" s="47">
        <f>IF(OR(ISBLANK(G106),ISBLANK(E106)),"n/a",IFERROR(G106-E106,"n/a"))</f>
        <v>0.725324803149606</v>
      </c>
      <c r="H109" s="47">
        <f>IF(OR(ISBLANK(H106),ISBLANK(G106)),"n/a",IFERROR(H106-G106,"n/a"))</f>
        <v>-0.21532480314960623</v>
      </c>
      <c r="I109" s="59">
        <f>IF(OR(ISBLANK(I106),ISBLANK(H106)),"n/a",IFERROR(I106-H106,"n/a"))</f>
        <v>-0.36632764986739375</v>
      </c>
      <c r="J109" s="6"/>
      <c r="K109" s="6"/>
    </row>
    <row r="110">
      <c r="A110" s="4" t="s">
        <v>201</v>
      </c>
      <c r="B110" s="7">
        <f>B106*(B39+B42+B45+B48+B60)/100</f>
        <v>3666.978</v>
      </c>
      <c r="C110" s="7">
        <f>C106*(C39+C42+C45+C48+C60)/100</f>
        <v>4420.9272</v>
      </c>
      <c r="D110" s="7">
        <f>D106*(D39+D42+D45+D48+D60)/100</f>
        <v>5198.373</v>
      </c>
      <c r="E110" s="7">
        <f>E106*(E39+E42+E45+E48+E60)/100</f>
        <v>4013.1168000000007</v>
      </c>
      <c r="F110" s="7">
        <f>SUM(B110:E110)</f>
        <v>17299.395</v>
      </c>
      <c r="G110" s="7">
        <f>G106*(G39+G42+G45+G48+G60)/100</f>
        <v>4018.887</v>
      </c>
      <c r="H110" s="7">
        <f>H106*(H39+H42+H45+H48+H60)/100</f>
        <v>4559.0847</v>
      </c>
      <c r="I110" s="10">
        <f>I97+I100+I103+I111</f>
        <v>5371.23457434</v>
      </c>
      <c r="J110" s="6"/>
      <c r="K110" s="6"/>
    </row>
    <row r="111">
      <c r="A111" s="4" t="s">
        <v>202</v>
      </c>
      <c r="B111" s="7">
        <f>B110-B97-B100-B103</f>
        <v>161.22750000000013</v>
      </c>
      <c r="C111" s="7">
        <f>C110-C97-C100-C103</f>
        <v>196.0702000000004</v>
      </c>
      <c r="D111" s="7">
        <f>D110-D97-D100-D103</f>
        <v>208.14139999999992</v>
      </c>
      <c r="E111" s="7">
        <f>E110-E97-E100-E103</f>
        <v>146.10520000000062</v>
      </c>
      <c r="F111" s="7">
        <f>F110-F97-F100-F103</f>
        <v>711.5443000000017</v>
      </c>
      <c r="G111" s="7">
        <f>G110-G97-G100-G103</f>
        <v>209.8606</v>
      </c>
      <c r="H111" s="7">
        <f>H110-H97-H100-H103</f>
        <v>194.39330000000035</v>
      </c>
      <c r="I111" s="10">
        <f>D111*((I48+I60)/(D48+D60))*(1+I112)</f>
        <v>210.22281399999991</v>
      </c>
      <c r="J111" s="6" t="s">
        <v>203</v>
      </c>
      <c r="K111" s="6"/>
    </row>
    <row r="112">
      <c r="A112" s="17" t="s">
        <v>204</v>
      </c>
      <c r="B112" s="16"/>
      <c r="C112" s="16"/>
      <c r="D112" s="16"/>
      <c r="E112" s="16"/>
      <c r="F112" s="16"/>
      <c r="G112" s="16"/>
      <c r="H112" s="16"/>
      <c r="I112" s="46">
        <v>0.01</v>
      </c>
      <c r="J112" s="6" t="s">
        <v>205</v>
      </c>
      <c r="K112" s="6"/>
    </row>
    <row r="113">
      <c r="A113" s="17" t="s">
        <v>152</v>
      </c>
      <c r="B113" s="16" t="s">
        <v>34</v>
      </c>
      <c r="C113" s="16" t="s">
        <v>34</v>
      </c>
      <c r="D113" s="16" t="s">
        <v>34</v>
      </c>
      <c r="E113" s="16" t="s">
        <v>34</v>
      </c>
      <c r="F113" s="16" t="s">
        <v>34</v>
      </c>
      <c r="G113" s="16">
        <f>IF(OR(ISBLANK(G111),ISBLANK(B111)),"n/a",IFERROR(G111/B111-1,"n/a"))</f>
        <v>0.3016427098354799</v>
      </c>
      <c r="H113" s="16">
        <f>IF(OR(ISBLANK(H111),ISBLANK(C111)),"n/a",IFERROR(H111/C111-1,"n/a"))</f>
        <v>-0.008552549036008772</v>
      </c>
      <c r="I113" s="15">
        <f>IF(OR(ISBLANK(I111),ISBLANK(D111)),"n/a",IFERROR(I111/D111-1,"n/a"))</f>
        <v>0.010000000000000009</v>
      </c>
      <c r="J113" s="6"/>
      <c r="K113" s="6"/>
    </row>
    <row r="114">
      <c r="A114" s="4" t="s">
        <v>153</v>
      </c>
      <c r="B114" s="7" t="s">
        <v>34</v>
      </c>
      <c r="C114" s="7">
        <f>IF(OR(ISBLANK(C111),ISBLANK(B111)),"n/a",IFERROR(C111-B111,"n/a"))</f>
        <v>34.842700000000264</v>
      </c>
      <c r="D114" s="7">
        <f>IF(OR(ISBLANK(D111),ISBLANK(C111)),"n/a",IFERROR(D111-C111,"n/a"))</f>
        <v>12.071199999999521</v>
      </c>
      <c r="E114" s="7">
        <f>IF(OR(ISBLANK(E111),ISBLANK(D111)),"n/a",IFERROR(E111-D111,"n/a"))</f>
        <v>-62.0361999999993</v>
      </c>
      <c r="F114" s="7" t="s">
        <v>34</v>
      </c>
      <c r="G114" s="7">
        <f>IF(OR(ISBLANK(G111),ISBLANK(E111)),"n/a",IFERROR(G111-E111,"n/a"))</f>
        <v>63.75539999999938</v>
      </c>
      <c r="H114" s="7">
        <f>IF(OR(ISBLANK(H111),ISBLANK(G111)),"n/a",IFERROR(H111-G111,"n/a"))</f>
        <v>-15.467299999999653</v>
      </c>
      <c r="I114" s="10">
        <f>IF(OR(ISBLANK(I111),ISBLANK(H111)),"n/a",IFERROR(I111-H111,"n/a"))</f>
        <v>15.829513999999563</v>
      </c>
      <c r="J114" s="6"/>
      <c r="K114" s="6"/>
    </row>
    <row r="115">
      <c r="A115" s="27" t="s">
        <v>206</v>
      </c>
      <c r="B115" s="5">
        <f>B97+B100+B103+B111</f>
        <v>3666.978</v>
      </c>
      <c r="C115" s="5">
        <f>C97+C100+C103+C111</f>
        <v>4420.927199999999</v>
      </c>
      <c r="D115" s="5">
        <f>D97+D100+D103+D111</f>
        <v>5198.373</v>
      </c>
      <c r="E115" s="5">
        <f>E97+E100+E103+E111</f>
        <v>4013.1168000000007</v>
      </c>
      <c r="F115" s="5">
        <f>F97+F100+F103+F111</f>
        <v>17299.395</v>
      </c>
      <c r="G115" s="5">
        <f>G97+G100+G103+G111</f>
        <v>4018.8869999999997</v>
      </c>
      <c r="H115" s="5">
        <f>H97+H100+H103+H111</f>
        <v>4559.0847</v>
      </c>
      <c r="I115" s="2">
        <f>I97+I100+I103+I111</f>
        <v>5371.23457434</v>
      </c>
      <c r="J115" s="6"/>
      <c r="K115" s="6"/>
    </row>
    <row r="116">
      <c r="A116" s="17" t="s">
        <v>152</v>
      </c>
      <c r="B116" s="16" t="s">
        <v>34</v>
      </c>
      <c r="C116" s="16" t="s">
        <v>34</v>
      </c>
      <c r="D116" s="16" t="s">
        <v>34</v>
      </c>
      <c r="E116" s="16" t="s">
        <v>34</v>
      </c>
      <c r="F116" s="16" t="s">
        <v>34</v>
      </c>
      <c r="G116" s="16">
        <f>IF(OR(ISBLANK(G115),ISBLANK(B115)),"n/a",IFERROR(G115/B115-1,"n/a"))</f>
        <v>0.0959670333446232</v>
      </c>
      <c r="H116" s="16">
        <f>IF(OR(ISBLANK(H115),ISBLANK(C115)),"n/a",IFERROR(H115/C115-1,"n/a"))</f>
        <v>0.03125079734405056</v>
      </c>
      <c r="I116" s="15">
        <f>IF(OR(ISBLANK(I115),ISBLANK(D115)),"n/a",IFERROR(I115/D115-1,"n/a"))</f>
        <v>0.03325301480674825</v>
      </c>
      <c r="J116" s="6"/>
      <c r="K116" s="6"/>
    </row>
    <row r="117">
      <c r="A117" s="17" t="s">
        <v>196</v>
      </c>
      <c r="B117" s="16" t="s">
        <v>34</v>
      </c>
      <c r="C117" s="16">
        <f>IF(OR(ISBLANK(C115),ISBLANK(B115)),"n/a",IFERROR(C115/B115-1,"n/a"))</f>
        <v>0.20560505135291218</v>
      </c>
      <c r="D117" s="16">
        <f>IF(OR(ISBLANK(D115),ISBLANK(C115)),"n/a",IFERROR(D115/C115-1,"n/a"))</f>
        <v>0.17585582499526353</v>
      </c>
      <c r="E117" s="16">
        <f>IF(OR(ISBLANK(E115),ISBLANK(D115)),"n/a",IFERROR(E115/D115-1,"n/a"))</f>
        <v>-0.22800522394218325</v>
      </c>
      <c r="F117" s="16" t="s">
        <v>34</v>
      </c>
      <c r="G117" s="16">
        <f>IF(OR(ISBLANK(G115),ISBLANK(E115)),"n/a",IFERROR(G115/E115-1,"n/a"))</f>
        <v>0.0014378350512995741</v>
      </c>
      <c r="H117" s="16">
        <f>IF(OR(ISBLANK(H115),ISBLANK(G115)),"n/a",IFERROR(H115/G115-1,"n/a"))</f>
        <v>0.13441475214406395</v>
      </c>
      <c r="I117" s="15">
        <f>IF(OR(ISBLANK(I115),ISBLANK(H115)),"n/a",IFERROR(I115/H115-1,"n/a"))</f>
        <v>0.17813879929451626</v>
      </c>
      <c r="J117" s="6"/>
      <c r="K117" s="6"/>
    </row>
    <row r="118">
      <c r="A118" s="4" t="s">
        <v>207</v>
      </c>
      <c r="B118" s="1">
        <v>3997</v>
      </c>
      <c r="C118" s="1">
        <v>4708</v>
      </c>
      <c r="D118" s="1">
        <v>5285</v>
      </c>
      <c r="E118" s="1">
        <v>4272</v>
      </c>
      <c r="F118" s="7">
        <f>SUM(B118:E118)</f>
        <v>18262</v>
      </c>
      <c r="G118" s="1">
        <v>4271</v>
      </c>
      <c r="H118" s="1">
        <v>4896</v>
      </c>
      <c r="I118" s="10"/>
      <c r="J118" s="6" t="s">
        <v>208</v>
      </c>
      <c r="K118" s="6"/>
    </row>
    <row r="119">
      <c r="A119" s="4" t="s">
        <v>209</v>
      </c>
      <c r="B119" s="7">
        <f>B118-B115</f>
        <v>330.02199999999993</v>
      </c>
      <c r="C119" s="7">
        <f>C118-C115</f>
        <v>287.0728000000008</v>
      </c>
      <c r="D119" s="7">
        <f>D118-D115</f>
        <v>86.62700000000041</v>
      </c>
      <c r="E119" s="7">
        <f>E118-E115</f>
        <v>258.8831999999993</v>
      </c>
      <c r="F119" s="7">
        <f>F118-F115</f>
        <v>962.6049999999996</v>
      </c>
      <c r="G119" s="7">
        <f>G118-G115</f>
        <v>252.11300000000028</v>
      </c>
      <c r="H119" s="7">
        <f>H118-H115</f>
        <v>336.91529999999966</v>
      </c>
      <c r="I119" s="10">
        <f>D119+I120</f>
        <v>86.62700000000041</v>
      </c>
      <c r="J119" s="6" t="s">
        <v>210</v>
      </c>
      <c r="K119" s="6"/>
    </row>
    <row r="120">
      <c r="A120" s="4" t="s">
        <v>211</v>
      </c>
      <c r="B120" s="7"/>
      <c r="C120" s="7"/>
      <c r="D120" s="7"/>
      <c r="E120" s="7"/>
      <c r="F120" s="7"/>
      <c r="G120" s="7"/>
      <c r="H120" s="7"/>
      <c r="I120" s="38">
        <v>0</v>
      </c>
      <c r="J120" s="6" t="s">
        <v>212</v>
      </c>
      <c r="K120" s="6"/>
    </row>
    <row r="121">
      <c r="A121" s="4" t="s">
        <v>173</v>
      </c>
      <c r="B121" s="7" t="s">
        <v>34</v>
      </c>
      <c r="C121" s="7" t="s">
        <v>34</v>
      </c>
      <c r="D121" s="7" t="s">
        <v>34</v>
      </c>
      <c r="E121" s="7" t="s">
        <v>34</v>
      </c>
      <c r="F121" s="7" t="s">
        <v>34</v>
      </c>
      <c r="G121" s="7">
        <f>IF(OR(ISBLANK(G119),ISBLANK(B119)),"n/a",IFERROR(G119-B119,"n/a"))</f>
        <v>-77.90899999999965</v>
      </c>
      <c r="H121" s="7">
        <f>IF(OR(ISBLANK(H119),ISBLANK(C119)),"n/a",IFERROR(H119-C119,"n/a"))</f>
        <v>49.842499999998836</v>
      </c>
      <c r="I121" s="10">
        <f>IF(OR(ISBLANK(I119),ISBLANK(D119)),"n/a",IFERROR(I119-D119,"n/a"))</f>
        <v>0</v>
      </c>
      <c r="J121" s="6"/>
      <c r="K121" s="6"/>
    </row>
    <row r="122">
      <c r="A122" s="4" t="s">
        <v>153</v>
      </c>
      <c r="B122" s="7" t="s">
        <v>34</v>
      </c>
      <c r="C122" s="7">
        <f>IF(OR(ISBLANK(C119),ISBLANK(B119)),"n/a",IFERROR(C119-B119,"n/a"))</f>
        <v>-42.94919999999911</v>
      </c>
      <c r="D122" s="7">
        <f>IF(OR(ISBLANK(D119),ISBLANK(C119)),"n/a",IFERROR(D119-C119,"n/a"))</f>
        <v>-200.44580000000042</v>
      </c>
      <c r="E122" s="7">
        <f>IF(OR(ISBLANK(E119),ISBLANK(D119)),"n/a",IFERROR(E119-D119,"n/a"))</f>
        <v>172.2561999999989</v>
      </c>
      <c r="F122" s="7" t="s">
        <v>34</v>
      </c>
      <c r="G122" s="7">
        <f>IF(OR(ISBLANK(G119),ISBLANK(E119)),"n/a",IFERROR(G119-E119,"n/a"))</f>
        <v>-6.770199999999022</v>
      </c>
      <c r="H122" s="7">
        <f>IF(OR(ISBLANK(H119),ISBLANK(G119)),"n/a",IFERROR(H119-G119,"n/a"))</f>
        <v>84.80229999999938</v>
      </c>
      <c r="I122" s="10">
        <f>IF(OR(ISBLANK(I119),ISBLANK(H119)),"n/a",IFERROR(I119-H119,"n/a"))</f>
        <v>-250.28829999999925</v>
      </c>
      <c r="J122" s="6"/>
      <c r="K122" s="6"/>
    </row>
    <row r="123">
      <c r="A123" s="27" t="s">
        <v>213</v>
      </c>
      <c r="B123" s="5">
        <f>B115+B119</f>
        <v>3997</v>
      </c>
      <c r="C123" s="5">
        <f>C115+C119</f>
        <v>4708</v>
      </c>
      <c r="D123" s="5">
        <f>D115+D119</f>
        <v>5285</v>
      </c>
      <c r="E123" s="5">
        <f>E115+E119</f>
        <v>4272</v>
      </c>
      <c r="F123" s="5">
        <f>F115+F119</f>
        <v>18262</v>
      </c>
      <c r="G123" s="5">
        <f>G115+G119</f>
        <v>4271</v>
      </c>
      <c r="H123" s="5">
        <f>H115+H119</f>
        <v>4896</v>
      </c>
      <c r="I123" s="2">
        <f>I115+I119</f>
        <v>5457.8615743400005</v>
      </c>
      <c r="J123" s="6" t="s">
        <v>214</v>
      </c>
      <c r="K123" s="6"/>
    </row>
    <row r="124">
      <c r="A124" s="17" t="s">
        <v>102</v>
      </c>
      <c r="B124" s="16" t="s">
        <v>34</v>
      </c>
      <c r="C124" s="16" t="s">
        <v>34</v>
      </c>
      <c r="D124" s="16" t="s">
        <v>34</v>
      </c>
      <c r="E124" s="16" t="s">
        <v>34</v>
      </c>
      <c r="F124" s="16" t="s">
        <v>34</v>
      </c>
      <c r="G124" s="16">
        <f>IF(OR(ISBLANK(G123),ISBLANK(B123)),"n/a",IFERROR(G123/B123-1,"n/a"))</f>
        <v>0.06855141356017014</v>
      </c>
      <c r="H124" s="16">
        <f>IF(OR(ISBLANK(H123),ISBLANK(C123)),"n/a",IFERROR(H123/C123-1,"n/a"))</f>
        <v>0.03993203058623629</v>
      </c>
      <c r="I124" s="15">
        <f>IF(OR(ISBLANK(I123),ISBLANK(D123)),"n/a",IFERROR(I123/D123-1,"n/a"))</f>
        <v>0.03270796108609275</v>
      </c>
      <c r="J124" s="6"/>
      <c r="K124" s="6"/>
    </row>
    <row r="125">
      <c r="A125" s="17" t="s">
        <v>103</v>
      </c>
      <c r="B125" s="16" t="s">
        <v>34</v>
      </c>
      <c r="C125" s="16">
        <f>IF(OR(ISBLANK(C123),ISBLANK(B123)),"n/a",IFERROR(C123/B123-1,"n/a"))</f>
        <v>0.17788341255941953</v>
      </c>
      <c r="D125" s="16">
        <f>IF(OR(ISBLANK(D123),ISBLANK(C123)),"n/a",IFERROR(D123/C123-1,"n/a"))</f>
        <v>0.12255734919286332</v>
      </c>
      <c r="E125" s="16">
        <f>IF(OR(ISBLANK(E123),ISBLANK(D123)),"n/a",IFERROR(E123/D123-1,"n/a"))</f>
        <v>-0.19167455061494798</v>
      </c>
      <c r="F125" s="16" t="s">
        <v>34</v>
      </c>
      <c r="G125" s="16">
        <f>IF(OR(ISBLANK(G123),ISBLANK(E123)),"n/a",IFERROR(G123/E123-1,"n/a"))</f>
        <v>-0.000234082397003732</v>
      </c>
      <c r="H125" s="16">
        <f>IF(OR(ISBLANK(H123),ISBLANK(G123)),"n/a",IFERROR(H123/G123-1,"n/a"))</f>
        <v>0.1463357527511122</v>
      </c>
      <c r="I125" s="15">
        <f>IF(OR(ISBLANK(I123),ISBLANK(H123)),"n/a",IFERROR(I123/H123-1,"n/a"))</f>
        <v>0.11475930848447713</v>
      </c>
      <c r="J125" s="6"/>
      <c r="K125" s="6"/>
    </row>
    <row r="126">
      <c r="A126" s="26" t="s">
        <v>105</v>
      </c>
      <c r="B126" s="3"/>
      <c r="C126" s="3"/>
      <c r="D126" s="3"/>
      <c r="E126" s="3"/>
      <c r="F126" s="3"/>
      <c r="G126" s="3"/>
      <c r="H126" s="3"/>
      <c r="I126" s="11"/>
      <c r="J126" s="6"/>
      <c r="K126" s="6"/>
    </row>
    <row r="127">
      <c r="A127" s="17" t="s">
        <v>106</v>
      </c>
      <c r="B127" s="16" t="s">
        <v>34</v>
      </c>
      <c r="C127" s="16" t="s">
        <v>34</v>
      </c>
      <c r="D127" s="16" t="s">
        <v>34</v>
      </c>
      <c r="E127" s="16" t="s">
        <v>34</v>
      </c>
      <c r="F127" s="16" t="s">
        <v>34</v>
      </c>
      <c r="G127" s="16" t="s">
        <v>34</v>
      </c>
      <c r="H127" s="16" t="s">
        <v>34</v>
      </c>
      <c r="I127" s="15" t="s">
        <v>34</v>
      </c>
      <c r="J127" s="6" t="s">
        <v>107</v>
      </c>
      <c r="K127" s="6"/>
    </row>
    <row r="128">
      <c r="A128" s="17" t="s">
        <v>108</v>
      </c>
      <c r="B128" s="16" t="s">
        <v>109</v>
      </c>
      <c r="C128" s="16" t="s">
        <v>109</v>
      </c>
      <c r="D128" s="16" t="s">
        <v>109</v>
      </c>
      <c r="E128" s="16" t="s">
        <v>109</v>
      </c>
      <c r="F128" s="16" t="s">
        <v>109</v>
      </c>
      <c r="G128" s="16" t="s">
        <v>109</v>
      </c>
      <c r="H128" s="16" t="s">
        <v>109</v>
      </c>
      <c r="I128" s="15" t="s">
        <v>109</v>
      </c>
      <c r="J128" s="6" t="s">
        <v>110</v>
      </c>
      <c r="K128" s="6"/>
    </row>
    <row r="129">
      <c r="A129" s="17" t="s">
        <v>111</v>
      </c>
      <c r="B129" s="16" t="s">
        <v>109</v>
      </c>
      <c r="C129" s="16" t="s">
        <v>109</v>
      </c>
      <c r="D129" s="16" t="s">
        <v>109</v>
      </c>
      <c r="E129" s="16" t="s">
        <v>109</v>
      </c>
      <c r="F129" s="16" t="s">
        <v>109</v>
      </c>
      <c r="G129" s="16" t="s">
        <v>109</v>
      </c>
      <c r="H129" s="16" t="s">
        <v>109</v>
      </c>
      <c r="I129" s="15" t="s">
        <v>109</v>
      </c>
      <c r="J129" s="6" t="s">
        <v>112</v>
      </c>
      <c r="K129" s="6"/>
    </row>
    <row r="130">
      <c r="A130" s="17" t="s">
        <v>113</v>
      </c>
      <c r="B130" s="16" t="str">
        <f>B124</f>
        <v>n/a</v>
      </c>
      <c r="C130" s="16" t="str">
        <f>C124</f>
        <v>n/a</v>
      </c>
      <c r="D130" s="16" t="str">
        <f>D124</f>
        <v>n/a</v>
      </c>
      <c r="E130" s="16" t="str">
        <f>E124</f>
        <v>n/a</v>
      </c>
      <c r="F130" s="16" t="str">
        <f>F124</f>
        <v>n/a</v>
      </c>
      <c r="G130" s="16">
        <f>G124</f>
        <v>0.06855141356017014</v>
      </c>
      <c r="H130" s="16">
        <f>H124</f>
        <v>0.03993203058623629</v>
      </c>
      <c r="I130" s="15">
        <f>I124</f>
        <v>0.03270796108609275</v>
      </c>
      <c r="J130" s="6"/>
      <c r="K130" s="6"/>
    </row>
    <row r="131">
      <c r="A131" s="26" t="s">
        <v>215</v>
      </c>
      <c r="B131" s="3"/>
      <c r="C131" s="3"/>
      <c r="D131" s="3"/>
      <c r="E131" s="3"/>
      <c r="F131" s="3"/>
      <c r="G131" s="3"/>
      <c r="H131" s="3"/>
      <c r="I131" s="11"/>
      <c r="J131" s="6"/>
      <c r="K131" s="6"/>
    </row>
    <row r="132">
      <c r="A132" s="4" t="s">
        <v>216</v>
      </c>
      <c r="B132" s="7"/>
      <c r="C132" s="7"/>
      <c r="D132" s="1">
        <v>-24</v>
      </c>
      <c r="E132" s="7"/>
      <c r="F132" s="7"/>
      <c r="G132" s="7">
        <f>H182-H132</f>
        <v>285</v>
      </c>
      <c r="H132" s="1">
        <v>276</v>
      </c>
      <c r="I132" s="10" t="s">
        <v>217</v>
      </c>
      <c r="J132" s="6" t="s">
        <v>218</v>
      </c>
      <c r="K132" s="6"/>
    </row>
    <row r="133">
      <c r="A133" s="4" t="s">
        <v>219</v>
      </c>
      <c r="B133" s="7"/>
      <c r="C133" s="7"/>
      <c r="D133" s="1">
        <v>-85</v>
      </c>
      <c r="E133" s="7"/>
      <c r="F133" s="7"/>
      <c r="G133" s="7">
        <f>H183-H133</f>
        <v>70</v>
      </c>
      <c r="H133" s="1">
        <v>137</v>
      </c>
      <c r="I133" s="10" t="s">
        <v>217</v>
      </c>
      <c r="J133" s="6" t="s">
        <v>220</v>
      </c>
      <c r="K133" s="6"/>
    </row>
    <row r="134">
      <c r="A134" s="4" t="s">
        <v>221</v>
      </c>
      <c r="B134" s="7"/>
      <c r="C134" s="7"/>
      <c r="D134" s="1">
        <v>45</v>
      </c>
      <c r="E134" s="7"/>
      <c r="F134" s="7"/>
      <c r="G134" s="7">
        <f>H184-H134</f>
        <v>61</v>
      </c>
      <c r="H134" s="1">
        <v>47</v>
      </c>
      <c r="I134" s="10" t="s">
        <v>217</v>
      </c>
      <c r="J134" s="6" t="s">
        <v>222</v>
      </c>
      <c r="K134" s="6"/>
    </row>
    <row r="135">
      <c r="A135" s="4" t="s">
        <v>223</v>
      </c>
      <c r="B135" s="7"/>
      <c r="C135" s="7"/>
      <c r="D135" s="1">
        <v>386</v>
      </c>
      <c r="E135" s="7"/>
      <c r="F135" s="7"/>
      <c r="G135" s="7">
        <f>H185-H135</f>
        <v>-247</v>
      </c>
      <c r="H135" s="1">
        <v>-309</v>
      </c>
      <c r="I135" s="10" t="s">
        <v>217</v>
      </c>
      <c r="J135" s="6" t="s">
        <v>224</v>
      </c>
      <c r="K135" s="6"/>
    </row>
    <row r="136">
      <c r="A136" s="3"/>
      <c r="B136" s="3"/>
      <c r="C136" s="3"/>
      <c r="D136" s="3"/>
      <c r="E136" s="3"/>
      <c r="F136" s="3"/>
      <c r="G136" s="3"/>
      <c r="H136" s="3"/>
      <c r="I136" s="11"/>
      <c r="J136" s="6"/>
      <c r="K136" s="6"/>
    </row>
    <row r="137">
      <c r="A137" s="26" t="s">
        <v>225</v>
      </c>
      <c r="B137" s="3"/>
      <c r="C137" s="3"/>
      <c r="D137" s="3"/>
      <c r="E137" s="3"/>
      <c r="F137" s="3"/>
      <c r="G137" s="3"/>
      <c r="H137" s="3"/>
      <c r="I137" s="11"/>
      <c r="J137" s="6"/>
      <c r="K137" s="6"/>
    </row>
    <row r="138">
      <c r="A138" s="4" t="s">
        <v>226</v>
      </c>
      <c r="B138" s="19">
        <f>-'Cash Flow Statement'!B29</f>
        <v>2341</v>
      </c>
      <c r="C138" s="19">
        <f>-'Cash Flow Statement'!C29</f>
        <v>1944</v>
      </c>
      <c r="D138" s="19">
        <f>-'Cash Flow Statement'!D29</f>
        <v>2451</v>
      </c>
      <c r="E138" s="19">
        <f>-'Cash Flow Statement'!E29</f>
        <v>1983</v>
      </c>
      <c r="F138" s="19">
        <f>-'Cash Flow Statement'!F29</f>
        <v>8719</v>
      </c>
      <c r="G138" s="19">
        <f>-'Cash Flow Statement'!G29</f>
        <v>3046</v>
      </c>
      <c r="H138" s="19">
        <f>-'Cash Flow Statement'!H29</f>
        <v>2734</v>
      </c>
      <c r="I138" s="14">
        <f>-'Cash Flow Statement'!I29</f>
        <v>3200</v>
      </c>
      <c r="J138" s="6" t="s">
        <v>227</v>
      </c>
      <c r="K138" s="6"/>
    </row>
    <row r="139">
      <c r="A139" s="17" t="s">
        <v>152</v>
      </c>
      <c r="B139" s="16" t="s">
        <v>34</v>
      </c>
      <c r="C139" s="16" t="s">
        <v>34</v>
      </c>
      <c r="D139" s="16" t="s">
        <v>34</v>
      </c>
      <c r="E139" s="16" t="s">
        <v>34</v>
      </c>
      <c r="F139" s="16" t="s">
        <v>34</v>
      </c>
      <c r="G139" s="16">
        <f>IF(OR(ISBLANK(G138),ISBLANK(B138)),"n/a",IFERROR(G138/B138-1,"n/a"))</f>
        <v>0.3011533532678343</v>
      </c>
      <c r="H139" s="16">
        <f>IF(OR(ISBLANK(H138),ISBLANK(C138)),"n/a",IFERROR(H138/C138-1,"n/a"))</f>
        <v>0.4063786008230452</v>
      </c>
      <c r="I139" s="15">
        <f>IF(OR(ISBLANK(I138),ISBLANK(D138)),"n/a",IFERROR(I138/D138-1,"n/a"))</f>
        <v>0.3055895552835577</v>
      </c>
      <c r="J139" s="6"/>
      <c r="K139" s="6"/>
    </row>
    <row r="140">
      <c r="A140" s="4" t="s">
        <v>153</v>
      </c>
      <c r="B140" s="7" t="s">
        <v>34</v>
      </c>
      <c r="C140" s="7">
        <f>IF(OR(ISBLANK(C138),ISBLANK(B138)),"n/a",IFERROR(C138-B138,"n/a"))</f>
        <v>-397</v>
      </c>
      <c r="D140" s="7">
        <f>IF(OR(ISBLANK(D138),ISBLANK(C138)),"n/a",IFERROR(D138-C138,"n/a"))</f>
        <v>507</v>
      </c>
      <c r="E140" s="7">
        <f>IF(OR(ISBLANK(E138),ISBLANK(D138)),"n/a",IFERROR(E138-D138,"n/a"))</f>
        <v>-468</v>
      </c>
      <c r="F140" s="7" t="s">
        <v>34</v>
      </c>
      <c r="G140" s="7">
        <f>IF(OR(ISBLANK(G138),ISBLANK(E138)),"n/a",IFERROR(G138-E138,"n/a"))</f>
        <v>1063</v>
      </c>
      <c r="H140" s="7">
        <f>IF(OR(ISBLANK(H138),ISBLANK(G138)),"n/a",IFERROR(H138-G138,"n/a"))</f>
        <v>-312</v>
      </c>
      <c r="I140" s="10">
        <f>IF(OR(ISBLANK(I138),ISBLANK(H138)),"n/a",IFERROR(I138-H138,"n/a"))</f>
        <v>466</v>
      </c>
      <c r="J140" s="6"/>
      <c r="K140" s="6"/>
    </row>
    <row r="141">
      <c r="A141" s="17" t="s">
        <v>228</v>
      </c>
      <c r="B141" s="44">
        <v>0.081</v>
      </c>
      <c r="C141" s="44">
        <v>0.079</v>
      </c>
      <c r="D141" s="44">
        <v>0.078</v>
      </c>
      <c r="E141" s="16" t="s">
        <v>34</v>
      </c>
      <c r="F141" s="44">
        <v>0.081</v>
      </c>
      <c r="G141" s="44">
        <v>0.088</v>
      </c>
      <c r="H141" s="44">
        <v>0.093</v>
      </c>
      <c r="I141" s="46">
        <v>0.095</v>
      </c>
      <c r="J141" s="6" t="s">
        <v>229</v>
      </c>
      <c r="K141" s="6"/>
    </row>
    <row r="142">
      <c r="A142" s="4" t="s">
        <v>161</v>
      </c>
      <c r="B142" s="8" t="s">
        <v>34</v>
      </c>
      <c r="C142" s="8" t="s">
        <v>34</v>
      </c>
      <c r="D142" s="8" t="s">
        <v>34</v>
      </c>
      <c r="E142" s="8" t="s">
        <v>34</v>
      </c>
      <c r="F142" s="8" t="s">
        <v>34</v>
      </c>
      <c r="G142" s="8">
        <f>IF(OR(ISBLANK(G141),ISBLANK(B141)),"n/a",IFERROR((G141-B141)*10000,"n/a"))</f>
        <v>69.99999999999993</v>
      </c>
      <c r="H142" s="8">
        <f>IF(OR(ISBLANK(H141),ISBLANK(C141)),"n/a",IFERROR((H141-C141)*10000,"n/a"))</f>
        <v>139.99999999999997</v>
      </c>
      <c r="I142" s="30">
        <f>IF(OR(ISBLANK(I141),ISBLANK(D141)),"n/a",IFERROR((I141-D141)*10000,"n/a"))</f>
        <v>170</v>
      </c>
      <c r="J142" s="6"/>
      <c r="K142" s="6"/>
    </row>
    <row r="143">
      <c r="A143" s="4" t="s">
        <v>162</v>
      </c>
      <c r="B143" s="8" t="s">
        <v>34</v>
      </c>
      <c r="C143" s="8">
        <f>IF(OR(ISBLANK(C141),ISBLANK(B141)),"n/a",IFERROR((C141-B141)*10000,"n/a"))</f>
        <v>-20.000000000000018</v>
      </c>
      <c r="D143" s="8">
        <f>IF(OR(ISBLANK(D141),ISBLANK(C141)),"n/a",IFERROR((D141-C141)*10000,"n/a"))</f>
        <v>-10.000000000000009</v>
      </c>
      <c r="E143" s="8" t="str">
        <f>IF(OR(ISBLANK(E141),ISBLANK(D141)),"n/a",IFERROR((E141-D141)*10000,"n/a"))</f>
        <v>n/a</v>
      </c>
      <c r="F143" s="8" t="s">
        <v>34</v>
      </c>
      <c r="G143" s="8" t="str">
        <f>IF(OR(ISBLANK(G141),ISBLANK(E141)),"n/a",IFERROR((G141-E141)*10000,"n/a"))</f>
        <v>n/a</v>
      </c>
      <c r="H143" s="8">
        <f>IF(OR(ISBLANK(H141),ISBLANK(G141)),"n/a",IFERROR((H141-G141)*10000,"n/a"))</f>
        <v>50.00000000000004</v>
      </c>
      <c r="I143" s="30">
        <f>IF(OR(ISBLANK(I141),ISBLANK(H141)),"n/a",IFERROR((I141-H141)*10000,"n/a"))</f>
        <v>20.000000000000018</v>
      </c>
      <c r="J143" s="6"/>
      <c r="K143" s="6"/>
    </row>
    <row r="144">
      <c r="A144" s="4" t="s">
        <v>230</v>
      </c>
      <c r="B144" s="47"/>
      <c r="C144" s="47"/>
      <c r="D144" s="56">
        <v>74.2</v>
      </c>
      <c r="E144" s="47"/>
      <c r="F144" s="47"/>
      <c r="G144" s="47"/>
      <c r="H144" s="47"/>
      <c r="I144" s="59">
        <f>D144*(1+I141)</f>
        <v>81.249</v>
      </c>
      <c r="J144" s="6" t="s">
        <v>231</v>
      </c>
      <c r="K144" s="6"/>
    </row>
    <row r="145">
      <c r="A145" s="4" t="s">
        <v>232</v>
      </c>
      <c r="B145" s="47" t="s">
        <v>34</v>
      </c>
      <c r="C145" s="47" t="s">
        <v>34</v>
      </c>
      <c r="D145" s="47" t="s">
        <v>34</v>
      </c>
      <c r="E145" s="47" t="s">
        <v>34</v>
      </c>
      <c r="F145" s="47" t="s">
        <v>34</v>
      </c>
      <c r="G145" s="47" t="str">
        <f>IF(OR(ISBLANK(G144),ISBLANK(B144)),"n/a",IFERROR(G144-B144,"n/a"))</f>
        <v>n/a</v>
      </c>
      <c r="H145" s="47" t="str">
        <f>IF(OR(ISBLANK(H144),ISBLANK(C144)),"n/a",IFERROR(H144-C144,"n/a"))</f>
        <v>n/a</v>
      </c>
      <c r="I145" s="59">
        <f>IF(OR(ISBLANK(I144),ISBLANK(D144)),"n/a",IFERROR(I144-D144,"n/a"))</f>
        <v>7.048999999999992</v>
      </c>
      <c r="J145" s="6"/>
      <c r="K145" s="6"/>
    </row>
    <row r="146">
      <c r="A146" s="4" t="s">
        <v>233</v>
      </c>
      <c r="B146" s="47" t="s">
        <v>34</v>
      </c>
      <c r="C146" s="47" t="str">
        <f>IF(OR(ISBLANK(C144),ISBLANK(B144)),"n/a",IFERROR(C144-B144,"n/a"))</f>
        <v>n/a</v>
      </c>
      <c r="D146" s="47" t="str">
        <f>IF(OR(ISBLANK(D144),ISBLANK(C144)),"n/a",IFERROR(D144-C144,"n/a"))</f>
        <v>n/a</v>
      </c>
      <c r="E146" s="47" t="str">
        <f>IF(OR(ISBLANK(E144),ISBLANK(D144)),"n/a",IFERROR(E144-D144,"n/a"))</f>
        <v>n/a</v>
      </c>
      <c r="F146" s="47" t="s">
        <v>34</v>
      </c>
      <c r="G146" s="47" t="str">
        <f>IF(OR(ISBLANK(G144),ISBLANK(E144)),"n/a",IFERROR(G144-E144,"n/a"))</f>
        <v>n/a</v>
      </c>
      <c r="H146" s="47" t="str">
        <f>IF(OR(ISBLANK(H144),ISBLANK(G144)),"n/a",IFERROR(H144-G144,"n/a"))</f>
        <v>n/a</v>
      </c>
      <c r="I146" s="59" t="str">
        <f>IF(OR(ISBLANK(I144),ISBLANK(H144)),"n/a",IFERROR(I144-H144,"n/a"))</f>
        <v>n/a</v>
      </c>
      <c r="J146" s="6"/>
      <c r="K146" s="6"/>
    </row>
    <row r="147">
      <c r="A147" s="17" t="s">
        <v>234</v>
      </c>
      <c r="B147" s="44">
        <v>0.116</v>
      </c>
      <c r="C147" s="44">
        <v>0.116</v>
      </c>
      <c r="D147" s="16" t="s">
        <v>34</v>
      </c>
      <c r="E147" s="16" t="s">
        <v>34</v>
      </c>
      <c r="F147" s="16" t="s">
        <v>34</v>
      </c>
      <c r="G147" s="16" t="s">
        <v>34</v>
      </c>
      <c r="H147" s="44">
        <v>0.117</v>
      </c>
      <c r="I147" s="15" t="s">
        <v>217</v>
      </c>
      <c r="J147" s="6" t="s">
        <v>235</v>
      </c>
      <c r="K147" s="6"/>
    </row>
    <row r="148">
      <c r="A148" s="4" t="s">
        <v>161</v>
      </c>
      <c r="B148" s="8" t="s">
        <v>34</v>
      </c>
      <c r="C148" s="8" t="s">
        <v>34</v>
      </c>
      <c r="D148" s="8" t="s">
        <v>34</v>
      </c>
      <c r="E148" s="8" t="s">
        <v>34</v>
      </c>
      <c r="F148" s="8" t="s">
        <v>34</v>
      </c>
      <c r="G148" s="8" t="str">
        <f>IF(OR(ISBLANK(G147),ISBLANK(B147)),"n/a",IFERROR((G147-B147)*10000,"n/a"))</f>
        <v>n/a</v>
      </c>
      <c r="H148" s="8">
        <f>IF(OR(ISBLANK(H147),ISBLANK(C147)),"n/a",IFERROR((H147-C147)*10000,"n/a"))</f>
        <v>10.000000000000009</v>
      </c>
      <c r="I148" s="30" t="str">
        <f>IF(OR(ISBLANK(I147),ISBLANK(D147)),"n/a",IFERROR((I147-D147)*10000,"n/a"))</f>
        <v>n/a</v>
      </c>
      <c r="J148" s="6"/>
      <c r="K148" s="6"/>
    </row>
    <row r="149">
      <c r="A149" s="4" t="s">
        <v>162</v>
      </c>
      <c r="B149" s="8" t="s">
        <v>34</v>
      </c>
      <c r="C149" s="8">
        <f>IF(OR(ISBLANK(C147),ISBLANK(B147)),"n/a",IFERROR((C147-B147)*10000,"n/a"))</f>
        <v>0</v>
      </c>
      <c r="D149" s="8" t="str">
        <f>IF(OR(ISBLANK(D147),ISBLANK(C147)),"n/a",IFERROR((D147-C147)*10000,"n/a"))</f>
        <v>n/a</v>
      </c>
      <c r="E149" s="8" t="str">
        <f>IF(OR(ISBLANK(E147),ISBLANK(D147)),"n/a",IFERROR((E147-D147)*10000,"n/a"))</f>
        <v>n/a</v>
      </c>
      <c r="F149" s="8" t="s">
        <v>34</v>
      </c>
      <c r="G149" s="8" t="str">
        <f>IF(OR(ISBLANK(G147),ISBLANK(E147)),"n/a",IFERROR((G147-E147)*10000,"n/a"))</f>
        <v>n/a</v>
      </c>
      <c r="H149" s="8" t="str">
        <f>IF(OR(ISBLANK(H147),ISBLANK(G147)),"n/a",IFERROR((H147-G147)*10000,"n/a"))</f>
        <v>n/a</v>
      </c>
      <c r="I149" s="30" t="str">
        <f>IF(OR(ISBLANK(I147),ISBLANK(H147)),"n/a",IFERROR((I147-H147)*10000,"n/a"))</f>
        <v>n/a</v>
      </c>
      <c r="J149" s="6"/>
      <c r="K149" s="6"/>
    </row>
    <row r="150">
      <c r="A150" s="4" t="s">
        <v>236</v>
      </c>
      <c r="B150" s="1">
        <v>622</v>
      </c>
      <c r="C150" s="1">
        <v>19</v>
      </c>
      <c r="D150" s="1">
        <v>-218</v>
      </c>
      <c r="E150" s="1">
        <v>170</v>
      </c>
      <c r="F150" s="7">
        <f>SUM(B150:E150)</f>
        <v>593</v>
      </c>
      <c r="G150" s="7">
        <f>H186-H150</f>
        <v>209</v>
      </c>
      <c r="H150" s="1">
        <v>-147</v>
      </c>
      <c r="I150" s="10" t="s">
        <v>217</v>
      </c>
      <c r="J150" s="6" t="s">
        <v>237</v>
      </c>
      <c r="K150" s="6"/>
    </row>
    <row r="151">
      <c r="A151" s="4" t="s">
        <v>173</v>
      </c>
      <c r="B151" s="7" t="s">
        <v>34</v>
      </c>
      <c r="C151" s="7" t="s">
        <v>34</v>
      </c>
      <c r="D151" s="7" t="s">
        <v>34</v>
      </c>
      <c r="E151" s="7" t="s">
        <v>34</v>
      </c>
      <c r="F151" s="7" t="s">
        <v>34</v>
      </c>
      <c r="G151" s="7">
        <f>IF(OR(ISBLANK(G150),ISBLANK(B150)),"n/a",IFERROR(G150-B150,"n/a"))</f>
        <v>-413</v>
      </c>
      <c r="H151" s="7">
        <f>IF(OR(ISBLANK(H150),ISBLANK(C150)),"n/a",IFERROR(H150-C150,"n/a"))</f>
        <v>-166</v>
      </c>
      <c r="I151" s="10" t="str">
        <f>IF(OR(ISBLANK(I150),ISBLANK(D150)),"n/a",IFERROR(I150-D150,"n/a"))</f>
        <v>n/a</v>
      </c>
      <c r="J151" s="6"/>
      <c r="K151" s="6"/>
    </row>
    <row r="152">
      <c r="A152" s="4" t="s">
        <v>153</v>
      </c>
      <c r="B152" s="7" t="s">
        <v>34</v>
      </c>
      <c r="C152" s="7">
        <f>IF(OR(ISBLANK(C150),ISBLANK(B150)),"n/a",IFERROR(C150-B150,"n/a"))</f>
        <v>-603</v>
      </c>
      <c r="D152" s="7">
        <f>IF(OR(ISBLANK(D150),ISBLANK(C150)),"n/a",IFERROR(D150-C150,"n/a"))</f>
        <v>-237</v>
      </c>
      <c r="E152" s="7">
        <f>IF(OR(ISBLANK(E150),ISBLANK(D150)),"n/a",IFERROR(E150-D150,"n/a"))</f>
        <v>388</v>
      </c>
      <c r="F152" s="7" t="s">
        <v>34</v>
      </c>
      <c r="G152" s="7">
        <f>IF(OR(ISBLANK(G150),ISBLANK(E150)),"n/a",IFERROR(G150-E150,"n/a"))</f>
        <v>39</v>
      </c>
      <c r="H152" s="7">
        <f>IF(OR(ISBLANK(H150),ISBLANK(G150)),"n/a",IFERROR(H150-G150,"n/a"))</f>
        <v>-356</v>
      </c>
      <c r="I152" s="10" t="str">
        <f>IF(OR(ISBLANK(I150),ISBLANK(H150)),"n/a",IFERROR(I150-H150,"n/a"))</f>
        <v>n/a</v>
      </c>
      <c r="J152" s="6"/>
      <c r="K152" s="6"/>
    </row>
    <row r="153">
      <c r="A153" s="27" t="s">
        <v>238</v>
      </c>
      <c r="B153" s="20">
        <v>1316</v>
      </c>
      <c r="C153" s="20">
        <v>1275</v>
      </c>
      <c r="D153" s="20">
        <v>1463</v>
      </c>
      <c r="E153" s="20">
        <v>958</v>
      </c>
      <c r="F153" s="5">
        <f>SUM(B153:E153)</f>
        <v>5012</v>
      </c>
      <c r="G153" s="20">
        <v>1462</v>
      </c>
      <c r="H153" s="20">
        <v>1412</v>
      </c>
      <c r="I153" s="2">
        <f>D153*(1+I141+I156)</f>
        <v>1609.2999999999997</v>
      </c>
      <c r="J153" s="6" t="s">
        <v>239</v>
      </c>
      <c r="K153" s="6"/>
    </row>
    <row r="154">
      <c r="A154" s="17" t="s">
        <v>102</v>
      </c>
      <c r="B154" s="16" t="s">
        <v>34</v>
      </c>
      <c r="C154" s="16" t="s">
        <v>34</v>
      </c>
      <c r="D154" s="16" t="s">
        <v>34</v>
      </c>
      <c r="E154" s="16" t="s">
        <v>34</v>
      </c>
      <c r="F154" s="16" t="s">
        <v>34</v>
      </c>
      <c r="G154" s="16">
        <f>IF(OR(ISBLANK(G153),ISBLANK(B153)),"n/a",IFERROR(G153/B153-1,"n/a"))</f>
        <v>0.11094224924012153</v>
      </c>
      <c r="H154" s="16">
        <f>IF(OR(ISBLANK(H153),ISBLANK(C153)),"n/a",IFERROR(H153/C153-1,"n/a"))</f>
        <v>0.10745098039215684</v>
      </c>
      <c r="I154" s="15">
        <f>IF(OR(ISBLANK(I153),ISBLANK(D153)),"n/a",IFERROR(I153/D153-1,"n/a"))</f>
        <v>0.09999999999999987</v>
      </c>
      <c r="J154" s="6"/>
      <c r="K154" s="6"/>
    </row>
    <row r="155">
      <c r="A155" s="17" t="s">
        <v>103</v>
      </c>
      <c r="B155" s="16" t="s">
        <v>34</v>
      </c>
      <c r="C155" s="16">
        <f>IF(OR(ISBLANK(C153),ISBLANK(B153)),"n/a",IFERROR(C153/B153-1,"n/a"))</f>
        <v>-0.03115501519756836</v>
      </c>
      <c r="D155" s="16">
        <f>IF(OR(ISBLANK(D153),ISBLANK(C153)),"n/a",IFERROR(D153/C153-1,"n/a"))</f>
        <v>0.14745098039215687</v>
      </c>
      <c r="E155" s="16">
        <f>IF(OR(ISBLANK(E153),ISBLANK(D153)),"n/a",IFERROR(E153/D153-1,"n/a"))</f>
        <v>-0.3451811346548188</v>
      </c>
      <c r="F155" s="16" t="s">
        <v>34</v>
      </c>
      <c r="G155" s="16">
        <f>IF(OR(ISBLANK(G153),ISBLANK(E153)),"n/a",IFERROR(G153/E153-1,"n/a"))</f>
        <v>0.5260960334029228</v>
      </c>
      <c r="H155" s="16">
        <f>IF(OR(ISBLANK(H153),ISBLANK(G153)),"n/a",IFERROR(H153/G153-1,"n/a"))</f>
        <v>-0.034199726402188824</v>
      </c>
      <c r="I155" s="15">
        <f>IF(OR(ISBLANK(I153),ISBLANK(H153)),"n/a",IFERROR(I153/H153-1,"n/a"))</f>
        <v>0.1397308781869686</v>
      </c>
      <c r="J155" s="6"/>
      <c r="K155" s="6"/>
    </row>
    <row r="156">
      <c r="A156" s="17" t="s">
        <v>240</v>
      </c>
      <c r="B156" s="16"/>
      <c r="C156" s="16"/>
      <c r="D156" s="16">
        <f>D153/D187-1-D141</f>
        <v>0.05347718484145399</v>
      </c>
      <c r="E156" s="16"/>
      <c r="F156" s="16"/>
      <c r="G156" s="16">
        <f>G154-G141</f>
        <v>0.02294224924012153</v>
      </c>
      <c r="H156" s="16">
        <f>H154-H141</f>
        <v>0.014450980392156837</v>
      </c>
      <c r="I156" s="46">
        <v>0.005</v>
      </c>
      <c r="J156" s="6" t="s">
        <v>241</v>
      </c>
      <c r="K156" s="6"/>
    </row>
    <row r="157">
      <c r="A157" s="4" t="s">
        <v>161</v>
      </c>
      <c r="B157" s="8" t="s">
        <v>34</v>
      </c>
      <c r="C157" s="8" t="s">
        <v>34</v>
      </c>
      <c r="D157" s="8" t="s">
        <v>34</v>
      </c>
      <c r="E157" s="8" t="s">
        <v>34</v>
      </c>
      <c r="F157" s="8" t="s">
        <v>34</v>
      </c>
      <c r="G157" s="8" t="str">
        <f>IF(OR(ISBLANK(G156),ISBLANK(B156)),"n/a",IFERROR((G156-B156)*10000,"n/a"))</f>
        <v>n/a</v>
      </c>
      <c r="H157" s="8" t="str">
        <f>IF(OR(ISBLANK(H156),ISBLANK(C156)),"n/a",IFERROR((H156-C156)*10000,"n/a"))</f>
        <v>n/a</v>
      </c>
      <c r="I157" s="30">
        <f>IF(OR(ISBLANK(I156),ISBLANK(D156)),"n/a",IFERROR((I156-D156)*10000,"n/a"))</f>
        <v>-484.7718484145399</v>
      </c>
      <c r="J157" s="6"/>
      <c r="K157" s="6"/>
    </row>
    <row r="158">
      <c r="A158" s="4" t="s">
        <v>162</v>
      </c>
      <c r="B158" s="8" t="s">
        <v>34</v>
      </c>
      <c r="C158" s="8" t="str">
        <f>IF(OR(ISBLANK(C156),ISBLANK(B156)),"n/a",IFERROR((C156-B156)*10000,"n/a"))</f>
        <v>n/a</v>
      </c>
      <c r="D158" s="8" t="str">
        <f>IF(OR(ISBLANK(D156),ISBLANK(C156)),"n/a",IFERROR((D156-C156)*10000,"n/a"))</f>
        <v>n/a</v>
      </c>
      <c r="E158" s="8" t="str">
        <f>IF(OR(ISBLANK(E156),ISBLANK(D156)),"n/a",IFERROR((E156-D156)*10000,"n/a"))</f>
        <v>n/a</v>
      </c>
      <c r="F158" s="8" t="s">
        <v>34</v>
      </c>
      <c r="G158" s="8" t="str">
        <f>IF(OR(ISBLANK(G156),ISBLANK(E156)),"n/a",IFERROR((G156-E156)*10000,"n/a"))</f>
        <v>n/a</v>
      </c>
      <c r="H158" s="8">
        <f>IF(OR(ISBLANK(H156),ISBLANK(G156)),"n/a",IFERROR((H156-G156)*10000,"n/a"))</f>
        <v>-84.91268847964695</v>
      </c>
      <c r="I158" s="30">
        <f>IF(OR(ISBLANK(I156),ISBLANK(H156)),"n/a",IFERROR((I156-H156)*10000,"n/a"))</f>
        <v>-94.50980392156836</v>
      </c>
      <c r="J158" s="6"/>
      <c r="K158" s="6"/>
    </row>
    <row r="159">
      <c r="A159" s="4" t="s">
        <v>242</v>
      </c>
      <c r="B159" s="36">
        <f>B153/'Share Count'!B13</f>
        <v>0.638524987869966</v>
      </c>
      <c r="C159" s="36">
        <f>C153/'Share Count'!C13</f>
        <v>0.6185416969873381</v>
      </c>
      <c r="D159" s="36">
        <f>D153/'Share Count'!D13</f>
        <v>0.7065584854631508</v>
      </c>
      <c r="E159" s="36">
        <f>E153/'Share Count'!E13</f>
        <v>0.45859262805169937</v>
      </c>
      <c r="F159" s="36">
        <f>F153/'Share Count'!F13</f>
        <v>2.4200869145340413</v>
      </c>
      <c r="G159" s="36">
        <f>G153/'Share Count'!G13</f>
        <v>0.6985522480768311</v>
      </c>
      <c r="H159" s="36">
        <f>H153/'Share Count'!H13</f>
        <v>0.6745008120760485</v>
      </c>
      <c r="I159" s="42">
        <f>I153/'Share Count'!I13</f>
        <v>0.7685291308500476</v>
      </c>
      <c r="J159" s="6" t="s">
        <v>243</v>
      </c>
      <c r="K159" s="6"/>
    </row>
    <row r="160">
      <c r="A160" s="4" t="s">
        <v>244</v>
      </c>
      <c r="B160" s="24">
        <v>0.64</v>
      </c>
      <c r="C160" s="24">
        <v>0.62</v>
      </c>
      <c r="D160" s="24">
        <v>0.71</v>
      </c>
      <c r="E160" s="24">
        <v>0.46</v>
      </c>
      <c r="F160" s="24">
        <v>2.42</v>
      </c>
      <c r="G160" s="24">
        <v>0.7</v>
      </c>
      <c r="H160" s="24">
        <v>0.67</v>
      </c>
      <c r="I160" s="25"/>
      <c r="J160" s="6" t="s">
        <v>245</v>
      </c>
      <c r="K160" s="6"/>
    </row>
    <row r="161">
      <c r="A161" s="4" t="s">
        <v>246</v>
      </c>
      <c r="B161" s="18" t="s">
        <v>34</v>
      </c>
      <c r="C161" s="18" t="s">
        <v>34</v>
      </c>
      <c r="D161" s="18" t="s">
        <v>34</v>
      </c>
      <c r="E161" s="18" t="s">
        <v>34</v>
      </c>
      <c r="F161" s="18" t="s">
        <v>34</v>
      </c>
      <c r="G161" s="18">
        <f>IF(OR(ISBLANK(G159),ISBLANK(B159)),"n/a",IFERROR(G159-B159,"n/a"))</f>
        <v>0.06002726020686511</v>
      </c>
      <c r="H161" s="18">
        <f>IF(OR(ISBLANK(H159),ISBLANK(C159)),"n/a",IFERROR(H159-C159,"n/a"))</f>
        <v>0.05595911508871043</v>
      </c>
      <c r="I161" s="25">
        <f>IF(OR(ISBLANK(I159),ISBLANK(D159)),"n/a",IFERROR(I159-D159,"n/a"))</f>
        <v>0.06197064538689678</v>
      </c>
      <c r="J161" s="6"/>
      <c r="K161" s="6"/>
    </row>
    <row r="162">
      <c r="A162" s="4" t="s">
        <v>247</v>
      </c>
      <c r="B162" s="18" t="s">
        <v>34</v>
      </c>
      <c r="C162" s="18">
        <f>IF(OR(ISBLANK(C159),ISBLANK(B159)),"n/a",IFERROR(C159-B159,"n/a"))</f>
        <v>-0.019983290882627958</v>
      </c>
      <c r="D162" s="18">
        <f>IF(OR(ISBLANK(D159),ISBLANK(C159)),"n/a",IFERROR(D159-C159,"n/a"))</f>
        <v>0.08801678847581274</v>
      </c>
      <c r="E162" s="18">
        <f>IF(OR(ISBLANK(E159),ISBLANK(D159)),"n/a",IFERROR(E159-D159,"n/a"))</f>
        <v>-0.24796585741145144</v>
      </c>
      <c r="F162" s="18" t="s">
        <v>34</v>
      </c>
      <c r="G162" s="18">
        <f>IF(OR(ISBLANK(G159),ISBLANK(E159)),"n/a",IFERROR(G159-E159,"n/a"))</f>
        <v>0.23995962002513177</v>
      </c>
      <c r="H162" s="18">
        <f>IF(OR(ISBLANK(H159),ISBLANK(G159)),"n/a",IFERROR(H159-G159,"n/a"))</f>
        <v>-0.024051436000782633</v>
      </c>
      <c r="I162" s="25">
        <f>IF(OR(ISBLANK(I159),ISBLANK(H159)),"n/a",IFERROR(I159-H159,"n/a"))</f>
        <v>0.09402831877399909</v>
      </c>
      <c r="J162" s="6"/>
      <c r="K162" s="6"/>
    </row>
    <row r="163">
      <c r="A163" s="3"/>
      <c r="B163" s="3"/>
      <c r="C163" s="3"/>
      <c r="D163" s="3"/>
      <c r="E163" s="3"/>
      <c r="F163" s="3"/>
      <c r="G163" s="3"/>
      <c r="H163" s="3"/>
      <c r="I163" s="11"/>
      <c r="J163" s="6"/>
      <c r="K163" s="6"/>
    </row>
    <row r="164">
      <c r="A164" s="26" t="s">
        <v>248</v>
      </c>
      <c r="B164" s="3"/>
      <c r="C164" s="3"/>
      <c r="D164" s="3"/>
      <c r="E164" s="3"/>
      <c r="F164" s="3"/>
      <c r="G164" s="3"/>
      <c r="H164" s="3"/>
      <c r="I164" s="11"/>
      <c r="J164" s="6"/>
      <c r="K164" s="6"/>
    </row>
    <row r="165">
      <c r="A165" s="4" t="s">
        <v>249</v>
      </c>
      <c r="B165" s="7"/>
      <c r="C165" s="7"/>
      <c r="D165" s="7"/>
      <c r="E165" s="7"/>
      <c r="F165" s="7"/>
      <c r="G165" s="7"/>
      <c r="H165" s="1">
        <v>33491</v>
      </c>
      <c r="I165" s="10"/>
      <c r="J165" s="6" t="s">
        <v>250</v>
      </c>
      <c r="K165" s="6"/>
    </row>
    <row r="166">
      <c r="A166" s="4" t="s">
        <v>251</v>
      </c>
      <c r="B166" s="7"/>
      <c r="C166" s="7"/>
      <c r="D166" s="7"/>
      <c r="E166" s="7"/>
      <c r="F166" s="7"/>
      <c r="G166" s="7"/>
      <c r="H166" s="1">
        <v>25659</v>
      </c>
      <c r="I166" s="10"/>
      <c r="J166" s="6" t="s">
        <v>250</v>
      </c>
      <c r="K166" s="6"/>
    </row>
    <row r="167">
      <c r="A167" s="4" t="s">
        <v>252</v>
      </c>
      <c r="B167" s="7"/>
      <c r="C167" s="7"/>
      <c r="D167" s="7"/>
      <c r="E167" s="7"/>
      <c r="F167" s="7"/>
      <c r="G167" s="7"/>
      <c r="H167" s="1">
        <v>2214</v>
      </c>
      <c r="I167" s="10"/>
      <c r="J167" s="6" t="s">
        <v>250</v>
      </c>
      <c r="K167" s="6"/>
    </row>
    <row r="168">
      <c r="A168" s="4" t="s">
        <v>253</v>
      </c>
      <c r="B168" s="7"/>
      <c r="C168" s="7"/>
      <c r="D168" s="7"/>
      <c r="E168" s="7"/>
      <c r="F168" s="7"/>
      <c r="G168" s="7"/>
      <c r="H168" s="1">
        <v>255</v>
      </c>
      <c r="I168" s="10"/>
      <c r="J168" s="6" t="s">
        <v>250</v>
      </c>
      <c r="K168" s="6"/>
    </row>
    <row r="169">
      <c r="A169" s="4" t="s">
        <v>254</v>
      </c>
      <c r="B169" s="7"/>
      <c r="C169" s="7"/>
      <c r="D169" s="7"/>
      <c r="E169" s="7"/>
      <c r="F169" s="7"/>
      <c r="G169" s="7"/>
      <c r="H169" s="1">
        <v>1406</v>
      </c>
      <c r="I169" s="10"/>
      <c r="J169" s="6" t="s">
        <v>250</v>
      </c>
      <c r="K169" s="6"/>
    </row>
    <row r="170">
      <c r="A170" s="4" t="s">
        <v>255</v>
      </c>
      <c r="B170" s="7"/>
      <c r="C170" s="7"/>
      <c r="D170" s="7"/>
      <c r="E170" s="7"/>
      <c r="F170" s="7"/>
      <c r="G170" s="7"/>
      <c r="H170" s="1">
        <v>4012</v>
      </c>
      <c r="I170" s="10"/>
      <c r="J170" s="6" t="s">
        <v>250</v>
      </c>
      <c r="K170" s="6"/>
    </row>
    <row r="171">
      <c r="A171" s="4" t="s">
        <v>256</v>
      </c>
      <c r="B171" s="7"/>
      <c r="C171" s="7"/>
      <c r="D171" s="7"/>
      <c r="E171" s="7"/>
      <c r="F171" s="7"/>
      <c r="G171" s="7"/>
      <c r="H171" s="1">
        <v>2149</v>
      </c>
      <c r="I171" s="10"/>
      <c r="J171" s="6" t="s">
        <v>250</v>
      </c>
      <c r="K171" s="6"/>
    </row>
    <row r="172">
      <c r="A172" s="4" t="s">
        <v>257</v>
      </c>
      <c r="B172" s="47"/>
      <c r="C172" s="47"/>
      <c r="D172" s="47"/>
      <c r="E172" s="47"/>
      <c r="F172" s="47"/>
      <c r="G172" s="47"/>
      <c r="H172" s="56">
        <v>14.97</v>
      </c>
      <c r="I172" s="59"/>
      <c r="J172" s="6" t="s">
        <v>250</v>
      </c>
      <c r="K172" s="6"/>
    </row>
    <row r="173">
      <c r="A173" s="4" t="s">
        <v>258</v>
      </c>
      <c r="B173" s="47"/>
      <c r="C173" s="47"/>
      <c r="D173" s="47"/>
      <c r="E173" s="47"/>
      <c r="F173" s="47"/>
      <c r="G173" s="47"/>
      <c r="H173" s="56">
        <v>11.61</v>
      </c>
      <c r="I173" s="59"/>
      <c r="J173" s="6" t="s">
        <v>250</v>
      </c>
      <c r="K173" s="6"/>
    </row>
    <row r="174">
      <c r="A174" s="4" t="s">
        <v>259</v>
      </c>
      <c r="B174" s="47"/>
      <c r="C174" s="47"/>
      <c r="D174" s="47"/>
      <c r="E174" s="47"/>
      <c r="F174" s="47"/>
      <c r="G174" s="47"/>
      <c r="H174" s="56">
        <v>8.18</v>
      </c>
      <c r="I174" s="59"/>
      <c r="J174" s="6" t="s">
        <v>250</v>
      </c>
      <c r="K174" s="6"/>
    </row>
    <row r="175">
      <c r="A175" s="4" t="s">
        <v>260</v>
      </c>
      <c r="B175" s="47"/>
      <c r="C175" s="47"/>
      <c r="D175" s="47"/>
      <c r="E175" s="47"/>
      <c r="F175" s="47"/>
      <c r="G175" s="47"/>
      <c r="H175" s="56">
        <v>13.07</v>
      </c>
      <c r="I175" s="59"/>
      <c r="J175" s="6" t="s">
        <v>250</v>
      </c>
      <c r="K175" s="6"/>
    </row>
    <row r="176">
      <c r="A176" s="4" t="s">
        <v>261</v>
      </c>
      <c r="B176" s="7"/>
      <c r="C176" s="7"/>
      <c r="D176" s="7"/>
      <c r="E176" s="7"/>
      <c r="F176" s="7"/>
      <c r="G176" s="7"/>
      <c r="H176" s="1">
        <v>5442</v>
      </c>
      <c r="I176" s="10"/>
      <c r="J176" s="6" t="s">
        <v>250</v>
      </c>
      <c r="K176" s="6"/>
    </row>
    <row r="177">
      <c r="A177" s="4" t="s">
        <v>262</v>
      </c>
      <c r="B177" s="7"/>
      <c r="C177" s="7"/>
      <c r="D177" s="7"/>
      <c r="E177" s="7"/>
      <c r="F177" s="7"/>
      <c r="G177" s="7"/>
      <c r="H177" s="1">
        <v>667</v>
      </c>
      <c r="I177" s="10"/>
      <c r="J177" s="6" t="s">
        <v>250</v>
      </c>
      <c r="K177" s="6"/>
    </row>
    <row r="178">
      <c r="A178" s="4" t="s">
        <v>263</v>
      </c>
      <c r="B178" s="7"/>
      <c r="C178" s="7"/>
      <c r="D178" s="7"/>
      <c r="E178" s="7"/>
      <c r="F178" s="7"/>
      <c r="G178" s="7"/>
      <c r="H178" s="1">
        <v>14</v>
      </c>
      <c r="I178" s="10"/>
      <c r="J178" s="6" t="s">
        <v>250</v>
      </c>
      <c r="K178" s="6"/>
    </row>
    <row r="179">
      <c r="A179" s="4" t="s">
        <v>264</v>
      </c>
      <c r="B179" s="7"/>
      <c r="C179" s="7"/>
      <c r="D179" s="7"/>
      <c r="E179" s="7"/>
      <c r="F179" s="7"/>
      <c r="G179" s="7"/>
      <c r="H179" s="1">
        <v>8</v>
      </c>
      <c r="I179" s="10"/>
      <c r="J179" s="6" t="s">
        <v>250</v>
      </c>
      <c r="K179" s="6"/>
    </row>
    <row r="180">
      <c r="A180" s="4" t="s">
        <v>265</v>
      </c>
      <c r="B180" s="7"/>
      <c r="C180" s="7"/>
      <c r="D180" s="7"/>
      <c r="E180" s="7"/>
      <c r="F180" s="7"/>
      <c r="G180" s="7"/>
      <c r="H180" s="1">
        <v>842</v>
      </c>
      <c r="I180" s="10"/>
      <c r="J180" s="6" t="s">
        <v>250</v>
      </c>
      <c r="K180" s="6"/>
    </row>
    <row r="181">
      <c r="A181" s="4" t="s">
        <v>266</v>
      </c>
      <c r="B181" s="7"/>
      <c r="C181" s="7"/>
      <c r="D181" s="7"/>
      <c r="E181" s="7"/>
      <c r="F181" s="7"/>
      <c r="G181" s="7"/>
      <c r="H181" s="1">
        <v>786</v>
      </c>
      <c r="I181" s="10"/>
      <c r="J181" s="6" t="s">
        <v>250</v>
      </c>
      <c r="K181" s="6"/>
    </row>
    <row r="182">
      <c r="A182" s="4" t="s">
        <v>267</v>
      </c>
      <c r="B182" s="7"/>
      <c r="C182" s="7"/>
      <c r="D182" s="7"/>
      <c r="E182" s="7"/>
      <c r="F182" s="7"/>
      <c r="G182" s="7"/>
      <c r="H182" s="1">
        <v>561</v>
      </c>
      <c r="I182" s="10"/>
      <c r="J182" s="6" t="s">
        <v>268</v>
      </c>
      <c r="K182" s="6"/>
    </row>
    <row r="183">
      <c r="A183" s="4" t="s">
        <v>269</v>
      </c>
      <c r="B183" s="7"/>
      <c r="C183" s="7"/>
      <c r="D183" s="7"/>
      <c r="E183" s="7"/>
      <c r="F183" s="7"/>
      <c r="G183" s="7"/>
      <c r="H183" s="1">
        <v>207</v>
      </c>
      <c r="I183" s="10"/>
      <c r="J183" s="6" t="s">
        <v>268</v>
      </c>
      <c r="K183" s="6"/>
    </row>
    <row r="184">
      <c r="A184" s="4" t="s">
        <v>270</v>
      </c>
      <c r="B184" s="7"/>
      <c r="C184" s="7"/>
      <c r="D184" s="7"/>
      <c r="E184" s="7"/>
      <c r="F184" s="7"/>
      <c r="G184" s="7"/>
      <c r="H184" s="1">
        <v>108</v>
      </c>
      <c r="I184" s="10"/>
      <c r="J184" s="6" t="s">
        <v>268</v>
      </c>
      <c r="K184" s="6"/>
    </row>
    <row r="185">
      <c r="A185" s="4" t="s">
        <v>271</v>
      </c>
      <c r="B185" s="7"/>
      <c r="C185" s="7"/>
      <c r="D185" s="7"/>
      <c r="E185" s="7"/>
      <c r="F185" s="7"/>
      <c r="G185" s="7"/>
      <c r="H185" s="1">
        <v>-556</v>
      </c>
      <c r="I185" s="10"/>
      <c r="J185" s="6" t="s">
        <v>268</v>
      </c>
      <c r="K185" s="6"/>
    </row>
    <row r="186">
      <c r="A186" s="4" t="s">
        <v>272</v>
      </c>
      <c r="B186" s="7"/>
      <c r="C186" s="7"/>
      <c r="D186" s="7"/>
      <c r="E186" s="7"/>
      <c r="F186" s="7"/>
      <c r="G186" s="7"/>
      <c r="H186" s="1">
        <v>62</v>
      </c>
      <c r="I186" s="10"/>
      <c r="J186" s="6" t="s">
        <v>268</v>
      </c>
      <c r="K186" s="6"/>
    </row>
    <row r="187">
      <c r="A187" s="4" t="s">
        <v>273</v>
      </c>
      <c r="B187" s="7"/>
      <c r="C187" s="7"/>
      <c r="D187" s="1">
        <v>1293</v>
      </c>
      <c r="E187" s="7"/>
      <c r="F187" s="7"/>
      <c r="G187" s="7"/>
      <c r="H187" s="7"/>
      <c r="I187" s="10"/>
      <c r="J187" s="6" t="s">
        <v>274</v>
      </c>
      <c r="K187" s="6"/>
    </row>
    <row r="188">
      <c r="A188" s="3"/>
      <c r="B188" s="3"/>
      <c r="C188" s="3"/>
      <c r="D188" s="3"/>
      <c r="E188" s="3"/>
      <c r="F188" s="3"/>
      <c r="G188" s="3"/>
      <c r="H188" s="3"/>
      <c r="I188" s="11"/>
      <c r="J188" s="6"/>
      <c r="K188" s="6"/>
    </row>
    <row r="189">
      <c r="A189" s="3"/>
      <c r="B189" s="3"/>
      <c r="C189" s="3"/>
      <c r="D189" s="3"/>
      <c r="E189" s="3"/>
      <c r="F189" s="3"/>
      <c r="G189" s="3"/>
      <c r="H189" s="3"/>
      <c r="I189" s="11"/>
      <c r="J189" s="6"/>
      <c r="K189" s="6"/>
    </row>
    <row r="190">
      <c r="A190" s="3"/>
      <c r="B190" s="3"/>
      <c r="C190" s="3"/>
      <c r="D190" s="3"/>
      <c r="E190" s="3"/>
      <c r="F190" s="3"/>
      <c r="G190" s="3"/>
      <c r="H190" s="3"/>
      <c r="I190" s="11"/>
      <c r="J190" s="6"/>
      <c r="K190" s="6"/>
    </row>
  </sheetData>
</worksheet>
</file>

<file path=xl/worksheets/sheet4.xml><?xml version="1.0" encoding="utf-8"?>
<worksheet xmlns="http://schemas.openxmlformats.org/spreadsheetml/2006/main" xmlns:r="http://schemas.openxmlformats.org/officeDocument/2006/relationships">
  <dimension ref="A1:K89"/>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275</v>
      </c>
      <c r="B2" s="3"/>
      <c r="C2" s="3"/>
      <c r="D2" s="3"/>
      <c r="E2" s="3"/>
      <c r="F2" s="3"/>
      <c r="G2" s="3"/>
      <c r="H2" s="3"/>
      <c r="I2" s="3"/>
      <c r="J2" s="3"/>
      <c r="K2" s="3"/>
    </row>
    <row r="3">
      <c r="A3" s="37" t="s">
        <v>2</v>
      </c>
      <c r="B3" s="3"/>
      <c r="C3" s="3"/>
      <c r="D3" s="3"/>
      <c r="E3" s="3"/>
      <c r="F3" s="3"/>
      <c r="G3" s="3"/>
      <c r="H3" s="3"/>
      <c r="I3" s="3"/>
      <c r="J3" s="3"/>
      <c r="K3" s="3"/>
    </row>
    <row r="4">
      <c r="A4" s="12" t="s">
        <v>88</v>
      </c>
      <c r="B4" s="9" t="s">
        <v>89</v>
      </c>
      <c r="C4" s="9" t="s">
        <v>90</v>
      </c>
      <c r="D4" s="9" t="s">
        <v>91</v>
      </c>
      <c r="E4" s="9" t="s">
        <v>92</v>
      </c>
      <c r="F4" s="9" t="s">
        <v>93</v>
      </c>
      <c r="G4" s="9" t="s">
        <v>94</v>
      </c>
      <c r="H4" s="9" t="s">
        <v>95</v>
      </c>
      <c r="I4" s="9" t="s">
        <v>96</v>
      </c>
      <c r="J4" s="12" t="s">
        <v>4</v>
      </c>
      <c r="K4" s="3"/>
    </row>
    <row r="5">
      <c r="A5" s="28" t="s">
        <v>97</v>
      </c>
      <c r="B5" s="22">
        <f>DATE(2025,3,31)</f>
        <v>45747</v>
      </c>
      <c r="C5" s="22">
        <f>DATE(2025,6,30)</f>
        <v>45838</v>
      </c>
      <c r="D5" s="22">
        <f>DATE(2025,9,30)</f>
        <v>45930</v>
      </c>
      <c r="E5" s="22">
        <f>DATE(2025,12,31)</f>
        <v>46022</v>
      </c>
      <c r="F5" s="22">
        <f>DATE(2025,12,31)</f>
        <v>46022</v>
      </c>
      <c r="G5" s="22">
        <f>DATE(2026,3,31)</f>
        <v>46112</v>
      </c>
      <c r="H5" s="22">
        <f>DATE(2026,6,30)</f>
        <v>46203</v>
      </c>
      <c r="I5" s="22">
        <f>DATE(2026,9,30)</f>
        <v>46295</v>
      </c>
      <c r="J5" s="28"/>
      <c r="K5" s="3"/>
    </row>
    <row r="6">
      <c r="A6" s="33" t="s">
        <v>98</v>
      </c>
      <c r="B6" s="13">
        <f>B5-EOMONTH(B5,-3)</f>
        <v>90</v>
      </c>
      <c r="C6" s="13">
        <f>C5-EOMONTH(C5,-3)</f>
        <v>91</v>
      </c>
      <c r="D6" s="13">
        <f>D5-EOMONTH(D5,-3)</f>
        <v>92</v>
      </c>
      <c r="E6" s="13">
        <f>E5-EOMONTH(E5,-3)</f>
        <v>92</v>
      </c>
      <c r="F6" s="13">
        <f>F5-EOMONTH(F5,-12)</f>
        <v>365</v>
      </c>
      <c r="G6" s="13">
        <f>G5-EOMONTH(G5,-3)</f>
        <v>90</v>
      </c>
      <c r="H6" s="13">
        <f>H5-EOMONTH(H5,-3)</f>
        <v>91</v>
      </c>
      <c r="I6" s="13">
        <f>I5-EOMONTH(I5,-3)</f>
        <v>92</v>
      </c>
      <c r="J6" s="33"/>
      <c r="K6" s="3"/>
    </row>
    <row r="7">
      <c r="A7" s="3"/>
      <c r="B7" s="3"/>
      <c r="C7" s="3"/>
      <c r="D7" s="3"/>
      <c r="E7" s="3"/>
      <c r="F7" s="3"/>
      <c r="G7" s="3"/>
      <c r="H7" s="3"/>
      <c r="I7" s="11"/>
      <c r="J7" s="3"/>
      <c r="K7" s="3"/>
    </row>
    <row r="8">
      <c r="A8" s="26" t="s">
        <v>276</v>
      </c>
      <c r="B8" s="3"/>
      <c r="C8" s="3"/>
      <c r="D8" s="3"/>
      <c r="E8" s="3"/>
      <c r="F8" s="3"/>
      <c r="G8" s="3"/>
      <c r="H8" s="3"/>
      <c r="I8" s="11"/>
      <c r="J8" s="6"/>
      <c r="K8" s="6"/>
    </row>
    <row r="9">
      <c r="A9" s="4" t="s">
        <v>277</v>
      </c>
      <c r="B9" s="47" t="s">
        <v>34</v>
      </c>
      <c r="C9" s="47">
        <f>B17</f>
        <v>28</v>
      </c>
      <c r="D9" s="47">
        <f>C17</f>
        <v>29.9</v>
      </c>
      <c r="E9" s="47">
        <f>D17</f>
        <v>29.6</v>
      </c>
      <c r="F9" s="47" t="s">
        <v>34</v>
      </c>
      <c r="G9" s="47">
        <f>E17</f>
        <v>30</v>
      </c>
      <c r="H9" s="47">
        <f>G17</f>
        <v>33</v>
      </c>
      <c r="I9" s="59">
        <f>H17</f>
        <v>35.1</v>
      </c>
      <c r="J9" s="6" t="s">
        <v>278</v>
      </c>
      <c r="K9" s="6"/>
    </row>
    <row r="10">
      <c r="A10" s="4" t="s">
        <v>279</v>
      </c>
      <c r="B10" s="56">
        <v>3.2</v>
      </c>
      <c r="C10" s="56">
        <v>3.2</v>
      </c>
      <c r="D10" s="56">
        <v>3</v>
      </c>
      <c r="E10" s="56">
        <v>3.6</v>
      </c>
      <c r="F10" s="47">
        <f>SUM(B10:E10)</f>
        <v>13</v>
      </c>
      <c r="G10" s="56">
        <v>4</v>
      </c>
      <c r="H10" s="56">
        <v>3.6</v>
      </c>
      <c r="I10" s="60">
        <v>3.5</v>
      </c>
      <c r="J10" s="6" t="s">
        <v>280</v>
      </c>
      <c r="K10" s="6"/>
    </row>
    <row r="11">
      <c r="A11" s="4" t="s">
        <v>281</v>
      </c>
      <c r="B11" s="47" t="s">
        <v>34</v>
      </c>
      <c r="C11" s="47" t="s">
        <v>34</v>
      </c>
      <c r="D11" s="47" t="s">
        <v>34</v>
      </c>
      <c r="E11" s="47" t="s">
        <v>34</v>
      </c>
      <c r="F11" s="47" t="s">
        <v>34</v>
      </c>
      <c r="G11" s="47">
        <f>IF(OR(ISBLANK(G10),ISBLANK(B10)),"n/a",IFERROR(G10-B10,"n/a"))</f>
        <v>0.7999999999999998</v>
      </c>
      <c r="H11" s="47">
        <f>IF(OR(ISBLANK(H10),ISBLANK(C10)),"n/a",IFERROR(H10-C10,"n/a"))</f>
        <v>0.3999999999999999</v>
      </c>
      <c r="I11" s="59">
        <f>IF(OR(ISBLANK(I10),ISBLANK(D10)),"n/a",IFERROR(I10-D10,"n/a"))</f>
        <v>0.5</v>
      </c>
      <c r="J11" s="6"/>
      <c r="K11" s="6"/>
    </row>
    <row r="12">
      <c r="A12" s="4" t="s">
        <v>153</v>
      </c>
      <c r="B12" s="47" t="s">
        <v>34</v>
      </c>
      <c r="C12" s="47">
        <f>IF(OR(ISBLANK(C10),ISBLANK(B10)),"n/a",IFERROR(C10-B10,"n/a"))</f>
        <v>0</v>
      </c>
      <c r="D12" s="47">
        <f>IF(OR(ISBLANK(D10),ISBLANK(C10)),"n/a",IFERROR(D10-C10,"n/a"))</f>
        <v>-0.20000000000000018</v>
      </c>
      <c r="E12" s="47">
        <f>IF(OR(ISBLANK(E10),ISBLANK(D10)),"n/a",IFERROR(E10-D10,"n/a"))</f>
        <v>0.6000000000000001</v>
      </c>
      <c r="F12" s="47" t="s">
        <v>34</v>
      </c>
      <c r="G12" s="47">
        <f>IF(OR(ISBLANK(G10),ISBLANK(E10)),"n/a",IFERROR(G10-E10,"n/a"))</f>
        <v>0.3999999999999999</v>
      </c>
      <c r="H12" s="47">
        <f>IF(OR(ISBLANK(H10),ISBLANK(G10)),"n/a",IFERROR(H10-G10,"n/a"))</f>
        <v>-0.3999999999999999</v>
      </c>
      <c r="I12" s="59">
        <f>IF(OR(ISBLANK(I10),ISBLANK(H10)),"n/a",IFERROR(I10-H10,"n/a"))</f>
        <v>-0.10000000000000009</v>
      </c>
      <c r="J12" s="6"/>
      <c r="K12" s="6"/>
    </row>
    <row r="13">
      <c r="A13" s="4" t="s">
        <v>282</v>
      </c>
      <c r="B13" s="56">
        <v>0.7</v>
      </c>
      <c r="C13" s="56">
        <v>1.1</v>
      </c>
      <c r="D13" s="56">
        <v>1.7</v>
      </c>
      <c r="E13" s="56">
        <v>3.6</v>
      </c>
      <c r="F13" s="47">
        <f>SUM(B13:E13)</f>
        <v>7.1</v>
      </c>
      <c r="G13" s="56">
        <v>0.3</v>
      </c>
      <c r="H13" s="56">
        <v>1.1</v>
      </c>
      <c r="I13" s="60">
        <v>1.5</v>
      </c>
      <c r="J13" s="6" t="s">
        <v>283</v>
      </c>
      <c r="K13" s="6"/>
    </row>
    <row r="14">
      <c r="A14" s="4" t="s">
        <v>281</v>
      </c>
      <c r="B14" s="47" t="s">
        <v>34</v>
      </c>
      <c r="C14" s="47" t="s">
        <v>34</v>
      </c>
      <c r="D14" s="47" t="s">
        <v>34</v>
      </c>
      <c r="E14" s="47" t="s">
        <v>34</v>
      </c>
      <c r="F14" s="47" t="s">
        <v>34</v>
      </c>
      <c r="G14" s="47">
        <f>IF(OR(ISBLANK(G13),ISBLANK(B13)),"n/a",IFERROR(G13-B13,"n/a"))</f>
        <v>-0.39999999999999997</v>
      </c>
      <c r="H14" s="47">
        <f>IF(OR(ISBLANK(H13),ISBLANK(C13)),"n/a",IFERROR(H13-C13,"n/a"))</f>
        <v>0</v>
      </c>
      <c r="I14" s="59">
        <f>IF(OR(ISBLANK(I13),ISBLANK(D13)),"n/a",IFERROR(I13-D13,"n/a"))</f>
        <v>-0.19999999999999996</v>
      </c>
      <c r="J14" s="6"/>
      <c r="K14" s="6"/>
    </row>
    <row r="15">
      <c r="A15" s="4" t="s">
        <v>153</v>
      </c>
      <c r="B15" s="47" t="s">
        <v>34</v>
      </c>
      <c r="C15" s="47">
        <f>IF(OR(ISBLANK(C13),ISBLANK(B13)),"n/a",IFERROR(C13-B13,"n/a"))</f>
        <v>0.40000000000000013</v>
      </c>
      <c r="D15" s="47">
        <f>IF(OR(ISBLANK(D13),ISBLANK(C13)),"n/a",IFERROR(D13-C13,"n/a"))</f>
        <v>0.5999999999999999</v>
      </c>
      <c r="E15" s="47">
        <f>IF(OR(ISBLANK(E13),ISBLANK(D13)),"n/a",IFERROR(E13-D13,"n/a"))</f>
        <v>1.9000000000000001</v>
      </c>
      <c r="F15" s="47" t="s">
        <v>34</v>
      </c>
      <c r="G15" s="47">
        <f>IF(OR(ISBLANK(G13),ISBLANK(E13)),"n/a",IFERROR(G13-E13,"n/a"))</f>
        <v>-3.3000000000000003</v>
      </c>
      <c r="H15" s="47">
        <f>IF(OR(ISBLANK(H13),ISBLANK(G13)),"n/a",IFERROR(H13-G13,"n/a"))</f>
        <v>0.8</v>
      </c>
      <c r="I15" s="59">
        <f>IF(OR(ISBLANK(I13),ISBLANK(H13)),"n/a",IFERROR(I13-H13,"n/a"))</f>
        <v>0.3999999999999999</v>
      </c>
      <c r="J15" s="6"/>
      <c r="K15" s="6"/>
    </row>
    <row r="16">
      <c r="A16" s="4" t="s">
        <v>284</v>
      </c>
      <c r="B16" s="47" t="s">
        <v>34</v>
      </c>
      <c r="C16" s="47">
        <f>C17-C9-C10+C13</f>
        <v>-0.2000000000000015</v>
      </c>
      <c r="D16" s="47">
        <f>D17-D9-D10+D13</f>
        <v>-1.5999999999999972</v>
      </c>
      <c r="E16" s="47">
        <f>E17-E9-E10+E13</f>
        <v>0.3999999999999986</v>
      </c>
      <c r="F16" s="47" t="s">
        <v>34</v>
      </c>
      <c r="G16" s="47">
        <f>G17-G9-G10+G13</f>
        <v>-0.7</v>
      </c>
      <c r="H16" s="47">
        <f>H17-H9-H10+H13</f>
        <v>-0.3999999999999986</v>
      </c>
      <c r="I16" s="60">
        <v>-0.5</v>
      </c>
      <c r="J16" s="6" t="s">
        <v>285</v>
      </c>
      <c r="K16" s="6"/>
    </row>
    <row r="17">
      <c r="A17" s="27" t="s">
        <v>286</v>
      </c>
      <c r="B17" s="61">
        <v>28</v>
      </c>
      <c r="C17" s="61">
        <v>29.9</v>
      </c>
      <c r="D17" s="61">
        <v>29.6</v>
      </c>
      <c r="E17" s="61">
        <v>30</v>
      </c>
      <c r="F17" s="63">
        <f>E17</f>
        <v>30</v>
      </c>
      <c r="G17" s="61">
        <v>33</v>
      </c>
      <c r="H17" s="61">
        <v>35.1</v>
      </c>
      <c r="I17" s="62">
        <f>I9+I10-I13+I16</f>
        <v>36.6</v>
      </c>
      <c r="J17" s="6" t="s">
        <v>287</v>
      </c>
      <c r="K17" s="6"/>
    </row>
    <row r="18">
      <c r="A18" s="4" t="s">
        <v>288</v>
      </c>
      <c r="B18" s="47" t="s">
        <v>34</v>
      </c>
      <c r="C18" s="47" t="s">
        <v>34</v>
      </c>
      <c r="D18" s="47" t="s">
        <v>34</v>
      </c>
      <c r="E18" s="47" t="s">
        <v>34</v>
      </c>
      <c r="F18" s="47" t="s">
        <v>34</v>
      </c>
      <c r="G18" s="47" t="str">
        <f>IF(OR(ISBLANK(G16),ISBLANK(B16)),"n/a",IFERROR(G16-B16,"n/a"))</f>
        <v>n/a</v>
      </c>
      <c r="H18" s="47">
        <f>IF(OR(ISBLANK(H16),ISBLANK(C16)),"n/a",IFERROR(H16-C16,"n/a"))</f>
        <v>-0.19999999999999707</v>
      </c>
      <c r="I18" s="59">
        <f>IF(OR(ISBLANK(I16),ISBLANK(D16)),"n/a",IFERROR(I16-D16,"n/a"))</f>
        <v>1.0999999999999972</v>
      </c>
      <c r="J18" s="6"/>
      <c r="K18" s="6"/>
    </row>
    <row r="19">
      <c r="A19" s="4" t="s">
        <v>289</v>
      </c>
      <c r="B19" s="47" t="s">
        <v>34</v>
      </c>
      <c r="C19" s="47" t="str">
        <f>IF(OR(ISBLANK(C16),ISBLANK(B16)),"n/a",IFERROR(C16-B16,"n/a"))</f>
        <v>n/a</v>
      </c>
      <c r="D19" s="47">
        <f>IF(OR(ISBLANK(D16),ISBLANK(C16)),"n/a",IFERROR(D16-C16,"n/a"))</f>
        <v>-1.3999999999999957</v>
      </c>
      <c r="E19" s="47">
        <f>IF(OR(ISBLANK(E16),ISBLANK(D16)),"n/a",IFERROR(E16-D16,"n/a"))</f>
        <v>1.9999999999999958</v>
      </c>
      <c r="F19" s="47" t="s">
        <v>34</v>
      </c>
      <c r="G19" s="47">
        <f>IF(OR(ISBLANK(G16),ISBLANK(E16)),"n/a",IFERROR(G16-E16,"n/a"))</f>
        <v>-1.0999999999999985</v>
      </c>
      <c r="H19" s="47">
        <f>IF(OR(ISBLANK(H16),ISBLANK(G16)),"n/a",IFERROR(H16-G16,"n/a"))</f>
        <v>0.3000000000000014</v>
      </c>
      <c r="I19" s="59">
        <f>IF(OR(ISBLANK(I16),ISBLANK(H16)),"n/a",IFERROR(I16-H16,"n/a"))</f>
        <v>-0.10000000000000142</v>
      </c>
      <c r="J19" s="6"/>
      <c r="K19" s="6"/>
    </row>
    <row r="20">
      <c r="A20" s="4" t="s">
        <v>290</v>
      </c>
      <c r="B20" s="47" t="s">
        <v>34</v>
      </c>
      <c r="C20" s="47" t="s">
        <v>34</v>
      </c>
      <c r="D20" s="47" t="s">
        <v>34</v>
      </c>
      <c r="E20" s="47" t="s">
        <v>34</v>
      </c>
      <c r="F20" s="47" t="s">
        <v>34</v>
      </c>
      <c r="G20" s="47">
        <f>IF(OR(ISBLANK(G17),ISBLANK(B17)),"n/a",IFERROR(G17-B17,"n/a"))</f>
        <v>5</v>
      </c>
      <c r="H20" s="47">
        <f>IF(OR(ISBLANK(H17),ISBLANK(C17)),"n/a",IFERROR(H17-C17,"n/a"))</f>
        <v>5.200000000000003</v>
      </c>
      <c r="I20" s="59">
        <f>IF(OR(ISBLANK(I17),ISBLANK(D17)),"n/a",IFERROR(I17-D17,"n/a"))</f>
        <v>7</v>
      </c>
      <c r="J20" s="6"/>
      <c r="K20" s="6"/>
    </row>
    <row r="21">
      <c r="A21" s="4" t="s">
        <v>291</v>
      </c>
      <c r="B21" s="47" t="s">
        <v>34</v>
      </c>
      <c r="C21" s="47">
        <f>IF(OR(ISBLANK(C17),ISBLANK(B17)),"n/a",IFERROR(C17-B17,"n/a"))</f>
        <v>1.8999999999999986</v>
      </c>
      <c r="D21" s="47">
        <f>IF(OR(ISBLANK(D17),ISBLANK(C17)),"n/a",IFERROR(D17-C17,"n/a"))</f>
        <v>-0.29999999999999716</v>
      </c>
      <c r="E21" s="47">
        <f>IF(OR(ISBLANK(E17),ISBLANK(D17)),"n/a",IFERROR(E17-D17,"n/a"))</f>
        <v>0.3999999999999986</v>
      </c>
      <c r="F21" s="47" t="s">
        <v>34</v>
      </c>
      <c r="G21" s="47">
        <f>IF(OR(ISBLANK(G17),ISBLANK(E17)),"n/a",IFERROR(G17-E17,"n/a"))</f>
        <v>3</v>
      </c>
      <c r="H21" s="47">
        <f>IF(OR(ISBLANK(H17),ISBLANK(G17)),"n/a",IFERROR(H17-G17,"n/a"))</f>
        <v>2.1000000000000014</v>
      </c>
      <c r="I21" s="59">
        <f>IF(OR(ISBLANK(I17),ISBLANK(H17)),"n/a",IFERROR(I17-H17,"n/a"))</f>
        <v>1.5</v>
      </c>
      <c r="J21" s="6"/>
      <c r="K21" s="6"/>
    </row>
    <row r="22">
      <c r="A22" s="4" t="s">
        <v>292</v>
      </c>
      <c r="B22" s="47" t="str">
        <f>IFERROR((B9+B17)/2,"n/a")</f>
        <v>n/a</v>
      </c>
      <c r="C22" s="47">
        <f>IFERROR((C9+C17)/2,"n/a")</f>
        <v>28.95</v>
      </c>
      <c r="D22" s="47">
        <f>IFERROR((D9+D17)/2,"n/a")</f>
        <v>29.75</v>
      </c>
      <c r="E22" s="47">
        <f>IFERROR((E9+E17)/2,"n/a")</f>
        <v>29.8</v>
      </c>
      <c r="F22" s="47" t="str">
        <f>IFERROR((F9+F17)/2,"n/a")</f>
        <v>n/a</v>
      </c>
      <c r="G22" s="47">
        <f>IFERROR((G9+G17)/2,"n/a")</f>
        <v>31.5</v>
      </c>
      <c r="H22" s="47">
        <f>IFERROR((H9+H17)/2,"n/a")</f>
        <v>34.05</v>
      </c>
      <c r="I22" s="59">
        <f>IFERROR((I9+I17)/2,"n/a")</f>
        <v>35.85</v>
      </c>
      <c r="J22" s="6"/>
      <c r="K22" s="6"/>
    </row>
    <row r="23">
      <c r="A23" s="4" t="s">
        <v>293</v>
      </c>
      <c r="B23" s="47" t="s">
        <v>34</v>
      </c>
      <c r="C23" s="47" t="s">
        <v>34</v>
      </c>
      <c r="D23" s="47" t="s">
        <v>34</v>
      </c>
      <c r="E23" s="47" t="s">
        <v>34</v>
      </c>
      <c r="F23" s="47" t="s">
        <v>34</v>
      </c>
      <c r="G23" s="47" t="str">
        <f>IF(OR(ISBLANK(G22),ISBLANK(B22)),"n/a",IFERROR(G22-B22,"n/a"))</f>
        <v>n/a</v>
      </c>
      <c r="H23" s="47">
        <f>IF(OR(ISBLANK(H22),ISBLANK(C22)),"n/a",IFERROR(H22-C22,"n/a"))</f>
        <v>5.099999999999998</v>
      </c>
      <c r="I23" s="59">
        <f>IF(OR(ISBLANK(I22),ISBLANK(D22)),"n/a",IFERROR(I22-D22,"n/a"))</f>
        <v>6.100000000000001</v>
      </c>
      <c r="J23" s="6"/>
      <c r="K23" s="6"/>
    </row>
    <row r="24">
      <c r="A24" s="4" t="s">
        <v>294</v>
      </c>
      <c r="B24" s="47" t="s">
        <v>34</v>
      </c>
      <c r="C24" s="47" t="str">
        <f>IF(OR(ISBLANK(C22),ISBLANK(B22)),"n/a",IFERROR(C22-B22,"n/a"))</f>
        <v>n/a</v>
      </c>
      <c r="D24" s="47">
        <f>IF(OR(ISBLANK(D22),ISBLANK(C22)),"n/a",IFERROR(D22-C22,"n/a"))</f>
        <v>0.8000000000000007</v>
      </c>
      <c r="E24" s="47">
        <f>IF(OR(ISBLANK(E22),ISBLANK(D22)),"n/a",IFERROR(E22-D22,"n/a"))</f>
        <v>0.05000000000000071</v>
      </c>
      <c r="F24" s="47" t="s">
        <v>34</v>
      </c>
      <c r="G24" s="47">
        <f>IF(OR(ISBLANK(G22),ISBLANK(E22)),"n/a",IFERROR(G22-E22,"n/a"))</f>
        <v>1.6999999999999993</v>
      </c>
      <c r="H24" s="47">
        <f>IF(OR(ISBLANK(H22),ISBLANK(G22)),"n/a",IFERROR(H22-G22,"n/a"))</f>
        <v>2.549999999999997</v>
      </c>
      <c r="I24" s="59">
        <f>IF(OR(ISBLANK(I22),ISBLANK(H22)),"n/a",IFERROR(I22-H22,"n/a"))</f>
        <v>1.8000000000000043</v>
      </c>
      <c r="J24" s="6"/>
      <c r="K24" s="6"/>
    </row>
    <row r="25">
      <c r="A25" s="4" t="s">
        <v>295</v>
      </c>
      <c r="B25" s="47" t="s">
        <v>34</v>
      </c>
      <c r="C25" s="47" t="s">
        <v>34</v>
      </c>
      <c r="D25" s="47" t="s">
        <v>34</v>
      </c>
      <c r="E25" s="47">
        <f>SUM(B13:E13)</f>
        <v>7.1</v>
      </c>
      <c r="F25" s="47">
        <f>E25</f>
        <v>7.1</v>
      </c>
      <c r="G25" s="47">
        <f>SUM(C13:E13)+G13</f>
        <v>6.7</v>
      </c>
      <c r="H25" s="47">
        <f>SUM(D13:E13)+G13+H13</f>
        <v>6.699999999999999</v>
      </c>
      <c r="I25" s="59">
        <f>E13+G13+H13+I13</f>
        <v>6.5</v>
      </c>
      <c r="J25" s="6" t="s">
        <v>296</v>
      </c>
      <c r="K25" s="6"/>
    </row>
    <row r="26">
      <c r="A26" s="4" t="s">
        <v>281</v>
      </c>
      <c r="B26" s="47" t="s">
        <v>34</v>
      </c>
      <c r="C26" s="47" t="s">
        <v>34</v>
      </c>
      <c r="D26" s="47" t="s">
        <v>34</v>
      </c>
      <c r="E26" s="47" t="s">
        <v>34</v>
      </c>
      <c r="F26" s="47" t="s">
        <v>34</v>
      </c>
      <c r="G26" s="47" t="str">
        <f>IF(OR(ISBLANK(G25),ISBLANK(B25)),"n/a",IFERROR(G25-B25,"n/a"))</f>
        <v>n/a</v>
      </c>
      <c r="H26" s="47" t="str">
        <f>IF(OR(ISBLANK(H25),ISBLANK(C25)),"n/a",IFERROR(H25-C25,"n/a"))</f>
        <v>n/a</v>
      </c>
      <c r="I26" s="59" t="str">
        <f>IF(OR(ISBLANK(I25),ISBLANK(D25)),"n/a",IFERROR(I25-D25,"n/a"))</f>
        <v>n/a</v>
      </c>
      <c r="J26" s="6"/>
      <c r="K26" s="6"/>
    </row>
    <row r="27">
      <c r="A27" s="4" t="s">
        <v>153</v>
      </c>
      <c r="B27" s="47" t="s">
        <v>34</v>
      </c>
      <c r="C27" s="47" t="str">
        <f>IF(OR(ISBLANK(C25),ISBLANK(B25)),"n/a",IFERROR(C25-B25,"n/a"))</f>
        <v>n/a</v>
      </c>
      <c r="D27" s="47" t="str">
        <f>IF(OR(ISBLANK(D25),ISBLANK(C25)),"n/a",IFERROR(D25-C25,"n/a"))</f>
        <v>n/a</v>
      </c>
      <c r="E27" s="47" t="str">
        <f>IF(OR(ISBLANK(E25),ISBLANK(D25)),"n/a",IFERROR(E25-D25,"n/a"))</f>
        <v>n/a</v>
      </c>
      <c r="F27" s="47" t="s">
        <v>34</v>
      </c>
      <c r="G27" s="47">
        <f>IF(OR(ISBLANK(G25),ISBLANK(E25)),"n/a",IFERROR(G25-E25,"n/a"))</f>
        <v>-0.39999999999999947</v>
      </c>
      <c r="H27" s="47">
        <f>IF(OR(ISBLANK(H25),ISBLANK(G25)),"n/a",IFERROR(H25-G25,"n/a"))</f>
        <v>0</v>
      </c>
      <c r="I27" s="59">
        <f>IF(OR(ISBLANK(I25),ISBLANK(H25)),"n/a",IFERROR(I25-H25,"n/a"))</f>
        <v>-0.1999999999999993</v>
      </c>
      <c r="J27" s="6"/>
      <c r="K27" s="6"/>
    </row>
    <row r="28">
      <c r="A28" s="17" t="s">
        <v>297</v>
      </c>
      <c r="B28" s="16" t="str">
        <f>IFERROR(B13/B9,"n/a")</f>
        <v>n/a</v>
      </c>
      <c r="C28" s="16">
        <f>IFERROR(C13/C9,"n/a")</f>
        <v>0.03928571428571429</v>
      </c>
      <c r="D28" s="16">
        <f>IFERROR(D13/D9,"n/a")</f>
        <v>0.0568561872909699</v>
      </c>
      <c r="E28" s="16">
        <f>IFERROR(E13/E9,"n/a")</f>
        <v>0.12162162162162161</v>
      </c>
      <c r="F28" s="16" t="str">
        <f>IFERROR(F13/F9,"n/a")</f>
        <v>n/a</v>
      </c>
      <c r="G28" s="16">
        <f>IFERROR(G13/G9,"n/a")</f>
        <v>0.01</v>
      </c>
      <c r="H28" s="16">
        <f>IFERROR(H13/H9,"n/a")</f>
        <v>0.03333333333333333</v>
      </c>
      <c r="I28" s="15">
        <f>IFERROR(I13/I9,"n/a")</f>
        <v>0.042735042735042736</v>
      </c>
      <c r="J28" s="6"/>
      <c r="K28" s="6"/>
    </row>
    <row r="29">
      <c r="A29" s="4" t="s">
        <v>161</v>
      </c>
      <c r="B29" s="8" t="s">
        <v>34</v>
      </c>
      <c r="C29" s="8" t="s">
        <v>34</v>
      </c>
      <c r="D29" s="8" t="s">
        <v>34</v>
      </c>
      <c r="E29" s="8" t="s">
        <v>34</v>
      </c>
      <c r="F29" s="8" t="s">
        <v>34</v>
      </c>
      <c r="G29" s="8" t="str">
        <f>IF(OR(ISBLANK(G28),ISBLANK(B28)),"n/a",IFERROR((G28-B28)*10000,"n/a"))</f>
        <v>n/a</v>
      </c>
      <c r="H29" s="8">
        <f>IF(OR(ISBLANK(H28),ISBLANK(C28)),"n/a",IFERROR((H28-C28)*10000,"n/a"))</f>
        <v>-59.52380952380959</v>
      </c>
      <c r="I29" s="30">
        <f>IF(OR(ISBLANK(I28),ISBLANK(D28)),"n/a",IFERROR((I28-D28)*10000,"n/a"))</f>
        <v>-141.21144555927168</v>
      </c>
      <c r="J29" s="6"/>
      <c r="K29" s="6"/>
    </row>
    <row r="30">
      <c r="A30" s="4" t="s">
        <v>162</v>
      </c>
      <c r="B30" s="8" t="s">
        <v>34</v>
      </c>
      <c r="C30" s="8" t="str">
        <f>IF(OR(ISBLANK(C28),ISBLANK(B28)),"n/a",IFERROR((C28-B28)*10000,"n/a"))</f>
        <v>n/a</v>
      </c>
      <c r="D30" s="8">
        <f>IF(OR(ISBLANK(D28),ISBLANK(C28)),"n/a",IFERROR((D28-C28)*10000,"n/a"))</f>
        <v>175.70473005255613</v>
      </c>
      <c r="E30" s="8">
        <f>IF(OR(ISBLANK(E28),ISBLANK(D28)),"n/a",IFERROR((E28-D28)*10000,"n/a"))</f>
        <v>647.6543433065171</v>
      </c>
      <c r="F30" s="8" t="s">
        <v>34</v>
      </c>
      <c r="G30" s="8">
        <f>IF(OR(ISBLANK(G28),ISBLANK(E28)),"n/a",IFERROR((G28-E28)*10000,"n/a"))</f>
        <v>-1116.2162162162163</v>
      </c>
      <c r="H30" s="8">
        <f>IF(OR(ISBLANK(H28),ISBLANK(G28)),"n/a",IFERROR((H28-G28)*10000,"n/a"))</f>
        <v>233.33333333333331</v>
      </c>
      <c r="I30" s="30">
        <f>IF(OR(ISBLANK(I28),ISBLANK(H28)),"n/a",IFERROR((I28-H28)*10000,"n/a"))</f>
        <v>94.01709401709402</v>
      </c>
      <c r="J30" s="6"/>
      <c r="K30" s="6"/>
    </row>
    <row r="31">
      <c r="A31" s="3"/>
      <c r="B31" s="3"/>
      <c r="C31" s="3"/>
      <c r="D31" s="3"/>
      <c r="E31" s="3"/>
      <c r="F31" s="3"/>
      <c r="G31" s="3"/>
      <c r="H31" s="3"/>
      <c r="I31" s="11"/>
      <c r="J31" s="6"/>
      <c r="K31" s="6"/>
    </row>
    <row r="32">
      <c r="A32" s="26" t="s">
        <v>298</v>
      </c>
      <c r="B32" s="3"/>
      <c r="C32" s="3"/>
      <c r="D32" s="3"/>
      <c r="E32" s="3"/>
      <c r="F32" s="3"/>
      <c r="G32" s="3"/>
      <c r="H32" s="3"/>
      <c r="I32" s="11"/>
      <c r="J32" s="6"/>
      <c r="K32" s="6"/>
    </row>
    <row r="33">
      <c r="A33" s="4" t="s">
        <v>299</v>
      </c>
      <c r="B33" s="1">
        <v>2163</v>
      </c>
      <c r="C33" s="1">
        <v>1914</v>
      </c>
      <c r="D33" s="1">
        <v>2566</v>
      </c>
      <c r="E33" s="1">
        <v>2117</v>
      </c>
      <c r="F33" s="7">
        <f>SUM(B33:E33)</f>
        <v>8760</v>
      </c>
      <c r="G33" s="1">
        <v>2311</v>
      </c>
      <c r="H33" s="1">
        <v>2532</v>
      </c>
      <c r="I33" s="10">
        <f>I37+I34</f>
        <v>2663.6417910447763</v>
      </c>
      <c r="J33" s="6" t="s">
        <v>300</v>
      </c>
      <c r="K33" s="6"/>
    </row>
    <row r="34">
      <c r="A34" s="4" t="s">
        <v>301</v>
      </c>
      <c r="B34" s="7">
        <f>C86-C34</f>
        <v>188</v>
      </c>
      <c r="C34" s="1">
        <v>-175</v>
      </c>
      <c r="D34" s="1">
        <v>259</v>
      </c>
      <c r="E34" s="7" t="s">
        <v>34</v>
      </c>
      <c r="F34" s="7" t="s">
        <v>34</v>
      </c>
      <c r="G34" s="7">
        <f>H85-H34</f>
        <v>10</v>
      </c>
      <c r="H34" s="1">
        <v>188</v>
      </c>
      <c r="I34" s="38">
        <v>150</v>
      </c>
      <c r="J34" s="6" t="s">
        <v>302</v>
      </c>
      <c r="K34" s="6"/>
    </row>
    <row r="35">
      <c r="A35" s="4" t="s">
        <v>173</v>
      </c>
      <c r="B35" s="7" t="s">
        <v>34</v>
      </c>
      <c r="C35" s="7" t="s">
        <v>34</v>
      </c>
      <c r="D35" s="7" t="s">
        <v>34</v>
      </c>
      <c r="E35" s="7" t="s">
        <v>34</v>
      </c>
      <c r="F35" s="7" t="s">
        <v>34</v>
      </c>
      <c r="G35" s="7">
        <f>IF(OR(ISBLANK(G34),ISBLANK(B34)),"n/a",IFERROR(G34-B34,"n/a"))</f>
        <v>-178</v>
      </c>
      <c r="H35" s="7">
        <f>IF(OR(ISBLANK(H34),ISBLANK(C34)),"n/a",IFERROR(H34-C34,"n/a"))</f>
        <v>363</v>
      </c>
      <c r="I35" s="10">
        <f>IF(OR(ISBLANK(I34),ISBLANK(D34)),"n/a",IFERROR(I34-D34,"n/a"))</f>
        <v>-109</v>
      </c>
      <c r="J35" s="6"/>
      <c r="K35" s="6"/>
    </row>
    <row r="36">
      <c r="A36" s="4" t="s">
        <v>153</v>
      </c>
      <c r="B36" s="7" t="s">
        <v>34</v>
      </c>
      <c r="C36" s="7">
        <f>IF(OR(ISBLANK(C34),ISBLANK(B34)),"n/a",IFERROR(C34-B34,"n/a"))</f>
        <v>-363</v>
      </c>
      <c r="D36" s="7">
        <f>IF(OR(ISBLANK(D34),ISBLANK(C34)),"n/a",IFERROR(D34-C34,"n/a"))</f>
        <v>434</v>
      </c>
      <c r="E36" s="7" t="str">
        <f>IF(OR(ISBLANK(E34),ISBLANK(D34)),"n/a",IFERROR(E34-D34,"n/a"))</f>
        <v>n/a</v>
      </c>
      <c r="F36" s="7" t="s">
        <v>34</v>
      </c>
      <c r="G36" s="7" t="str">
        <f>IF(OR(ISBLANK(G34),ISBLANK(E34)),"n/a",IFERROR(G34-E34,"n/a"))</f>
        <v>n/a</v>
      </c>
      <c r="H36" s="7">
        <f>IF(OR(ISBLANK(H34),ISBLANK(G34)),"n/a",IFERROR(H34-G34,"n/a"))</f>
        <v>178</v>
      </c>
      <c r="I36" s="10">
        <f>IF(OR(ISBLANK(I34),ISBLANK(H34)),"n/a",IFERROR(I34-H34,"n/a"))</f>
        <v>-38</v>
      </c>
      <c r="J36" s="6"/>
      <c r="K36" s="6"/>
    </row>
    <row r="37">
      <c r="A37" s="27" t="s">
        <v>303</v>
      </c>
      <c r="B37" s="5">
        <f>IFERROR(B33-B34,"n/a")</f>
        <v>1975</v>
      </c>
      <c r="C37" s="5">
        <f>IFERROR(C33-C34,"n/a")</f>
        <v>2089</v>
      </c>
      <c r="D37" s="5">
        <f>IFERROR(D33-D34,"n/a")</f>
        <v>2307</v>
      </c>
      <c r="E37" s="5" t="str">
        <f>IFERROR(E33-E34,"n/a")</f>
        <v>n/a</v>
      </c>
      <c r="F37" s="5" t="str">
        <f>IFERROR(F33-F34,"n/a")</f>
        <v>n/a</v>
      </c>
      <c r="G37" s="5">
        <f>IFERROR(G33-G34,"n/a")</f>
        <v>2301</v>
      </c>
      <c r="H37" s="5">
        <f>IFERROR(H33-H34,"n/a")</f>
        <v>2344</v>
      </c>
      <c r="I37" s="2">
        <f>D37+I40+I45+I46</f>
        <v>2513.6417910447763</v>
      </c>
      <c r="J37" s="6"/>
      <c r="K37" s="6"/>
    </row>
    <row r="38">
      <c r="A38" s="17" t="s">
        <v>152</v>
      </c>
      <c r="B38" s="16" t="s">
        <v>34</v>
      </c>
      <c r="C38" s="16" t="s">
        <v>34</v>
      </c>
      <c r="D38" s="16" t="s">
        <v>34</v>
      </c>
      <c r="E38" s="16" t="s">
        <v>34</v>
      </c>
      <c r="F38" s="16" t="s">
        <v>34</v>
      </c>
      <c r="G38" s="16">
        <f>IF(OR(ISBLANK(G37),ISBLANK(B37)),"n/a",IFERROR(G37/B37-1,"n/a"))</f>
        <v>0.16506329113924045</v>
      </c>
      <c r="H38" s="16">
        <f>IF(OR(ISBLANK(H37),ISBLANK(C37)),"n/a",IFERROR(H37/C37-1,"n/a"))</f>
        <v>0.12206797510770695</v>
      </c>
      <c r="I38" s="15">
        <f>IF(OR(ISBLANK(I37),ISBLANK(D37)),"n/a",IFERROR(I37/D37-1,"n/a"))</f>
        <v>0.08957164761368719</v>
      </c>
      <c r="J38" s="6"/>
      <c r="K38" s="6"/>
    </row>
    <row r="39">
      <c r="A39" s="17" t="s">
        <v>196</v>
      </c>
      <c r="B39" s="16" t="s">
        <v>34</v>
      </c>
      <c r="C39" s="16">
        <f>IF(OR(ISBLANK(C37),ISBLANK(B37)),"n/a",IFERROR(C37/B37-1,"n/a"))</f>
        <v>0.05772151898734168</v>
      </c>
      <c r="D39" s="16">
        <f>IF(OR(ISBLANK(D37),ISBLANK(C37)),"n/a",IFERROR(D37/C37-1,"n/a"))</f>
        <v>0.10435615126854958</v>
      </c>
      <c r="E39" s="16" t="str">
        <f>IF(OR(ISBLANK(E37),ISBLANK(D37)),"n/a",IFERROR(E37/D37-1,"n/a"))</f>
        <v>n/a</v>
      </c>
      <c r="F39" s="16" t="s">
        <v>34</v>
      </c>
      <c r="G39" s="16" t="str">
        <f>IF(OR(ISBLANK(G37),ISBLANK(E37)),"n/a",IFERROR(G37/E37-1,"n/a"))</f>
        <v>n/a</v>
      </c>
      <c r="H39" s="16">
        <f>IF(OR(ISBLANK(H37),ISBLANK(G37)),"n/a",IFERROR(H37/G37-1,"n/a"))</f>
        <v>0.018687527162103423</v>
      </c>
      <c r="I39" s="15">
        <f>IF(OR(ISBLANK(I37),ISBLANK(H37)),"n/a",IFERROR(I37/H37-1,"n/a"))</f>
        <v>0.07237277774947803</v>
      </c>
      <c r="J39" s="6"/>
      <c r="K39" s="6"/>
    </row>
    <row r="40">
      <c r="A40" s="4" t="s">
        <v>304</v>
      </c>
      <c r="B40" s="7"/>
      <c r="C40" s="7"/>
      <c r="D40" s="1">
        <v>136</v>
      </c>
      <c r="E40" s="7"/>
      <c r="F40" s="7"/>
      <c r="G40" s="7">
        <f>H84-H40</f>
        <v>181</v>
      </c>
      <c r="H40" s="1">
        <v>213</v>
      </c>
      <c r="I40" s="10">
        <f>I25*I41</f>
        <v>206.64179104477614</v>
      </c>
      <c r="J40" s="6" t="s">
        <v>305</v>
      </c>
      <c r="K40" s="6"/>
    </row>
    <row r="41">
      <c r="A41" s="4" t="s">
        <v>306</v>
      </c>
      <c r="B41" s="47"/>
      <c r="C41" s="47"/>
      <c r="D41" s="47" t="s">
        <v>34</v>
      </c>
      <c r="E41" s="47"/>
      <c r="F41" s="47"/>
      <c r="G41" s="47">
        <f>G40/G25</f>
        <v>27.01492537313433</v>
      </c>
      <c r="H41" s="47">
        <f>H40/H25</f>
        <v>31.791044776119406</v>
      </c>
      <c r="I41" s="59">
        <f>H41</f>
        <v>31.791044776119406</v>
      </c>
      <c r="J41" s="6" t="s">
        <v>307</v>
      </c>
      <c r="K41" s="6"/>
    </row>
    <row r="42">
      <c r="A42" s="4" t="s">
        <v>308</v>
      </c>
      <c r="B42" s="47" t="s">
        <v>34</v>
      </c>
      <c r="C42" s="47" t="s">
        <v>34</v>
      </c>
      <c r="D42" s="47" t="s">
        <v>34</v>
      </c>
      <c r="E42" s="47" t="s">
        <v>34</v>
      </c>
      <c r="F42" s="47" t="s">
        <v>34</v>
      </c>
      <c r="G42" s="47" t="str">
        <f>IF(OR(ISBLANK(G41),ISBLANK(B41)),"n/a",IFERROR(G41-B41,"n/a"))</f>
        <v>n/a</v>
      </c>
      <c r="H42" s="47" t="str">
        <f>IF(OR(ISBLANK(H41),ISBLANK(C41)),"n/a",IFERROR(H41-C41,"n/a"))</f>
        <v>n/a</v>
      </c>
      <c r="I42" s="59" t="str">
        <f>IF(OR(ISBLANK(I41),ISBLANK(D41)),"n/a",IFERROR(I41-D41,"n/a"))</f>
        <v>n/a</v>
      </c>
      <c r="J42" s="6"/>
      <c r="K42" s="6"/>
    </row>
    <row r="43">
      <c r="A43" s="4" t="s">
        <v>309</v>
      </c>
      <c r="B43" s="47" t="s">
        <v>34</v>
      </c>
      <c r="C43" s="47" t="str">
        <f>IF(OR(ISBLANK(C41),ISBLANK(B41)),"n/a",IFERROR(C41-B41,"n/a"))</f>
        <v>n/a</v>
      </c>
      <c r="D43" s="47" t="str">
        <f>IF(OR(ISBLANK(D41),ISBLANK(C41)),"n/a",IFERROR(D41-C41,"n/a"))</f>
        <v>n/a</v>
      </c>
      <c r="E43" s="47" t="str">
        <f>IF(OR(ISBLANK(E41),ISBLANK(D41)),"n/a",IFERROR(E41-D41,"n/a"))</f>
        <v>n/a</v>
      </c>
      <c r="F43" s="47" t="s">
        <v>34</v>
      </c>
      <c r="G43" s="47" t="str">
        <f>IF(OR(ISBLANK(G41),ISBLANK(E41)),"n/a",IFERROR(G41-E41,"n/a"))</f>
        <v>n/a</v>
      </c>
      <c r="H43" s="47">
        <f>IF(OR(ISBLANK(H41),ISBLANK(G41)),"n/a",IFERROR(H41-G41,"n/a"))</f>
        <v>4.776119402985078</v>
      </c>
      <c r="I43" s="59">
        <f>IF(OR(ISBLANK(I41),ISBLANK(H41)),"n/a",IFERROR(I41-H41,"n/a"))</f>
        <v>0</v>
      </c>
      <c r="J43" s="6"/>
      <c r="K43" s="6"/>
    </row>
    <row r="44">
      <c r="A44" s="4" t="s">
        <v>310</v>
      </c>
      <c r="B44" s="7" t="s">
        <v>34</v>
      </c>
      <c r="C44" s="7" t="str">
        <f>IF(OR(ISBLANK(C40),ISBLANK(B40)),"n/a",IFERROR(C40-B40,"n/a"))</f>
        <v>n/a</v>
      </c>
      <c r="D44" s="7" t="str">
        <f>IF(OR(ISBLANK(D40),ISBLANK(C40)),"n/a",IFERROR(D40-C40,"n/a"))</f>
        <v>n/a</v>
      </c>
      <c r="E44" s="7" t="str">
        <f>IF(OR(ISBLANK(E40),ISBLANK(D40)),"n/a",IFERROR(E40-D40,"n/a"))</f>
        <v>n/a</v>
      </c>
      <c r="F44" s="7" t="s">
        <v>34</v>
      </c>
      <c r="G44" s="7" t="str">
        <f>IF(OR(ISBLANK(G40),ISBLANK(E40)),"n/a",IFERROR(G40-E40,"n/a"))</f>
        <v>n/a</v>
      </c>
      <c r="H44" s="7">
        <f>IF(OR(ISBLANK(H40),ISBLANK(G40)),"n/a",IFERROR(H40-G40,"n/a"))</f>
        <v>32</v>
      </c>
      <c r="I44" s="10">
        <f>IF(OR(ISBLANK(I40),ISBLANK(H40)),"n/a",IFERROR(I40-H40,"n/a"))</f>
        <v>-6.3582089552238585</v>
      </c>
      <c r="J44" s="6"/>
      <c r="K44" s="6"/>
    </row>
    <row r="45">
      <c r="A45" s="4" t="s">
        <v>311</v>
      </c>
      <c r="B45" s="7"/>
      <c r="C45" s="7"/>
      <c r="D45" s="1">
        <v>209</v>
      </c>
      <c r="E45" s="7"/>
      <c r="F45" s="7"/>
      <c r="G45" s="7" t="s">
        <v>109</v>
      </c>
      <c r="H45" s="7" t="s">
        <v>109</v>
      </c>
      <c r="I45" s="38">
        <v>0</v>
      </c>
      <c r="J45" s="6" t="s">
        <v>312</v>
      </c>
      <c r="K45" s="6"/>
    </row>
    <row r="46">
      <c r="A46" s="4" t="s">
        <v>313</v>
      </c>
      <c r="B46" s="7"/>
      <c r="C46" s="7"/>
      <c r="D46" s="7" t="s">
        <v>34</v>
      </c>
      <c r="E46" s="7"/>
      <c r="F46" s="7"/>
      <c r="G46" s="7">
        <f>G37-B37-G40</f>
        <v>145</v>
      </c>
      <c r="H46" s="7">
        <f>H37-C37-H40</f>
        <v>42</v>
      </c>
      <c r="I46" s="38">
        <v>0</v>
      </c>
      <c r="J46" s="6" t="s">
        <v>314</v>
      </c>
      <c r="K46" s="6"/>
    </row>
    <row r="47">
      <c r="A47" s="4" t="s">
        <v>315</v>
      </c>
      <c r="B47" s="7" t="s">
        <v>34</v>
      </c>
      <c r="C47" s="7" t="str">
        <f>IF(OR(ISBLANK(C45),ISBLANK(B45)),"n/a",IFERROR(C45-B45,"n/a"))</f>
        <v>n/a</v>
      </c>
      <c r="D47" s="7" t="str">
        <f>IF(OR(ISBLANK(D45),ISBLANK(C45)),"n/a",IFERROR(D45-C45,"n/a"))</f>
        <v>n/a</v>
      </c>
      <c r="E47" s="7" t="str">
        <f>IF(OR(ISBLANK(E45),ISBLANK(D45)),"n/a",IFERROR(E45-D45,"n/a"))</f>
        <v>n/a</v>
      </c>
      <c r="F47" s="7" t="s">
        <v>34</v>
      </c>
      <c r="G47" s="7" t="str">
        <f>IF(OR(ISBLANK(G45),ISBLANK(E45)),"n/a",IFERROR(G45-E45,"n/a"))</f>
        <v>n/a</v>
      </c>
      <c r="H47" s="7" t="str">
        <f>IF(OR(ISBLANK(H45),ISBLANK(G45)),"n/a",IFERROR(H45-G45,"n/a"))</f>
        <v>n/a</v>
      </c>
      <c r="I47" s="10" t="str">
        <f>IF(OR(ISBLANK(I45),ISBLANK(H45)),"n/a",IFERROR(I45-H45,"n/a"))</f>
        <v>n/a</v>
      </c>
      <c r="J47" s="6"/>
      <c r="K47" s="6"/>
    </row>
    <row r="48">
      <c r="A48" s="4" t="s">
        <v>316</v>
      </c>
      <c r="B48" s="7" t="s">
        <v>34</v>
      </c>
      <c r="C48" s="7" t="str">
        <f>IF(OR(ISBLANK(C46),ISBLANK(B46)),"n/a",IFERROR(C46-B46,"n/a"))</f>
        <v>n/a</v>
      </c>
      <c r="D48" s="7" t="str">
        <f>IF(OR(ISBLANK(D46),ISBLANK(C46)),"n/a",IFERROR(D46-C46,"n/a"))</f>
        <v>n/a</v>
      </c>
      <c r="E48" s="7" t="str">
        <f>IF(OR(ISBLANK(E46),ISBLANK(D46)),"n/a",IFERROR(E46-D46,"n/a"))</f>
        <v>n/a</v>
      </c>
      <c r="F48" s="7" t="s">
        <v>34</v>
      </c>
      <c r="G48" s="7" t="str">
        <f>IF(OR(ISBLANK(G46),ISBLANK(E46)),"n/a",IFERROR(G46-E46,"n/a"))</f>
        <v>n/a</v>
      </c>
      <c r="H48" s="7">
        <f>IF(OR(ISBLANK(H46),ISBLANK(G46)),"n/a",IFERROR(H46-G46,"n/a"))</f>
        <v>-103</v>
      </c>
      <c r="I48" s="10">
        <f>IF(OR(ISBLANK(I46),ISBLANK(H46)),"n/a",IFERROR(I46-H46,"n/a"))</f>
        <v>-42</v>
      </c>
      <c r="J48" s="6"/>
      <c r="K48" s="6"/>
    </row>
    <row r="49">
      <c r="A49" s="27" t="s">
        <v>317</v>
      </c>
      <c r="B49" s="5">
        <f>B33</f>
        <v>2163</v>
      </c>
      <c r="C49" s="5">
        <f>C33</f>
        <v>1914</v>
      </c>
      <c r="D49" s="5">
        <f>D33</f>
        <v>2566</v>
      </c>
      <c r="E49" s="5">
        <f>E33</f>
        <v>2117</v>
      </c>
      <c r="F49" s="5">
        <f>F33</f>
        <v>8760</v>
      </c>
      <c r="G49" s="5">
        <f>G33</f>
        <v>2311</v>
      </c>
      <c r="H49" s="5">
        <f>H33</f>
        <v>2532</v>
      </c>
      <c r="I49" s="2">
        <f>I33</f>
        <v>2663.6417910447763</v>
      </c>
      <c r="J49" s="6" t="s">
        <v>214</v>
      </c>
      <c r="K49" s="6"/>
    </row>
    <row r="50">
      <c r="A50" s="17" t="s">
        <v>102</v>
      </c>
      <c r="B50" s="16" t="s">
        <v>34</v>
      </c>
      <c r="C50" s="16" t="s">
        <v>34</v>
      </c>
      <c r="D50" s="16" t="s">
        <v>34</v>
      </c>
      <c r="E50" s="16" t="s">
        <v>34</v>
      </c>
      <c r="F50" s="16" t="s">
        <v>34</v>
      </c>
      <c r="G50" s="16">
        <f>IF(OR(ISBLANK(G49),ISBLANK(B49)),"n/a",IFERROR(G49/B49-1,"n/a"))</f>
        <v>0.0684234858992141</v>
      </c>
      <c r="H50" s="16">
        <f>IF(OR(ISBLANK(H49),ISBLANK(C49)),"n/a",IFERROR(H49/C49-1,"n/a"))</f>
        <v>0.322884012539185</v>
      </c>
      <c r="I50" s="15">
        <f>IF(OR(ISBLANK(I49),ISBLANK(D49)),"n/a",IFERROR(I49/D49-1,"n/a"))</f>
        <v>0.03805213992391909</v>
      </c>
      <c r="J50" s="6"/>
      <c r="K50" s="6"/>
    </row>
    <row r="51">
      <c r="A51" s="17" t="s">
        <v>103</v>
      </c>
      <c r="B51" s="16" t="s">
        <v>34</v>
      </c>
      <c r="C51" s="16">
        <f>IF(OR(ISBLANK(C49),ISBLANK(B49)),"n/a",IFERROR(C49/B49-1,"n/a"))</f>
        <v>-0.11511789181692089</v>
      </c>
      <c r="D51" s="16">
        <f>IF(OR(ISBLANK(D49),ISBLANK(C49)),"n/a",IFERROR(D49/C49-1,"n/a"))</f>
        <v>0.3406478578892371</v>
      </c>
      <c r="E51" s="16">
        <f>IF(OR(ISBLANK(E49),ISBLANK(D49)),"n/a",IFERROR(E49/D49-1,"n/a"))</f>
        <v>-0.1749805144193297</v>
      </c>
      <c r="F51" s="16" t="s">
        <v>34</v>
      </c>
      <c r="G51" s="16">
        <f>IF(OR(ISBLANK(G49),ISBLANK(E49)),"n/a",IFERROR(G49/E49-1,"n/a"))</f>
        <v>0.09163911195087393</v>
      </c>
      <c r="H51" s="16">
        <f>IF(OR(ISBLANK(H49),ISBLANK(G49)),"n/a",IFERROR(H49/G49-1,"n/a"))</f>
        <v>0.09562959757680667</v>
      </c>
      <c r="I51" s="15">
        <f>IF(OR(ISBLANK(I49),ISBLANK(H49)),"n/a",IFERROR(I49/H49-1,"n/a"))</f>
        <v>0.051991228690669855</v>
      </c>
      <c r="J51" s="6"/>
      <c r="K51" s="6"/>
    </row>
    <row r="52">
      <c r="A52" s="26" t="s">
        <v>105</v>
      </c>
      <c r="B52" s="3"/>
      <c r="C52" s="3"/>
      <c r="D52" s="3"/>
      <c r="E52" s="3"/>
      <c r="F52" s="3"/>
      <c r="G52" s="3"/>
      <c r="H52" s="3"/>
      <c r="I52" s="11"/>
      <c r="J52" s="6"/>
      <c r="K52" s="6"/>
    </row>
    <row r="53">
      <c r="A53" s="17" t="s">
        <v>106</v>
      </c>
      <c r="B53" s="16" t="s">
        <v>34</v>
      </c>
      <c r="C53" s="16" t="s">
        <v>34</v>
      </c>
      <c r="D53" s="16" t="s">
        <v>34</v>
      </c>
      <c r="E53" s="16" t="s">
        <v>34</v>
      </c>
      <c r="F53" s="16" t="s">
        <v>34</v>
      </c>
      <c r="G53" s="16" t="s">
        <v>34</v>
      </c>
      <c r="H53" s="16" t="s">
        <v>34</v>
      </c>
      <c r="I53" s="15" t="s">
        <v>34</v>
      </c>
      <c r="J53" s="6" t="s">
        <v>107</v>
      </c>
      <c r="K53" s="6"/>
    </row>
    <row r="54">
      <c r="A54" s="17" t="s">
        <v>108</v>
      </c>
      <c r="B54" s="16" t="s">
        <v>109</v>
      </c>
      <c r="C54" s="16" t="s">
        <v>109</v>
      </c>
      <c r="D54" s="16" t="s">
        <v>109</v>
      </c>
      <c r="E54" s="16" t="s">
        <v>109</v>
      </c>
      <c r="F54" s="16" t="s">
        <v>109</v>
      </c>
      <c r="G54" s="16" t="s">
        <v>109</v>
      </c>
      <c r="H54" s="16" t="s">
        <v>109</v>
      </c>
      <c r="I54" s="15" t="s">
        <v>109</v>
      </c>
      <c r="J54" s="6" t="s">
        <v>110</v>
      </c>
      <c r="K54" s="6"/>
    </row>
    <row r="55">
      <c r="A55" s="17" t="s">
        <v>111</v>
      </c>
      <c r="B55" s="16" t="s">
        <v>109</v>
      </c>
      <c r="C55" s="16" t="s">
        <v>109</v>
      </c>
      <c r="D55" s="16" t="s">
        <v>109</v>
      </c>
      <c r="E55" s="16" t="s">
        <v>109</v>
      </c>
      <c r="F55" s="16" t="s">
        <v>109</v>
      </c>
      <c r="G55" s="16" t="s">
        <v>109</v>
      </c>
      <c r="H55" s="16" t="s">
        <v>109</v>
      </c>
      <c r="I55" s="15" t="s">
        <v>109</v>
      </c>
      <c r="J55" s="6" t="s">
        <v>112</v>
      </c>
      <c r="K55" s="6"/>
    </row>
    <row r="56">
      <c r="A56" s="17" t="s">
        <v>113</v>
      </c>
      <c r="B56" s="16" t="str">
        <f>B50</f>
        <v>n/a</v>
      </c>
      <c r="C56" s="16" t="str">
        <f>C50</f>
        <v>n/a</v>
      </c>
      <c r="D56" s="16" t="str">
        <f>D50</f>
        <v>n/a</v>
      </c>
      <c r="E56" s="16" t="str">
        <f>E50</f>
        <v>n/a</v>
      </c>
      <c r="F56" s="16" t="str">
        <f>F50</f>
        <v>n/a</v>
      </c>
      <c r="G56" s="16">
        <f>G50</f>
        <v>0.0684234858992141</v>
      </c>
      <c r="H56" s="16">
        <f>H50</f>
        <v>0.322884012539185</v>
      </c>
      <c r="I56" s="15">
        <f>I50</f>
        <v>0.03805213992391909</v>
      </c>
      <c r="J56" s="6"/>
      <c r="K56" s="6"/>
    </row>
    <row r="57">
      <c r="A57" s="3"/>
      <c r="B57" s="3"/>
      <c r="C57" s="3"/>
      <c r="D57" s="3"/>
      <c r="E57" s="3"/>
      <c r="F57" s="3"/>
      <c r="G57" s="3"/>
      <c r="H57" s="3"/>
      <c r="I57" s="11"/>
      <c r="J57" s="6"/>
      <c r="K57" s="6"/>
    </row>
    <row r="58">
      <c r="A58" s="26" t="s">
        <v>318</v>
      </c>
      <c r="B58" s="3"/>
      <c r="C58" s="3"/>
      <c r="D58" s="3"/>
      <c r="E58" s="3"/>
      <c r="F58" s="3"/>
      <c r="G58" s="3"/>
      <c r="H58" s="3"/>
      <c r="I58" s="11"/>
      <c r="J58" s="6"/>
      <c r="K58" s="6"/>
    </row>
    <row r="59">
      <c r="A59" s="4" t="s">
        <v>319</v>
      </c>
      <c r="B59" s="7" t="s">
        <v>34</v>
      </c>
      <c r="C59" s="7" t="s">
        <v>34</v>
      </c>
      <c r="D59" s="1">
        <v>979</v>
      </c>
      <c r="E59" s="7" t="s">
        <v>34</v>
      </c>
      <c r="F59" s="7" t="s">
        <v>34</v>
      </c>
      <c r="G59" s="7">
        <f>B66</f>
        <v>908</v>
      </c>
      <c r="H59" s="7">
        <f>C66</f>
        <v>1091</v>
      </c>
      <c r="I59" s="10">
        <f>D66</f>
        <v>1102</v>
      </c>
      <c r="J59" s="6" t="s">
        <v>320</v>
      </c>
      <c r="K59" s="6"/>
    </row>
    <row r="60">
      <c r="A60" s="4" t="s">
        <v>321</v>
      </c>
      <c r="B60" s="7" t="s">
        <v>34</v>
      </c>
      <c r="C60" s="7" t="s">
        <v>34</v>
      </c>
      <c r="D60" s="1">
        <v>177</v>
      </c>
      <c r="E60" s="7" t="s">
        <v>34</v>
      </c>
      <c r="F60" s="7" t="s">
        <v>34</v>
      </c>
      <c r="G60" s="7">
        <f>H79-H60</f>
        <v>92</v>
      </c>
      <c r="H60" s="1">
        <v>179</v>
      </c>
      <c r="I60" s="38">
        <v>185</v>
      </c>
      <c r="J60" s="6" t="s">
        <v>322</v>
      </c>
      <c r="K60" s="6"/>
    </row>
    <row r="61">
      <c r="A61" s="4" t="s">
        <v>323</v>
      </c>
      <c r="B61" s="7" t="s">
        <v>34</v>
      </c>
      <c r="C61" s="7" t="s">
        <v>34</v>
      </c>
      <c r="D61" s="1">
        <v>5</v>
      </c>
      <c r="E61" s="7" t="s">
        <v>34</v>
      </c>
      <c r="F61" s="7" t="s">
        <v>34</v>
      </c>
      <c r="G61" s="7">
        <f>H80-H61</f>
        <v>19</v>
      </c>
      <c r="H61" s="1">
        <v>-27</v>
      </c>
      <c r="I61" s="38">
        <v>-10</v>
      </c>
      <c r="J61" s="6" t="s">
        <v>324</v>
      </c>
      <c r="K61" s="6"/>
    </row>
    <row r="62">
      <c r="A62" s="4" t="s">
        <v>325</v>
      </c>
      <c r="B62" s="7" t="s">
        <v>34</v>
      </c>
      <c r="C62" s="7" t="s">
        <v>34</v>
      </c>
      <c r="D62" s="1">
        <v>132</v>
      </c>
      <c r="E62" s="7" t="s">
        <v>34</v>
      </c>
      <c r="F62" s="7" t="s">
        <v>34</v>
      </c>
      <c r="G62" s="7">
        <f>H81-H62</f>
        <v>-76</v>
      </c>
      <c r="H62" s="1">
        <v>-70</v>
      </c>
      <c r="I62" s="38">
        <v>-95</v>
      </c>
      <c r="J62" s="6" t="s">
        <v>326</v>
      </c>
      <c r="K62" s="6"/>
    </row>
    <row r="63">
      <c r="A63" s="4" t="s">
        <v>327</v>
      </c>
      <c r="B63" s="7" t="s">
        <v>34</v>
      </c>
      <c r="C63" s="7" t="s">
        <v>34</v>
      </c>
      <c r="D63" s="1">
        <v>9</v>
      </c>
      <c r="E63" s="7" t="s">
        <v>34</v>
      </c>
      <c r="F63" s="7" t="s">
        <v>34</v>
      </c>
      <c r="G63" s="7">
        <f>H82-H63</f>
        <v>102</v>
      </c>
      <c r="H63" s="1">
        <v>-5</v>
      </c>
      <c r="I63" s="38">
        <v>5</v>
      </c>
      <c r="J63" s="6" t="s">
        <v>328</v>
      </c>
      <c r="K63" s="6"/>
    </row>
    <row r="64">
      <c r="A64" s="4" t="s">
        <v>329</v>
      </c>
      <c r="B64" s="7" t="s">
        <v>34</v>
      </c>
      <c r="C64" s="7" t="s">
        <v>34</v>
      </c>
      <c r="D64" s="1">
        <v>-200</v>
      </c>
      <c r="E64" s="7" t="s">
        <v>34</v>
      </c>
      <c r="F64" s="7" t="s">
        <v>34</v>
      </c>
      <c r="G64" s="7">
        <f>H83-H64</f>
        <v>-7</v>
      </c>
      <c r="H64" s="1">
        <v>123</v>
      </c>
      <c r="I64" s="38">
        <v>-25</v>
      </c>
      <c r="J64" s="6" t="s">
        <v>330</v>
      </c>
      <c r="K64" s="6"/>
    </row>
    <row r="65">
      <c r="A65" s="27" t="s">
        <v>331</v>
      </c>
      <c r="B65" s="5" t="s">
        <v>34</v>
      </c>
      <c r="C65" s="5" t="s">
        <v>34</v>
      </c>
      <c r="D65" s="5">
        <f>SUM(D60:D64)</f>
        <v>123</v>
      </c>
      <c r="E65" s="5" t="s">
        <v>34</v>
      </c>
      <c r="F65" s="5" t="s">
        <v>34</v>
      </c>
      <c r="G65" s="5">
        <f>SUM(G60:G64)</f>
        <v>130</v>
      </c>
      <c r="H65" s="5">
        <f>SUM(H60:H64)</f>
        <v>200</v>
      </c>
      <c r="I65" s="2">
        <f>SUM(I60:I64)</f>
        <v>60</v>
      </c>
      <c r="J65" s="6"/>
      <c r="K65" s="6"/>
    </row>
    <row r="66">
      <c r="A66" s="27" t="s">
        <v>332</v>
      </c>
      <c r="B66" s="20">
        <v>908</v>
      </c>
      <c r="C66" s="20">
        <v>1091</v>
      </c>
      <c r="D66" s="20">
        <v>1102</v>
      </c>
      <c r="E66" s="20">
        <v>422</v>
      </c>
      <c r="F66" s="5">
        <f>SUM(B66:E66)</f>
        <v>3523</v>
      </c>
      <c r="G66" s="20">
        <v>1038</v>
      </c>
      <c r="H66" s="20">
        <v>1291</v>
      </c>
      <c r="I66" s="2">
        <f>I59+I65</f>
        <v>1162</v>
      </c>
      <c r="J66" s="6" t="s">
        <v>333</v>
      </c>
      <c r="K66" s="6"/>
    </row>
    <row r="67">
      <c r="A67" s="4" t="s">
        <v>334</v>
      </c>
      <c r="B67" s="7"/>
      <c r="C67" s="7"/>
      <c r="D67" s="7">
        <f>D59+D65-D66</f>
        <v>0</v>
      </c>
      <c r="E67" s="7"/>
      <c r="F67" s="7"/>
      <c r="G67" s="7">
        <f>G59+G65-G66</f>
        <v>0</v>
      </c>
      <c r="H67" s="7">
        <f>H59+H65-H66</f>
        <v>0</v>
      </c>
      <c r="I67" s="10">
        <f>I59+I65-I66</f>
        <v>0</v>
      </c>
      <c r="J67" s="6" t="s">
        <v>335</v>
      </c>
      <c r="K67" s="6"/>
    </row>
    <row r="68">
      <c r="A68" s="17" t="s">
        <v>102</v>
      </c>
      <c r="B68" s="16" t="s">
        <v>34</v>
      </c>
      <c r="C68" s="16" t="s">
        <v>34</v>
      </c>
      <c r="D68" s="16" t="s">
        <v>34</v>
      </c>
      <c r="E68" s="16" t="s">
        <v>34</v>
      </c>
      <c r="F68" s="16" t="s">
        <v>34</v>
      </c>
      <c r="G68" s="16">
        <f>IF(OR(ISBLANK(G66),ISBLANK(B66)),"n/a",IFERROR(G66/B66-1,"n/a"))</f>
        <v>0.14317180616740077</v>
      </c>
      <c r="H68" s="16">
        <f>IF(OR(ISBLANK(H66),ISBLANK(C66)),"n/a",IFERROR(H66/C66-1,"n/a"))</f>
        <v>0.1833180568285977</v>
      </c>
      <c r="I68" s="15">
        <f>IF(OR(ISBLANK(I66),ISBLANK(D66)),"n/a",IFERROR(I66/D66-1,"n/a"))</f>
        <v>0.05444646098003636</v>
      </c>
      <c r="J68" s="6"/>
      <c r="K68" s="6"/>
    </row>
    <row r="69">
      <c r="A69" s="17" t="s">
        <v>103</v>
      </c>
      <c r="B69" s="16" t="s">
        <v>34</v>
      </c>
      <c r="C69" s="16">
        <f>IF(OR(ISBLANK(C66),ISBLANK(B66)),"n/a",IFERROR(C66/B66-1,"n/a"))</f>
        <v>0.20154185022026438</v>
      </c>
      <c r="D69" s="16">
        <f>IF(OR(ISBLANK(D66),ISBLANK(C66)),"n/a",IFERROR(D66/C66-1,"n/a"))</f>
        <v>0.010082493125572967</v>
      </c>
      <c r="E69" s="16">
        <f>IF(OR(ISBLANK(E66),ISBLANK(D66)),"n/a",IFERROR(E66/D66-1,"n/a"))</f>
        <v>-0.617059891107078</v>
      </c>
      <c r="F69" s="16" t="s">
        <v>34</v>
      </c>
      <c r="G69" s="16">
        <f>IF(OR(ISBLANK(G66),ISBLANK(E66)),"n/a",IFERROR(G66/E66-1,"n/a"))</f>
        <v>1.4597156398104265</v>
      </c>
      <c r="H69" s="16">
        <f>IF(OR(ISBLANK(H66),ISBLANK(G66)),"n/a",IFERROR(H66/G66-1,"n/a"))</f>
        <v>0.2437379576107901</v>
      </c>
      <c r="I69" s="15">
        <f>IF(OR(ISBLANK(I66),ISBLANK(H66)),"n/a",IFERROR(I66/H66-1,"n/a"))</f>
        <v>-0.09992254066615025</v>
      </c>
      <c r="J69" s="6"/>
      <c r="K69" s="6"/>
    </row>
    <row r="70">
      <c r="A70" s="4" t="s">
        <v>336</v>
      </c>
      <c r="B70" s="1">
        <v>172</v>
      </c>
      <c r="C70" s="1">
        <v>983</v>
      </c>
      <c r="D70" s="1">
        <v>1275</v>
      </c>
      <c r="E70" s="1">
        <v>545</v>
      </c>
      <c r="F70" s="7">
        <f>SUM(B70:E70)</f>
        <v>2975</v>
      </c>
      <c r="G70" s="1">
        <v>1019</v>
      </c>
      <c r="H70" s="1">
        <v>1634</v>
      </c>
      <c r="I70" s="14">
        <f>I66-('Income Statement'!I77+'Income Statement'!I79)*(1-'Income Statement'!I82)</f>
        <v>1266.34</v>
      </c>
      <c r="J70" s="6" t="s">
        <v>239</v>
      </c>
      <c r="K70" s="6"/>
    </row>
    <row r="71">
      <c r="A71" s="17" t="s">
        <v>152</v>
      </c>
      <c r="B71" s="16" t="s">
        <v>34</v>
      </c>
      <c r="C71" s="16" t="s">
        <v>34</v>
      </c>
      <c r="D71" s="16" t="s">
        <v>34</v>
      </c>
      <c r="E71" s="16" t="s">
        <v>34</v>
      </c>
      <c r="F71" s="16" t="s">
        <v>34</v>
      </c>
      <c r="G71" s="16">
        <f>IF(OR(ISBLANK(G70),ISBLANK(B70)),"n/a",IFERROR(G70/B70-1,"n/a"))</f>
        <v>4.924418604651163</v>
      </c>
      <c r="H71" s="16">
        <f>IF(OR(ISBLANK(H70),ISBLANK(C70)),"n/a",IFERROR(H70/C70-1,"n/a"))</f>
        <v>0.6622583926754833</v>
      </c>
      <c r="I71" s="15">
        <f>IF(OR(ISBLANK(I70),ISBLANK(D70)),"n/a",IFERROR(I70/D70-1,"n/a"))</f>
        <v>-0.006792156862745147</v>
      </c>
      <c r="J71" s="6"/>
      <c r="K71" s="6"/>
    </row>
    <row r="72">
      <c r="A72" s="4" t="s">
        <v>337</v>
      </c>
      <c r="B72" s="7">
        <f>B66-B70</f>
        <v>736</v>
      </c>
      <c r="C72" s="7">
        <f>C66-C70</f>
        <v>108</v>
      </c>
      <c r="D72" s="7">
        <f>D66-D70</f>
        <v>-173</v>
      </c>
      <c r="E72" s="7">
        <f>E66-E70</f>
        <v>-123</v>
      </c>
      <c r="F72" s="7">
        <f>F66-F70</f>
        <v>548</v>
      </c>
      <c r="G72" s="7">
        <f>G66-G70</f>
        <v>19</v>
      </c>
      <c r="H72" s="7">
        <f>H66-H70</f>
        <v>-343</v>
      </c>
      <c r="I72" s="10">
        <f>I66-I70</f>
        <v>-104.33999999999992</v>
      </c>
      <c r="J72" s="6" t="s">
        <v>338</v>
      </c>
      <c r="K72" s="6"/>
    </row>
    <row r="73">
      <c r="A73" s="4" t="s">
        <v>339</v>
      </c>
      <c r="B73" s="36">
        <f>B66/'Share Count'!B13</f>
        <v>0.440562833575934</v>
      </c>
      <c r="C73" s="36">
        <f>C66/'Share Count'!C13</f>
        <v>0.5292776403240673</v>
      </c>
      <c r="D73" s="36">
        <f>D66/'Share Count'!D13</f>
        <v>0.5322128851540616</v>
      </c>
      <c r="E73" s="36">
        <f>E66/'Share Count'!E13</f>
        <v>0.20201053135471517</v>
      </c>
      <c r="F73" s="36">
        <f>F66/'Share Count'!F13</f>
        <v>1.7011105746016417</v>
      </c>
      <c r="G73" s="36">
        <f>G66/'Share Count'!G13</f>
        <v>0.4959625400162454</v>
      </c>
      <c r="H73" s="36">
        <f>H66/'Share Count'!H13</f>
        <v>0.6167001050921945</v>
      </c>
      <c r="I73" s="42">
        <f>I66/'Share Count'!I13</f>
        <v>0.5549188156638013</v>
      </c>
      <c r="J73" s="6" t="s">
        <v>340</v>
      </c>
      <c r="K73" s="6"/>
    </row>
    <row r="74">
      <c r="A74" s="4" t="s">
        <v>341</v>
      </c>
      <c r="B74" s="24">
        <v>0.44</v>
      </c>
      <c r="C74" s="24">
        <v>0.53</v>
      </c>
      <c r="D74" s="24">
        <v>0.53</v>
      </c>
      <c r="E74" s="24">
        <v>0.2</v>
      </c>
      <c r="F74" s="24">
        <v>1.7</v>
      </c>
      <c r="G74" s="24">
        <v>0.5</v>
      </c>
      <c r="H74" s="24">
        <v>0.62</v>
      </c>
      <c r="I74" s="25"/>
      <c r="J74" s="6" t="s">
        <v>342</v>
      </c>
      <c r="K74" s="6"/>
    </row>
    <row r="75">
      <c r="A75" s="4" t="s">
        <v>246</v>
      </c>
      <c r="B75" s="18" t="s">
        <v>34</v>
      </c>
      <c r="C75" s="18" t="s">
        <v>34</v>
      </c>
      <c r="D75" s="18" t="s">
        <v>34</v>
      </c>
      <c r="E75" s="18" t="s">
        <v>34</v>
      </c>
      <c r="F75" s="18" t="s">
        <v>34</v>
      </c>
      <c r="G75" s="18">
        <f>IF(OR(ISBLANK(G73),ISBLANK(B73)),"n/a",IFERROR(G73-B73,"n/a"))</f>
        <v>0.05539970644031139</v>
      </c>
      <c r="H75" s="18">
        <f>IF(OR(ISBLANK(H73),ISBLANK(C73)),"n/a",IFERROR(H73-C73,"n/a"))</f>
        <v>0.0874224647681272</v>
      </c>
      <c r="I75" s="25">
        <f>IF(OR(ISBLANK(I73),ISBLANK(D73)),"n/a",IFERROR(I73-D73,"n/a"))</f>
        <v>0.02270593050973968</v>
      </c>
      <c r="J75" s="6"/>
      <c r="K75" s="6"/>
    </row>
    <row r="76">
      <c r="A76" s="4" t="s">
        <v>247</v>
      </c>
      <c r="B76" s="18" t="s">
        <v>34</v>
      </c>
      <c r="C76" s="18">
        <f>IF(OR(ISBLANK(C73),ISBLANK(B73)),"n/a",IFERROR(C73-B73,"n/a"))</f>
        <v>0.08871480674813331</v>
      </c>
      <c r="D76" s="18">
        <f>IF(OR(ISBLANK(D73),ISBLANK(C73)),"n/a",IFERROR(D73-C73,"n/a"))</f>
        <v>0.002935244829994299</v>
      </c>
      <c r="E76" s="18">
        <f>IF(OR(ISBLANK(E73),ISBLANK(D73)),"n/a",IFERROR(E73-D73,"n/a"))</f>
        <v>-0.3302023537993465</v>
      </c>
      <c r="F76" s="18" t="s">
        <v>34</v>
      </c>
      <c r="G76" s="18">
        <f>IF(OR(ISBLANK(G73),ISBLANK(E73)),"n/a",IFERROR(G73-E73,"n/a"))</f>
        <v>0.29395200866153026</v>
      </c>
      <c r="H76" s="18">
        <f>IF(OR(ISBLANK(H73),ISBLANK(G73)),"n/a",IFERROR(H73-G73,"n/a"))</f>
        <v>0.12073756507594913</v>
      </c>
      <c r="I76" s="25">
        <f>IF(OR(ISBLANK(I73),ISBLANK(H73)),"n/a",IFERROR(I73-H73,"n/a"))</f>
        <v>-0.06178128942839323</v>
      </c>
      <c r="J76" s="6"/>
      <c r="K76" s="6"/>
    </row>
    <row r="77">
      <c r="A77" s="3"/>
      <c r="B77" s="3"/>
      <c r="C77" s="3"/>
      <c r="D77" s="3"/>
      <c r="E77" s="3"/>
      <c r="F77" s="3"/>
      <c r="G77" s="3"/>
      <c r="H77" s="3"/>
      <c r="I77" s="11"/>
      <c r="J77" s="6"/>
      <c r="K77" s="6"/>
    </row>
    <row r="78">
      <c r="A78" s="26" t="s">
        <v>343</v>
      </c>
      <c r="B78" s="3"/>
      <c r="C78" s="3"/>
      <c r="D78" s="3"/>
      <c r="E78" s="3"/>
      <c r="F78" s="3"/>
      <c r="G78" s="3"/>
      <c r="H78" s="3"/>
      <c r="I78" s="11"/>
      <c r="J78" s="6"/>
      <c r="K78" s="6"/>
    </row>
    <row r="79">
      <c r="A79" s="4" t="s">
        <v>344</v>
      </c>
      <c r="B79" s="7"/>
      <c r="C79" s="7"/>
      <c r="D79" s="7"/>
      <c r="E79" s="7"/>
      <c r="F79" s="7"/>
      <c r="G79" s="66"/>
      <c r="H79" s="69">
        <v>271</v>
      </c>
      <c r="I79" s="10"/>
      <c r="J79" s="6" t="s">
        <v>345</v>
      </c>
      <c r="K79" s="6"/>
    </row>
    <row r="80">
      <c r="A80" s="4" t="s">
        <v>346</v>
      </c>
      <c r="B80" s="7"/>
      <c r="C80" s="7"/>
      <c r="D80" s="7"/>
      <c r="E80" s="7"/>
      <c r="F80" s="7"/>
      <c r="G80" s="66"/>
      <c r="H80" s="69">
        <v>-8</v>
      </c>
      <c r="I80" s="10"/>
      <c r="J80" s="6" t="s">
        <v>345</v>
      </c>
      <c r="K80" s="6"/>
    </row>
    <row r="81">
      <c r="A81" s="4" t="s">
        <v>347</v>
      </c>
      <c r="B81" s="7"/>
      <c r="C81" s="7"/>
      <c r="D81" s="7"/>
      <c r="E81" s="7"/>
      <c r="F81" s="7"/>
      <c r="G81" s="66"/>
      <c r="H81" s="69">
        <v>-146</v>
      </c>
      <c r="I81" s="10"/>
      <c r="J81" s="6" t="s">
        <v>345</v>
      </c>
      <c r="K81" s="6"/>
    </row>
    <row r="82">
      <c r="A82" s="4" t="s">
        <v>348</v>
      </c>
      <c r="B82" s="7"/>
      <c r="C82" s="7"/>
      <c r="D82" s="7"/>
      <c r="E82" s="7"/>
      <c r="F82" s="7"/>
      <c r="G82" s="66"/>
      <c r="H82" s="69">
        <v>97</v>
      </c>
      <c r="I82" s="10"/>
      <c r="J82" s="6" t="s">
        <v>345</v>
      </c>
      <c r="K82" s="6"/>
    </row>
    <row r="83">
      <c r="A83" s="4" t="s">
        <v>349</v>
      </c>
      <c r="B83" s="7"/>
      <c r="C83" s="7"/>
      <c r="D83" s="7"/>
      <c r="E83" s="7"/>
      <c r="F83" s="7"/>
      <c r="G83" s="66"/>
      <c r="H83" s="69">
        <v>116</v>
      </c>
      <c r="I83" s="10"/>
      <c r="J83" s="6" t="s">
        <v>345</v>
      </c>
      <c r="K83" s="6"/>
    </row>
    <row r="84">
      <c r="A84" s="4" t="s">
        <v>350</v>
      </c>
      <c r="B84" s="7"/>
      <c r="C84" s="7"/>
      <c r="D84" s="7"/>
      <c r="E84" s="7"/>
      <c r="F84" s="7"/>
      <c r="G84" s="66"/>
      <c r="H84" s="69">
        <v>394</v>
      </c>
      <c r="I84" s="10"/>
      <c r="J84" s="6" t="s">
        <v>345</v>
      </c>
      <c r="K84" s="6"/>
    </row>
    <row r="85">
      <c r="A85" s="4" t="s">
        <v>351</v>
      </c>
      <c r="B85" s="7"/>
      <c r="C85" s="7"/>
      <c r="D85" s="7"/>
      <c r="E85" s="7"/>
      <c r="F85" s="7"/>
      <c r="G85" s="66"/>
      <c r="H85" s="69">
        <v>198</v>
      </c>
      <c r="I85" s="10"/>
      <c r="J85" s="6" t="s">
        <v>345</v>
      </c>
      <c r="K85" s="6"/>
    </row>
    <row r="86">
      <c r="A86" s="4" t="s">
        <v>352</v>
      </c>
      <c r="B86" s="66"/>
      <c r="C86" s="69">
        <v>13</v>
      </c>
      <c r="D86" s="7"/>
      <c r="E86" s="7"/>
      <c r="F86" s="7"/>
      <c r="G86" s="7"/>
      <c r="H86" s="7"/>
      <c r="I86" s="10"/>
      <c r="J86" s="6" t="s">
        <v>345</v>
      </c>
      <c r="K86" s="6"/>
    </row>
    <row r="87">
      <c r="A87" s="3"/>
      <c r="B87" s="3"/>
      <c r="C87" s="3"/>
      <c r="D87" s="3"/>
      <c r="E87" s="3"/>
      <c r="F87" s="3"/>
      <c r="G87" s="3"/>
      <c r="H87" s="3"/>
      <c r="I87" s="11"/>
      <c r="J87" s="6"/>
      <c r="K87" s="6"/>
    </row>
    <row r="88">
      <c r="A88" s="3"/>
      <c r="B88" s="3"/>
      <c r="C88" s="3"/>
      <c r="D88" s="3"/>
      <c r="E88" s="3"/>
      <c r="F88" s="3"/>
      <c r="G88" s="3"/>
      <c r="H88" s="3"/>
      <c r="I88" s="11"/>
      <c r="J88" s="6"/>
      <c r="K88" s="6"/>
    </row>
    <row r="89">
      <c r="A89" s="3"/>
      <c r="B89" s="3"/>
      <c r="C89" s="3"/>
      <c r="D89" s="3"/>
      <c r="E89" s="3"/>
      <c r="F89" s="3"/>
      <c r="G89" s="3"/>
      <c r="H89" s="3"/>
      <c r="I89" s="11"/>
      <c r="J89" s="6"/>
      <c r="K89" s="6"/>
    </row>
  </sheetData>
</worksheet>
</file>

<file path=xl/worksheets/sheet5.xml><?xml version="1.0" encoding="utf-8"?>
<worksheet xmlns="http://schemas.openxmlformats.org/spreadsheetml/2006/main" xmlns:r="http://schemas.openxmlformats.org/officeDocument/2006/relationships">
  <dimension ref="A1:K127"/>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353</v>
      </c>
      <c r="B2" s="3"/>
      <c r="C2" s="3"/>
      <c r="D2" s="3"/>
      <c r="E2" s="3"/>
      <c r="F2" s="3"/>
      <c r="G2" s="3"/>
      <c r="H2" s="3"/>
      <c r="I2" s="3"/>
      <c r="J2" s="3"/>
      <c r="K2" s="3"/>
    </row>
    <row r="3">
      <c r="A3" s="37" t="s">
        <v>2</v>
      </c>
      <c r="B3" s="3"/>
      <c r="C3" s="3"/>
      <c r="D3" s="3"/>
      <c r="E3" s="3"/>
      <c r="F3" s="3"/>
      <c r="G3" s="3"/>
      <c r="H3" s="3"/>
      <c r="I3" s="3"/>
      <c r="J3" s="3"/>
      <c r="K3" s="3"/>
    </row>
    <row r="4">
      <c r="A4" s="12" t="s">
        <v>88</v>
      </c>
      <c r="B4" s="9" t="s">
        <v>89</v>
      </c>
      <c r="C4" s="9" t="s">
        <v>90</v>
      </c>
      <c r="D4" s="9" t="s">
        <v>91</v>
      </c>
      <c r="E4" s="9" t="s">
        <v>92</v>
      </c>
      <c r="F4" s="9" t="s">
        <v>93</v>
      </c>
      <c r="G4" s="9" t="s">
        <v>94</v>
      </c>
      <c r="H4" s="9" t="s">
        <v>95</v>
      </c>
      <c r="I4" s="9" t="s">
        <v>96</v>
      </c>
      <c r="J4" s="12" t="s">
        <v>4</v>
      </c>
      <c r="K4" s="3"/>
    </row>
    <row r="5">
      <c r="A5" s="28" t="s">
        <v>97</v>
      </c>
      <c r="B5" s="22">
        <f>DATE(2025,3,31)</f>
        <v>45747</v>
      </c>
      <c r="C5" s="22">
        <f>DATE(2025,6,30)</f>
        <v>45838</v>
      </c>
      <c r="D5" s="22">
        <f>DATE(2025,9,30)</f>
        <v>45930</v>
      </c>
      <c r="E5" s="22">
        <f>DATE(2025,12,31)</f>
        <v>46022</v>
      </c>
      <c r="F5" s="22">
        <f>DATE(2025,12,31)</f>
        <v>46022</v>
      </c>
      <c r="G5" s="22">
        <f>DATE(2026,3,31)</f>
        <v>46112</v>
      </c>
      <c r="H5" s="22">
        <f>DATE(2026,6,30)</f>
        <v>46203</v>
      </c>
      <c r="I5" s="22">
        <f>DATE(2026,9,30)</f>
        <v>46295</v>
      </c>
      <c r="J5" s="28"/>
      <c r="K5" s="3"/>
    </row>
    <row r="6">
      <c r="A6" s="33" t="s">
        <v>98</v>
      </c>
      <c r="B6" s="13">
        <f>B5-EOMONTH(B5,-3)</f>
        <v>90</v>
      </c>
      <c r="C6" s="13">
        <f>C5-EOMONTH(C5,-3)</f>
        <v>91</v>
      </c>
      <c r="D6" s="13">
        <f>D5-EOMONTH(D5,-3)</f>
        <v>92</v>
      </c>
      <c r="E6" s="13">
        <f>E5-EOMONTH(E5,-3)</f>
        <v>92</v>
      </c>
      <c r="F6" s="13">
        <f>F5-EOMONTH(F5,-12)</f>
        <v>365</v>
      </c>
      <c r="G6" s="13">
        <f>G5-EOMONTH(G5,-3)</f>
        <v>90</v>
      </c>
      <c r="H6" s="13">
        <f>H5-EOMONTH(H5,-3)</f>
        <v>91</v>
      </c>
      <c r="I6" s="13">
        <f>I5-EOMONTH(I5,-3)</f>
        <v>92</v>
      </c>
      <c r="J6" s="33"/>
      <c r="K6" s="3"/>
    </row>
    <row r="7">
      <c r="A7" s="3"/>
      <c r="B7" s="3"/>
      <c r="C7" s="3"/>
      <c r="D7" s="3"/>
      <c r="E7" s="3"/>
      <c r="F7" s="3"/>
      <c r="G7" s="3"/>
      <c r="H7" s="3"/>
      <c r="I7" s="11"/>
      <c r="J7" s="3"/>
      <c r="K7" s="3"/>
    </row>
    <row r="8">
      <c r="A8" s="26" t="s">
        <v>354</v>
      </c>
      <c r="B8" s="3"/>
      <c r="C8" s="3"/>
      <c r="D8" s="3"/>
      <c r="E8" s="3"/>
      <c r="F8" s="3"/>
      <c r="G8" s="3"/>
      <c r="H8" s="3"/>
      <c r="I8" s="11"/>
      <c r="J8" s="6"/>
      <c r="K8" s="6"/>
    </row>
    <row r="9">
      <c r="A9" s="27" t="s">
        <v>355</v>
      </c>
      <c r="B9" s="48">
        <f>'Revenue summary'!B36</f>
        <v>6247</v>
      </c>
      <c r="C9" s="48">
        <f>'Revenue summary'!C36</f>
        <v>6700</v>
      </c>
      <c r="D9" s="48">
        <f>'Revenue summary'!D36</f>
        <v>7966</v>
      </c>
      <c r="E9" s="48">
        <f>'Revenue summary'!E36</f>
        <v>6500</v>
      </c>
      <c r="F9" s="48">
        <f>'Revenue summary'!F36</f>
        <v>27413</v>
      </c>
      <c r="G9" s="48">
        <f>'Revenue summary'!G36</f>
        <v>6701</v>
      </c>
      <c r="H9" s="48">
        <f>'Revenue summary'!H36</f>
        <v>7534</v>
      </c>
      <c r="I9" s="55">
        <f>'Revenue summary'!I36</f>
        <v>8236.503365384777</v>
      </c>
      <c r="J9" s="6" t="s">
        <v>356</v>
      </c>
      <c r="K9" s="6"/>
    </row>
    <row r="10">
      <c r="A10" s="17" t="s">
        <v>102</v>
      </c>
      <c r="B10" s="16" t="s">
        <v>34</v>
      </c>
      <c r="C10" s="16" t="s">
        <v>34</v>
      </c>
      <c r="D10" s="16" t="s">
        <v>34</v>
      </c>
      <c r="E10" s="16" t="s">
        <v>34</v>
      </c>
      <c r="F10" s="16" t="s">
        <v>34</v>
      </c>
      <c r="G10" s="16">
        <f>IF(OR(ISBLANK(G9),ISBLANK(B9)),"n/a",IFERROR(G9/B9-1,"n/a"))</f>
        <v>0.07267488394429322</v>
      </c>
      <c r="H10" s="16">
        <f>IF(OR(ISBLANK(H9),ISBLANK(C9)),"n/a",IFERROR(H9/C9-1,"n/a"))</f>
        <v>0.1244776119402986</v>
      </c>
      <c r="I10" s="15">
        <f>IF(OR(ISBLANK(I9),ISBLANK(D9)),"n/a",IFERROR(I9/D9-1,"n/a"))</f>
        <v>0.03395723893858604</v>
      </c>
      <c r="J10" s="6"/>
      <c r="K10" s="6"/>
    </row>
    <row r="11">
      <c r="A11" s="4" t="s">
        <v>357</v>
      </c>
      <c r="B11" s="1">
        <v>1165</v>
      </c>
      <c r="C11" s="1">
        <v>1184</v>
      </c>
      <c r="D11" s="1">
        <v>1423</v>
      </c>
      <c r="E11" s="1">
        <v>1173</v>
      </c>
      <c r="F11" s="7">
        <f>SUM(B11:E11)</f>
        <v>4945</v>
      </c>
      <c r="G11" s="1">
        <v>1329</v>
      </c>
      <c r="H11" s="1">
        <v>1374</v>
      </c>
      <c r="I11" s="10">
        <f>D11*(1+I12)</f>
        <v>1522.6100000000001</v>
      </c>
      <c r="J11" s="6" t="s">
        <v>358</v>
      </c>
      <c r="K11" s="6"/>
    </row>
    <row r="12">
      <c r="A12" s="17" t="s">
        <v>166</v>
      </c>
      <c r="B12" s="16" t="s">
        <v>34</v>
      </c>
      <c r="C12" s="16" t="s">
        <v>34</v>
      </c>
      <c r="D12" s="16" t="s">
        <v>34</v>
      </c>
      <c r="E12" s="16" t="s">
        <v>34</v>
      </c>
      <c r="F12" s="16" t="s">
        <v>34</v>
      </c>
      <c r="G12" s="16">
        <f>IF(OR(ISBLANK(G11),ISBLANK(B11)),"n/a",IFERROR(G11/B11-1,"n/a"))</f>
        <v>0.14077253218884112</v>
      </c>
      <c r="H12" s="16">
        <f>IF(OR(ISBLANK(H11),ISBLANK(C11)),"n/a",IFERROR(H11/C11-1,"n/a"))</f>
        <v>0.16047297297297303</v>
      </c>
      <c r="I12" s="46">
        <v>0.07</v>
      </c>
      <c r="J12" s="6"/>
      <c r="K12" s="6"/>
    </row>
    <row r="13">
      <c r="A13" s="4" t="s">
        <v>153</v>
      </c>
      <c r="B13" s="7" t="s">
        <v>34</v>
      </c>
      <c r="C13" s="7">
        <f>IF(OR(ISBLANK(C11),ISBLANK(B11)),"n/a",IFERROR(C11-B11,"n/a"))</f>
        <v>19</v>
      </c>
      <c r="D13" s="7">
        <f>IF(OR(ISBLANK(D11),ISBLANK(C11)),"n/a",IFERROR(D11-C11,"n/a"))</f>
        <v>239</v>
      </c>
      <c r="E13" s="7">
        <f>IF(OR(ISBLANK(E11),ISBLANK(D11)),"n/a",IFERROR(E11-D11,"n/a"))</f>
        <v>-250</v>
      </c>
      <c r="F13" s="7" t="s">
        <v>34</v>
      </c>
      <c r="G13" s="7">
        <f>IF(OR(ISBLANK(G11),ISBLANK(E11)),"n/a",IFERROR(G11-E11,"n/a"))</f>
        <v>156</v>
      </c>
      <c r="H13" s="7">
        <f>IF(OR(ISBLANK(H11),ISBLANK(G11)),"n/a",IFERROR(H11-G11,"n/a"))</f>
        <v>45</v>
      </c>
      <c r="I13" s="10">
        <f>IF(OR(ISBLANK(I11),ISBLANK(H11)),"n/a",IFERROR(I11-H11,"n/a"))</f>
        <v>148.61000000000013</v>
      </c>
      <c r="J13" s="6"/>
      <c r="K13" s="6"/>
    </row>
    <row r="14">
      <c r="A14" s="4" t="s">
        <v>359</v>
      </c>
      <c r="B14" s="1">
        <v>1173</v>
      </c>
      <c r="C14" s="1">
        <v>1220</v>
      </c>
      <c r="D14" s="1">
        <v>1410</v>
      </c>
      <c r="E14" s="1">
        <v>1596</v>
      </c>
      <c r="F14" s="7">
        <f>SUM(B14:E14)</f>
        <v>5399</v>
      </c>
      <c r="G14" s="1">
        <v>1422</v>
      </c>
      <c r="H14" s="1">
        <v>1459</v>
      </c>
      <c r="I14" s="10">
        <f>D14*(1+I15)</f>
        <v>1621.4999999999998</v>
      </c>
      <c r="J14" s="6" t="s">
        <v>360</v>
      </c>
      <c r="K14" s="6"/>
    </row>
    <row r="15">
      <c r="A15" s="17" t="s">
        <v>166</v>
      </c>
      <c r="B15" s="16" t="s">
        <v>34</v>
      </c>
      <c r="C15" s="16" t="s">
        <v>34</v>
      </c>
      <c r="D15" s="16" t="s">
        <v>34</v>
      </c>
      <c r="E15" s="16" t="s">
        <v>34</v>
      </c>
      <c r="F15" s="16" t="s">
        <v>34</v>
      </c>
      <c r="G15" s="16">
        <f>IF(OR(ISBLANK(G14),ISBLANK(B14)),"n/a",IFERROR(G14/B14-1,"n/a"))</f>
        <v>0.21227621483375958</v>
      </c>
      <c r="H15" s="16">
        <f>IF(OR(ISBLANK(H14),ISBLANK(C14)),"n/a",IFERROR(H14/C14-1,"n/a"))</f>
        <v>0.1959016393442623</v>
      </c>
      <c r="I15" s="46">
        <v>0.15</v>
      </c>
      <c r="J15" s="6"/>
      <c r="K15" s="6"/>
    </row>
    <row r="16">
      <c r="A16" s="4" t="s">
        <v>153</v>
      </c>
      <c r="B16" s="7" t="s">
        <v>34</v>
      </c>
      <c r="C16" s="7">
        <f>IF(OR(ISBLANK(C14),ISBLANK(B14)),"n/a",IFERROR(C14-B14,"n/a"))</f>
        <v>47</v>
      </c>
      <c r="D16" s="7">
        <f>IF(OR(ISBLANK(D14),ISBLANK(C14)),"n/a",IFERROR(D14-C14,"n/a"))</f>
        <v>190</v>
      </c>
      <c r="E16" s="7">
        <f>IF(OR(ISBLANK(E14),ISBLANK(D14)),"n/a",IFERROR(E14-D14,"n/a"))</f>
        <v>186</v>
      </c>
      <c r="F16" s="7" t="s">
        <v>34</v>
      </c>
      <c r="G16" s="7">
        <f>IF(OR(ISBLANK(G14),ISBLANK(E14)),"n/a",IFERROR(G14-E14,"n/a"))</f>
        <v>-174</v>
      </c>
      <c r="H16" s="7">
        <f>IF(OR(ISBLANK(H14),ISBLANK(G14)),"n/a",IFERROR(H14-G14,"n/a"))</f>
        <v>37</v>
      </c>
      <c r="I16" s="10">
        <f>IF(OR(ISBLANK(I14),ISBLANK(H14)),"n/a",IFERROR(I14-H14,"n/a"))</f>
        <v>162.49999999999977</v>
      </c>
      <c r="J16" s="6"/>
      <c r="K16" s="6"/>
    </row>
    <row r="17">
      <c r="A17" s="4" t="s">
        <v>361</v>
      </c>
      <c r="B17" s="1">
        <v>0</v>
      </c>
      <c r="C17" s="1">
        <v>0</v>
      </c>
      <c r="D17" s="1">
        <v>0</v>
      </c>
      <c r="E17" s="1">
        <v>0</v>
      </c>
      <c r="F17" s="7">
        <f>SUM(B17:E17)</f>
        <v>0</v>
      </c>
      <c r="G17" s="1">
        <v>0</v>
      </c>
      <c r="H17" s="1">
        <v>32</v>
      </c>
      <c r="I17" s="38">
        <v>35</v>
      </c>
      <c r="J17" s="6" t="s">
        <v>362</v>
      </c>
      <c r="K17" s="6"/>
    </row>
    <row r="18">
      <c r="A18" s="4" t="s">
        <v>173</v>
      </c>
      <c r="B18" s="7" t="s">
        <v>34</v>
      </c>
      <c r="C18" s="7" t="s">
        <v>34</v>
      </c>
      <c r="D18" s="7" t="s">
        <v>34</v>
      </c>
      <c r="E18" s="7" t="s">
        <v>34</v>
      </c>
      <c r="F18" s="7" t="s">
        <v>34</v>
      </c>
      <c r="G18" s="7">
        <f>IF(OR(ISBLANK(G17),ISBLANK(B17)),"n/a",IFERROR(G17-B17,"n/a"))</f>
        <v>0</v>
      </c>
      <c r="H18" s="7">
        <f>IF(OR(ISBLANK(H17),ISBLANK(C17)),"n/a",IFERROR(H17-C17,"n/a"))</f>
        <v>32</v>
      </c>
      <c r="I18" s="10">
        <f>IF(OR(ISBLANK(I17),ISBLANK(D17)),"n/a",IFERROR(I17-D17,"n/a"))</f>
        <v>35</v>
      </c>
      <c r="J18" s="6"/>
      <c r="K18" s="6"/>
    </row>
    <row r="19">
      <c r="A19" s="4" t="s">
        <v>153</v>
      </c>
      <c r="B19" s="7" t="s">
        <v>34</v>
      </c>
      <c r="C19" s="7">
        <f>IF(OR(ISBLANK(C17),ISBLANK(B17)),"n/a",IFERROR(C17-B17,"n/a"))</f>
        <v>0</v>
      </c>
      <c r="D19" s="7">
        <f>IF(OR(ISBLANK(D17),ISBLANK(C17)),"n/a",IFERROR(D17-C17,"n/a"))</f>
        <v>0</v>
      </c>
      <c r="E19" s="7">
        <f>IF(OR(ISBLANK(E17),ISBLANK(D17)),"n/a",IFERROR(E17-D17,"n/a"))</f>
        <v>0</v>
      </c>
      <c r="F19" s="7" t="s">
        <v>34</v>
      </c>
      <c r="G19" s="7">
        <f>IF(OR(ISBLANK(G17),ISBLANK(E17)),"n/a",IFERROR(G17-E17,"n/a"))</f>
        <v>0</v>
      </c>
      <c r="H19" s="7">
        <f>IF(OR(ISBLANK(H17),ISBLANK(G17)),"n/a",IFERROR(H17-G17,"n/a"))</f>
        <v>32</v>
      </c>
      <c r="I19" s="10">
        <f>IF(OR(ISBLANK(I17),ISBLANK(H17)),"n/a",IFERROR(I17-H17,"n/a"))</f>
        <v>3</v>
      </c>
      <c r="J19" s="6"/>
      <c r="K19" s="6"/>
    </row>
    <row r="20">
      <c r="A20" s="4" t="s">
        <v>363</v>
      </c>
      <c r="B20" s="1">
        <v>1095</v>
      </c>
      <c r="C20" s="1">
        <v>1773</v>
      </c>
      <c r="D20" s="1">
        <v>2096</v>
      </c>
      <c r="E20" s="1">
        <v>1616</v>
      </c>
      <c r="F20" s="7">
        <f>SUM(B20:E20)</f>
        <v>6580</v>
      </c>
      <c r="G20" s="1">
        <v>1371</v>
      </c>
      <c r="H20" s="1">
        <v>1757</v>
      </c>
      <c r="I20" s="10">
        <f>(D20-I21)*(1+I22)</f>
        <v>1846.8000000000002</v>
      </c>
      <c r="J20" s="6" t="s">
        <v>239</v>
      </c>
      <c r="K20" s="6"/>
    </row>
    <row r="21">
      <c r="A21" s="4" t="s">
        <v>364</v>
      </c>
      <c r="B21" s="7"/>
      <c r="C21" s="7"/>
      <c r="D21" s="7"/>
      <c r="E21" s="7"/>
      <c r="F21" s="7"/>
      <c r="G21" s="7"/>
      <c r="H21" s="7"/>
      <c r="I21" s="38">
        <v>386</v>
      </c>
      <c r="J21" s="6" t="s">
        <v>365</v>
      </c>
      <c r="K21" s="6"/>
    </row>
    <row r="22">
      <c r="A22" s="17" t="s">
        <v>366</v>
      </c>
      <c r="B22" s="16" t="s">
        <v>34</v>
      </c>
      <c r="C22" s="16" t="s">
        <v>34</v>
      </c>
      <c r="D22" s="16" t="s">
        <v>34</v>
      </c>
      <c r="E22" s="16" t="s">
        <v>34</v>
      </c>
      <c r="F22" s="16" t="s">
        <v>34</v>
      </c>
      <c r="G22" s="16">
        <f>IF(OR(ISBLANK(G20),ISBLANK(B20)),"n/a",IFERROR(G20/B20-1,"n/a"))</f>
        <v>0.252054794520548</v>
      </c>
      <c r="H22" s="16">
        <f>IF(OR(ISBLANK(H20),ISBLANK(C20)),"n/a",IFERROR(H20/C20-1,"n/a"))</f>
        <v>-0.009024252679075029</v>
      </c>
      <c r="I22" s="46">
        <v>0.08</v>
      </c>
      <c r="J22" s="6"/>
      <c r="K22" s="6"/>
    </row>
    <row r="23">
      <c r="A23" s="4" t="s">
        <v>153</v>
      </c>
      <c r="B23" s="7" t="s">
        <v>34</v>
      </c>
      <c r="C23" s="7">
        <f>IF(OR(ISBLANK(C20),ISBLANK(B20)),"n/a",IFERROR(C20-B20,"n/a"))</f>
        <v>678</v>
      </c>
      <c r="D23" s="7">
        <f>IF(OR(ISBLANK(D20),ISBLANK(C20)),"n/a",IFERROR(D20-C20,"n/a"))</f>
        <v>323</v>
      </c>
      <c r="E23" s="7">
        <f>IF(OR(ISBLANK(E20),ISBLANK(D20)),"n/a",IFERROR(E20-D20,"n/a"))</f>
        <v>-480</v>
      </c>
      <c r="F23" s="7" t="s">
        <v>34</v>
      </c>
      <c r="G23" s="7">
        <f>IF(OR(ISBLANK(G20),ISBLANK(E20)),"n/a",IFERROR(G20-E20,"n/a"))</f>
        <v>-245</v>
      </c>
      <c r="H23" s="7">
        <f>IF(OR(ISBLANK(H20),ISBLANK(G20)),"n/a",IFERROR(H20-G20,"n/a"))</f>
        <v>386</v>
      </c>
      <c r="I23" s="10">
        <f>IF(OR(ISBLANK(I20),ISBLANK(H20)),"n/a",IFERROR(I20-H20,"n/a"))</f>
        <v>89.80000000000018</v>
      </c>
      <c r="J23" s="6"/>
      <c r="K23" s="6"/>
    </row>
    <row r="24">
      <c r="A24" s="4" t="s">
        <v>367</v>
      </c>
      <c r="B24" s="1">
        <v>594</v>
      </c>
      <c r="C24" s="1">
        <v>630</v>
      </c>
      <c r="D24" s="1">
        <v>653</v>
      </c>
      <c r="E24" s="1">
        <v>592</v>
      </c>
      <c r="F24" s="7">
        <f>SUM(B24:E24)</f>
        <v>2469</v>
      </c>
      <c r="G24" s="1">
        <v>628</v>
      </c>
      <c r="H24" s="1">
        <v>667</v>
      </c>
      <c r="I24" s="10">
        <f>D24*(1+I25)</f>
        <v>685.65</v>
      </c>
      <c r="J24" s="6" t="s">
        <v>239</v>
      </c>
      <c r="K24" s="6"/>
    </row>
    <row r="25">
      <c r="A25" s="17" t="s">
        <v>166</v>
      </c>
      <c r="B25" s="16" t="s">
        <v>34</v>
      </c>
      <c r="C25" s="16" t="s">
        <v>34</v>
      </c>
      <c r="D25" s="16" t="s">
        <v>34</v>
      </c>
      <c r="E25" s="16" t="s">
        <v>34</v>
      </c>
      <c r="F25" s="16" t="s">
        <v>34</v>
      </c>
      <c r="G25" s="16">
        <f>IF(OR(ISBLANK(G24),ISBLANK(B24)),"n/a",IFERROR(G24/B24-1,"n/a"))</f>
        <v>0.05723905723905731</v>
      </c>
      <c r="H25" s="16">
        <f>IF(OR(ISBLANK(H24),ISBLANK(C24)),"n/a",IFERROR(H24/C24-1,"n/a"))</f>
        <v>0.058730158730158744</v>
      </c>
      <c r="I25" s="46">
        <v>0.05</v>
      </c>
      <c r="J25" s="6"/>
      <c r="K25" s="6"/>
    </row>
    <row r="26">
      <c r="A26" s="4" t="s">
        <v>153</v>
      </c>
      <c r="B26" s="7" t="s">
        <v>34</v>
      </c>
      <c r="C26" s="7">
        <f>IF(OR(ISBLANK(C24),ISBLANK(B24)),"n/a",IFERROR(C24-B24,"n/a"))</f>
        <v>36</v>
      </c>
      <c r="D26" s="7">
        <f>IF(OR(ISBLANK(D24),ISBLANK(C24)),"n/a",IFERROR(D24-C24,"n/a"))</f>
        <v>23</v>
      </c>
      <c r="E26" s="7">
        <f>IF(OR(ISBLANK(E24),ISBLANK(D24)),"n/a",IFERROR(E24-D24,"n/a"))</f>
        <v>-61</v>
      </c>
      <c r="F26" s="7" t="s">
        <v>34</v>
      </c>
      <c r="G26" s="7">
        <f>IF(OR(ISBLANK(G24),ISBLANK(E24)),"n/a",IFERROR(G24-E24,"n/a"))</f>
        <v>36</v>
      </c>
      <c r="H26" s="7">
        <f>IF(OR(ISBLANK(H24),ISBLANK(G24)),"n/a",IFERROR(H24-G24,"n/a"))</f>
        <v>39</v>
      </c>
      <c r="I26" s="10">
        <f>IF(OR(ISBLANK(I24),ISBLANK(H24)),"n/a",IFERROR(I24-H24,"n/a"))</f>
        <v>18.649999999999977</v>
      </c>
      <c r="J26" s="6"/>
      <c r="K26" s="6"/>
    </row>
    <row r="27">
      <c r="A27" s="27" t="s">
        <v>368</v>
      </c>
      <c r="B27" s="5">
        <f>B11+B14+B17+B20+B24</f>
        <v>4027</v>
      </c>
      <c r="C27" s="5">
        <f>C11+C14+C17+C20+C24</f>
        <v>4807</v>
      </c>
      <c r="D27" s="5">
        <f>D11+D14+D17+D20+D24</f>
        <v>5582</v>
      </c>
      <c r="E27" s="5">
        <f>E11+E14+E17+E20+E24</f>
        <v>4977</v>
      </c>
      <c r="F27" s="5">
        <f>F11+F14+F17+F20+F24</f>
        <v>19393</v>
      </c>
      <c r="G27" s="5">
        <f>G11+G14+G17+G20+G24</f>
        <v>4750</v>
      </c>
      <c r="H27" s="5">
        <f>H11+H14+H17+H20+H24</f>
        <v>5289</v>
      </c>
      <c r="I27" s="2">
        <f>I11+I14+I17+I20+I24</f>
        <v>5711.5599999999995</v>
      </c>
      <c r="J27" s="6"/>
      <c r="K27" s="6"/>
    </row>
    <row r="28">
      <c r="A28" s="17" t="s">
        <v>152</v>
      </c>
      <c r="B28" s="16" t="s">
        <v>34</v>
      </c>
      <c r="C28" s="16" t="s">
        <v>34</v>
      </c>
      <c r="D28" s="16" t="s">
        <v>34</v>
      </c>
      <c r="E28" s="16" t="s">
        <v>34</v>
      </c>
      <c r="F28" s="16" t="s">
        <v>34</v>
      </c>
      <c r="G28" s="16">
        <f>IF(OR(ISBLANK(G27),ISBLANK(B27)),"n/a",IFERROR(G27/B27-1,"n/a"))</f>
        <v>0.179538117705488</v>
      </c>
      <c r="H28" s="16">
        <f>IF(OR(ISBLANK(H27),ISBLANK(C27)),"n/a",IFERROR(H27/C27-1,"n/a"))</f>
        <v>0.10027043894320786</v>
      </c>
      <c r="I28" s="15">
        <f>IF(OR(ISBLANK(I27),ISBLANK(D27)),"n/a",IFERROR(I27/D27-1,"n/a"))</f>
        <v>0.023210318882121106</v>
      </c>
      <c r="J28" s="6"/>
      <c r="K28" s="6"/>
    </row>
    <row r="29">
      <c r="A29" s="4" t="s">
        <v>153</v>
      </c>
      <c r="B29" s="7" t="s">
        <v>34</v>
      </c>
      <c r="C29" s="7">
        <f>IF(OR(ISBLANK(C27),ISBLANK(B27)),"n/a",IFERROR(C27-B27,"n/a"))</f>
        <v>780</v>
      </c>
      <c r="D29" s="7">
        <f>IF(OR(ISBLANK(D27),ISBLANK(C27)),"n/a",IFERROR(D27-C27,"n/a"))</f>
        <v>775</v>
      </c>
      <c r="E29" s="7">
        <f>IF(OR(ISBLANK(E27),ISBLANK(D27)),"n/a",IFERROR(E27-D27,"n/a"))</f>
        <v>-605</v>
      </c>
      <c r="F29" s="7" t="s">
        <v>34</v>
      </c>
      <c r="G29" s="7">
        <f>IF(OR(ISBLANK(G27),ISBLANK(E27)),"n/a",IFERROR(G27-E27,"n/a"))</f>
        <v>-227</v>
      </c>
      <c r="H29" s="7">
        <f>IF(OR(ISBLANK(H27),ISBLANK(G27)),"n/a",IFERROR(H27-G27,"n/a"))</f>
        <v>539</v>
      </c>
      <c r="I29" s="10">
        <f>IF(OR(ISBLANK(I27),ISBLANK(H27)),"n/a",IFERROR(I27-H27,"n/a"))</f>
        <v>422.5599999999995</v>
      </c>
      <c r="J29" s="6"/>
      <c r="K29" s="6"/>
    </row>
    <row r="30">
      <c r="A30" s="4" t="s">
        <v>369</v>
      </c>
      <c r="B30" s="1">
        <v>36</v>
      </c>
      <c r="C30" s="1">
        <v>18</v>
      </c>
      <c r="D30" s="1">
        <v>143</v>
      </c>
      <c r="E30" s="1">
        <v>63</v>
      </c>
      <c r="F30" s="7">
        <f>SUM(B30:E30)</f>
        <v>260</v>
      </c>
      <c r="G30" s="1">
        <v>257</v>
      </c>
      <c r="H30" s="1">
        <v>-7</v>
      </c>
      <c r="I30" s="38">
        <v>140</v>
      </c>
      <c r="J30" s="6" t="s">
        <v>370</v>
      </c>
      <c r="K30" s="6"/>
    </row>
    <row r="31">
      <c r="A31" s="4" t="s">
        <v>173</v>
      </c>
      <c r="B31" s="7" t="s">
        <v>34</v>
      </c>
      <c r="C31" s="7" t="s">
        <v>34</v>
      </c>
      <c r="D31" s="7" t="s">
        <v>34</v>
      </c>
      <c r="E31" s="7" t="s">
        <v>34</v>
      </c>
      <c r="F31" s="7" t="s">
        <v>34</v>
      </c>
      <c r="G31" s="7">
        <f>IF(OR(ISBLANK(G30),ISBLANK(B30)),"n/a",IFERROR(G30-B30,"n/a"))</f>
        <v>221</v>
      </c>
      <c r="H31" s="7">
        <f>IF(OR(ISBLANK(H30),ISBLANK(C30)),"n/a",IFERROR(H30-C30,"n/a"))</f>
        <v>-25</v>
      </c>
      <c r="I31" s="10">
        <f>IF(OR(ISBLANK(I30),ISBLANK(D30)),"n/a",IFERROR(I30-D30,"n/a"))</f>
        <v>-3</v>
      </c>
      <c r="J31" s="6"/>
      <c r="K31" s="6"/>
    </row>
    <row r="32">
      <c r="A32" s="4" t="s">
        <v>153</v>
      </c>
      <c r="B32" s="7" t="s">
        <v>34</v>
      </c>
      <c r="C32" s="7">
        <f>IF(OR(ISBLANK(C30),ISBLANK(B30)),"n/a",IFERROR(C30-B30,"n/a"))</f>
        <v>-18</v>
      </c>
      <c r="D32" s="7">
        <f>IF(OR(ISBLANK(D30),ISBLANK(C30)),"n/a",IFERROR(D30-C30,"n/a"))</f>
        <v>125</v>
      </c>
      <c r="E32" s="7">
        <f>IF(OR(ISBLANK(E30),ISBLANK(D30)),"n/a",IFERROR(E30-D30,"n/a"))</f>
        <v>-80</v>
      </c>
      <c r="F32" s="7" t="s">
        <v>34</v>
      </c>
      <c r="G32" s="7">
        <f>IF(OR(ISBLANK(G30),ISBLANK(E30)),"n/a",IFERROR(G30-E30,"n/a"))</f>
        <v>194</v>
      </c>
      <c r="H32" s="7">
        <f>IF(OR(ISBLANK(H30),ISBLANK(G30)),"n/a",IFERROR(H30-G30,"n/a"))</f>
        <v>-264</v>
      </c>
      <c r="I32" s="10">
        <f>IF(OR(ISBLANK(I30),ISBLANK(H30)),"n/a",IFERROR(I30-H30,"n/a"))</f>
        <v>147</v>
      </c>
      <c r="J32" s="6"/>
      <c r="K32" s="6"/>
    </row>
    <row r="33">
      <c r="A33" s="27" t="s">
        <v>371</v>
      </c>
      <c r="B33" s="5">
        <f>B9-B27+B30</f>
        <v>2256</v>
      </c>
      <c r="C33" s="5">
        <f>C9-C27+C30</f>
        <v>1911</v>
      </c>
      <c r="D33" s="5">
        <f>D9-D27+D30</f>
        <v>2527</v>
      </c>
      <c r="E33" s="5">
        <f>E9-E27+E30</f>
        <v>1586</v>
      </c>
      <c r="F33" s="5">
        <f>F9-F27+F30</f>
        <v>8280</v>
      </c>
      <c r="G33" s="5">
        <f>G9-G27+G30</f>
        <v>2208</v>
      </c>
      <c r="H33" s="5">
        <f>H9-H27+H30</f>
        <v>2238</v>
      </c>
      <c r="I33" s="2">
        <f>I9-I27+I30</f>
        <v>2664.9433653847773</v>
      </c>
      <c r="J33" s="6" t="s">
        <v>372</v>
      </c>
      <c r="K33" s="6"/>
    </row>
    <row r="34">
      <c r="A34" s="17" t="s">
        <v>102</v>
      </c>
      <c r="B34" s="16" t="s">
        <v>34</v>
      </c>
      <c r="C34" s="16" t="s">
        <v>34</v>
      </c>
      <c r="D34" s="16" t="s">
        <v>34</v>
      </c>
      <c r="E34" s="16" t="s">
        <v>34</v>
      </c>
      <c r="F34" s="16" t="s">
        <v>34</v>
      </c>
      <c r="G34" s="16">
        <f>IF(OR(ISBLANK(G33),ISBLANK(B33)),"n/a",IFERROR(G33/B33-1,"n/a"))</f>
        <v>-0.021276595744680882</v>
      </c>
      <c r="H34" s="16">
        <f>IF(OR(ISBLANK(H33),ISBLANK(C33)),"n/a",IFERROR(H33/C33-1,"n/a"))</f>
        <v>0.17111459968602816</v>
      </c>
      <c r="I34" s="15">
        <f>IF(OR(ISBLANK(I33),ISBLANK(D33)),"n/a",IFERROR(I33/D33-1,"n/a"))</f>
        <v>0.054587797936199944</v>
      </c>
      <c r="J34" s="6"/>
      <c r="K34" s="6"/>
    </row>
    <row r="35">
      <c r="A35" s="17" t="s">
        <v>373</v>
      </c>
      <c r="B35" s="16">
        <f>B33/B9</f>
        <v>0.3611333440051225</v>
      </c>
      <c r="C35" s="16">
        <f>C33/C9</f>
        <v>0.2852238805970149</v>
      </c>
      <c r="D35" s="16">
        <f>D33/D9</f>
        <v>0.3172231985940246</v>
      </c>
      <c r="E35" s="16">
        <f>E33/E9</f>
        <v>0.244</v>
      </c>
      <c r="F35" s="16">
        <f>F33/F9</f>
        <v>0.30204647430051434</v>
      </c>
      <c r="G35" s="16">
        <f>G33/G9</f>
        <v>0.3295030592448888</v>
      </c>
      <c r="H35" s="16">
        <f>H33/H9</f>
        <v>0.2970533581099018</v>
      </c>
      <c r="I35" s="15">
        <f>I33/I9</f>
        <v>0.3235527562077651</v>
      </c>
      <c r="J35" s="6"/>
      <c r="K35" s="6"/>
    </row>
    <row r="36">
      <c r="A36" s="4" t="s">
        <v>161</v>
      </c>
      <c r="B36" s="8" t="s">
        <v>34</v>
      </c>
      <c r="C36" s="8" t="s">
        <v>34</v>
      </c>
      <c r="D36" s="8" t="s">
        <v>34</v>
      </c>
      <c r="E36" s="8" t="s">
        <v>34</v>
      </c>
      <c r="F36" s="8" t="s">
        <v>34</v>
      </c>
      <c r="G36" s="8">
        <f>IF(OR(ISBLANK(G35),ISBLANK(B35)),"n/a",IFERROR((G35-B35)*10000,"n/a"))</f>
        <v>-316.3028476023366</v>
      </c>
      <c r="H36" s="8">
        <f>IF(OR(ISBLANK(H35),ISBLANK(C35)),"n/a",IFERROR((H35-C35)*10000,"n/a"))</f>
        <v>118.29477512886876</v>
      </c>
      <c r="I36" s="30">
        <f>IF(OR(ISBLANK(I35),ISBLANK(D35)),"n/a",IFERROR((I35-D35)*10000,"n/a"))</f>
        <v>63.295576137404886</v>
      </c>
      <c r="J36" s="6"/>
      <c r="K36" s="6"/>
    </row>
    <row r="37">
      <c r="A37" s="4" t="s">
        <v>162</v>
      </c>
      <c r="B37" s="8" t="s">
        <v>34</v>
      </c>
      <c r="C37" s="8">
        <f>IF(OR(ISBLANK(C35),ISBLANK(B35)),"n/a",IFERROR((C35-B35)*10000,"n/a"))</f>
        <v>-759.0946340810756</v>
      </c>
      <c r="D37" s="8">
        <f>IF(OR(ISBLANK(D35),ISBLANK(C35)),"n/a",IFERROR((D35-C35)*10000,"n/a"))</f>
        <v>319.99317997009666</v>
      </c>
      <c r="E37" s="8">
        <f>IF(OR(ISBLANK(E35),ISBLANK(D35)),"n/a",IFERROR((E35-D35)*10000,"n/a"))</f>
        <v>-732.231985940246</v>
      </c>
      <c r="F37" s="8" t="s">
        <v>34</v>
      </c>
      <c r="G37" s="8">
        <f>IF(OR(ISBLANK(G35),ISBLANK(E35)),"n/a",IFERROR((G35-E35)*10000,"n/a"))</f>
        <v>855.0305924488882</v>
      </c>
      <c r="H37" s="8">
        <f>IF(OR(ISBLANK(H35),ISBLANK(G35)),"n/a",IFERROR((H35-G35)*10000,"n/a"))</f>
        <v>-324.4970113498702</v>
      </c>
      <c r="I37" s="30">
        <f>IF(OR(ISBLANK(I35),ISBLANK(H35)),"n/a",IFERROR((I35-H35)*10000,"n/a"))</f>
        <v>264.9939809786328</v>
      </c>
      <c r="J37" s="6"/>
      <c r="K37" s="6"/>
    </row>
    <row r="38">
      <c r="A38" s="4" t="s">
        <v>374</v>
      </c>
      <c r="B38" s="1">
        <v>-1774</v>
      </c>
      <c r="C38" s="1">
        <v>-1060</v>
      </c>
      <c r="D38" s="1">
        <v>-1153</v>
      </c>
      <c r="E38" s="1">
        <v>-586</v>
      </c>
      <c r="F38" s="7">
        <f>SUM(B38:E38)</f>
        <v>-4573</v>
      </c>
      <c r="G38" s="1">
        <v>-1287</v>
      </c>
      <c r="H38" s="1">
        <v>-487</v>
      </c>
      <c r="I38" s="38">
        <v>-1200</v>
      </c>
      <c r="J38" s="6" t="s">
        <v>375</v>
      </c>
      <c r="K38" s="6"/>
    </row>
    <row r="39">
      <c r="A39" s="17" t="s">
        <v>152</v>
      </c>
      <c r="B39" s="16" t="s">
        <v>34</v>
      </c>
      <c r="C39" s="16" t="s">
        <v>34</v>
      </c>
      <c r="D39" s="16" t="s">
        <v>34</v>
      </c>
      <c r="E39" s="16" t="s">
        <v>34</v>
      </c>
      <c r="F39" s="16" t="s">
        <v>34</v>
      </c>
      <c r="G39" s="16">
        <f>IF(OR(ISBLANK(G38),ISBLANK(B38)),"n/a",IFERROR(G38/B38-1,"n/a"))</f>
        <v>-0.2745208568207441</v>
      </c>
      <c r="H39" s="16">
        <f>IF(OR(ISBLANK(H38),ISBLANK(C38)),"n/a",IFERROR(H38/C38-1,"n/a"))</f>
        <v>-0.540566037735849</v>
      </c>
      <c r="I39" s="15">
        <f>IF(OR(ISBLANK(I38),ISBLANK(D38)),"n/a",IFERROR(I38/D38-1,"n/a"))</f>
        <v>0.040763226366001826</v>
      </c>
      <c r="J39" s="6"/>
      <c r="K39" s="6"/>
    </row>
    <row r="40">
      <c r="A40" s="4" t="s">
        <v>153</v>
      </c>
      <c r="B40" s="7" t="s">
        <v>34</v>
      </c>
      <c r="C40" s="7">
        <f>IF(OR(ISBLANK(C38),ISBLANK(B38)),"n/a",IFERROR(C38-B38,"n/a"))</f>
        <v>714</v>
      </c>
      <c r="D40" s="7">
        <f>IF(OR(ISBLANK(D38),ISBLANK(C38)),"n/a",IFERROR(D38-C38,"n/a"))</f>
        <v>-93</v>
      </c>
      <c r="E40" s="7">
        <f>IF(OR(ISBLANK(E38),ISBLANK(D38)),"n/a",IFERROR(E38-D38,"n/a"))</f>
        <v>567</v>
      </c>
      <c r="F40" s="7" t="s">
        <v>34</v>
      </c>
      <c r="G40" s="7">
        <f>IF(OR(ISBLANK(G38),ISBLANK(E38)),"n/a",IFERROR(G38-E38,"n/a"))</f>
        <v>-701</v>
      </c>
      <c r="H40" s="7">
        <f>IF(OR(ISBLANK(H38),ISBLANK(G38)),"n/a",IFERROR(H38-G38,"n/a"))</f>
        <v>800</v>
      </c>
      <c r="I40" s="10">
        <f>IF(OR(ISBLANK(I38),ISBLANK(H38)),"n/a",IFERROR(I38-H38,"n/a"))</f>
        <v>-713</v>
      </c>
      <c r="J40" s="6"/>
      <c r="K40" s="6"/>
    </row>
    <row r="41">
      <c r="A41" s="4" t="s">
        <v>376</v>
      </c>
      <c r="B41" s="1">
        <v>-646</v>
      </c>
      <c r="C41" s="1">
        <v>177</v>
      </c>
      <c r="D41" s="1">
        <v>204</v>
      </c>
      <c r="E41" s="1">
        <v>82</v>
      </c>
      <c r="F41" s="7">
        <f>SUM(B41:E41)</f>
        <v>-183</v>
      </c>
      <c r="G41" s="1">
        <v>171</v>
      </c>
      <c r="H41" s="1">
        <v>333</v>
      </c>
      <c r="I41" s="38">
        <v>220</v>
      </c>
      <c r="J41" s="6" t="s">
        <v>377</v>
      </c>
      <c r="K41" s="6"/>
    </row>
    <row r="42">
      <c r="A42" s="4" t="s">
        <v>173</v>
      </c>
      <c r="B42" s="7" t="s">
        <v>34</v>
      </c>
      <c r="C42" s="7" t="s">
        <v>34</v>
      </c>
      <c r="D42" s="7" t="s">
        <v>34</v>
      </c>
      <c r="E42" s="7" t="s">
        <v>34</v>
      </c>
      <c r="F42" s="7" t="s">
        <v>34</v>
      </c>
      <c r="G42" s="7">
        <f>IF(OR(ISBLANK(G41),ISBLANK(B41)),"n/a",IFERROR(G41-B41,"n/a"))</f>
        <v>817</v>
      </c>
      <c r="H42" s="7">
        <f>IF(OR(ISBLANK(H41),ISBLANK(C41)),"n/a",IFERROR(H41-C41,"n/a"))</f>
        <v>156</v>
      </c>
      <c r="I42" s="10">
        <f>IF(OR(ISBLANK(I41),ISBLANK(D41)),"n/a",IFERROR(I41-D41,"n/a"))</f>
        <v>16</v>
      </c>
      <c r="J42" s="6"/>
      <c r="K42" s="6"/>
    </row>
    <row r="43">
      <c r="A43" s="4" t="s">
        <v>153</v>
      </c>
      <c r="B43" s="7" t="s">
        <v>34</v>
      </c>
      <c r="C43" s="7">
        <f>IF(OR(ISBLANK(C41),ISBLANK(B41)),"n/a",IFERROR(C41-B41,"n/a"))</f>
        <v>823</v>
      </c>
      <c r="D43" s="7">
        <f>IF(OR(ISBLANK(D41),ISBLANK(C41)),"n/a",IFERROR(D41-C41,"n/a"))</f>
        <v>27</v>
      </c>
      <c r="E43" s="7">
        <f>IF(OR(ISBLANK(E41),ISBLANK(D41)),"n/a",IFERROR(E41-D41,"n/a"))</f>
        <v>-122</v>
      </c>
      <c r="F43" s="7" t="s">
        <v>34</v>
      </c>
      <c r="G43" s="7">
        <f>IF(OR(ISBLANK(G41),ISBLANK(E41)),"n/a",IFERROR(G41-E41,"n/a"))</f>
        <v>89</v>
      </c>
      <c r="H43" s="7">
        <f>IF(OR(ISBLANK(H41),ISBLANK(G41)),"n/a",IFERROR(H41-G41,"n/a"))</f>
        <v>162</v>
      </c>
      <c r="I43" s="10">
        <f>IF(OR(ISBLANK(I41),ISBLANK(H41)),"n/a",IFERROR(I41-H41,"n/a"))</f>
        <v>-113</v>
      </c>
      <c r="J43" s="6"/>
      <c r="K43" s="6"/>
    </row>
    <row r="44">
      <c r="A44" s="4" t="s">
        <v>378</v>
      </c>
      <c r="B44" s="1">
        <v>38</v>
      </c>
      <c r="C44" s="1">
        <v>44</v>
      </c>
      <c r="D44" s="1">
        <v>48</v>
      </c>
      <c r="E44" s="1">
        <v>51</v>
      </c>
      <c r="F44" s="7">
        <f>SUM(B44:E44)</f>
        <v>181</v>
      </c>
      <c r="G44" s="1">
        <v>52</v>
      </c>
      <c r="H44" s="1">
        <v>59</v>
      </c>
      <c r="I44" s="38">
        <v>60</v>
      </c>
      <c r="J44" s="6" t="s">
        <v>379</v>
      </c>
      <c r="K44" s="6"/>
    </row>
    <row r="45">
      <c r="A45" s="4" t="s">
        <v>173</v>
      </c>
      <c r="B45" s="7" t="s">
        <v>34</v>
      </c>
      <c r="C45" s="7" t="s">
        <v>34</v>
      </c>
      <c r="D45" s="7" t="s">
        <v>34</v>
      </c>
      <c r="E45" s="7" t="s">
        <v>34</v>
      </c>
      <c r="F45" s="7" t="s">
        <v>34</v>
      </c>
      <c r="G45" s="7">
        <f>IF(OR(ISBLANK(G44),ISBLANK(B44)),"n/a",IFERROR(G44-B44,"n/a"))</f>
        <v>14</v>
      </c>
      <c r="H45" s="7">
        <f>IF(OR(ISBLANK(H44),ISBLANK(C44)),"n/a",IFERROR(H44-C44,"n/a"))</f>
        <v>15</v>
      </c>
      <c r="I45" s="10">
        <f>IF(OR(ISBLANK(I44),ISBLANK(D44)),"n/a",IFERROR(I44-D44,"n/a"))</f>
        <v>12</v>
      </c>
      <c r="J45" s="6"/>
      <c r="K45" s="6"/>
    </row>
    <row r="46">
      <c r="A46" s="4" t="s">
        <v>153</v>
      </c>
      <c r="B46" s="7" t="s">
        <v>34</v>
      </c>
      <c r="C46" s="7">
        <f>IF(OR(ISBLANK(C44),ISBLANK(B44)),"n/a",IFERROR(C44-B44,"n/a"))</f>
        <v>6</v>
      </c>
      <c r="D46" s="7">
        <f>IF(OR(ISBLANK(D44),ISBLANK(C44)),"n/a",IFERROR(D44-C44,"n/a"))</f>
        <v>4</v>
      </c>
      <c r="E46" s="7">
        <f>IF(OR(ISBLANK(E44),ISBLANK(D44)),"n/a",IFERROR(E44-D44,"n/a"))</f>
        <v>3</v>
      </c>
      <c r="F46" s="7" t="s">
        <v>34</v>
      </c>
      <c r="G46" s="7">
        <f>IF(OR(ISBLANK(G44),ISBLANK(E44)),"n/a",IFERROR(G44-E44,"n/a"))</f>
        <v>1</v>
      </c>
      <c r="H46" s="7">
        <f>IF(OR(ISBLANK(H44),ISBLANK(G44)),"n/a",IFERROR(H44-G44,"n/a"))</f>
        <v>7</v>
      </c>
      <c r="I46" s="10">
        <f>IF(OR(ISBLANK(I44),ISBLANK(H44)),"n/a",IFERROR(I44-H44,"n/a"))</f>
        <v>1</v>
      </c>
      <c r="J46" s="6"/>
      <c r="K46" s="6"/>
    </row>
    <row r="47">
      <c r="A47" s="4" t="s">
        <v>380</v>
      </c>
      <c r="B47" s="1">
        <v>-2</v>
      </c>
      <c r="C47" s="1">
        <v>103</v>
      </c>
      <c r="D47" s="1">
        <v>68</v>
      </c>
      <c r="E47" s="1">
        <v>11</v>
      </c>
      <c r="F47" s="7">
        <f>SUM(B47:E47)</f>
        <v>180</v>
      </c>
      <c r="G47" s="1">
        <v>0</v>
      </c>
      <c r="H47" s="1">
        <v>103</v>
      </c>
      <c r="I47" s="38">
        <v>70</v>
      </c>
      <c r="J47" s="6" t="s">
        <v>381</v>
      </c>
      <c r="K47" s="6"/>
    </row>
    <row r="48">
      <c r="A48" s="4" t="s">
        <v>173</v>
      </c>
      <c r="B48" s="7" t="s">
        <v>34</v>
      </c>
      <c r="C48" s="7" t="s">
        <v>34</v>
      </c>
      <c r="D48" s="7" t="s">
        <v>34</v>
      </c>
      <c r="E48" s="7" t="s">
        <v>34</v>
      </c>
      <c r="F48" s="7" t="s">
        <v>34</v>
      </c>
      <c r="G48" s="7">
        <f>IF(OR(ISBLANK(G47),ISBLANK(B47)),"n/a",IFERROR(G47-B47,"n/a"))</f>
        <v>2</v>
      </c>
      <c r="H48" s="7">
        <f>IF(OR(ISBLANK(H47),ISBLANK(C47)),"n/a",IFERROR(H47-C47,"n/a"))</f>
        <v>0</v>
      </c>
      <c r="I48" s="10">
        <f>IF(OR(ISBLANK(I47),ISBLANK(D47)),"n/a",IFERROR(I47-D47,"n/a"))</f>
        <v>2</v>
      </c>
      <c r="J48" s="6"/>
      <c r="K48" s="6"/>
    </row>
    <row r="49">
      <c r="A49" s="4" t="s">
        <v>153</v>
      </c>
      <c r="B49" s="7" t="s">
        <v>34</v>
      </c>
      <c r="C49" s="7">
        <f>IF(OR(ISBLANK(C47),ISBLANK(B47)),"n/a",IFERROR(C47-B47,"n/a"))</f>
        <v>105</v>
      </c>
      <c r="D49" s="7">
        <f>IF(OR(ISBLANK(D47),ISBLANK(C47)),"n/a",IFERROR(D47-C47,"n/a"))</f>
        <v>-35</v>
      </c>
      <c r="E49" s="7">
        <f>IF(OR(ISBLANK(E47),ISBLANK(D47)),"n/a",IFERROR(E47-D47,"n/a"))</f>
        <v>-57</v>
      </c>
      <c r="F49" s="7" t="s">
        <v>34</v>
      </c>
      <c r="G49" s="7">
        <f>IF(OR(ISBLANK(G47),ISBLANK(E47)),"n/a",IFERROR(G47-E47,"n/a"))</f>
        <v>-11</v>
      </c>
      <c r="H49" s="7">
        <f>IF(OR(ISBLANK(H47),ISBLANK(G47)),"n/a",IFERROR(H47-G47,"n/a"))</f>
        <v>103</v>
      </c>
      <c r="I49" s="10">
        <f>IF(OR(ISBLANK(I47),ISBLANK(H47)),"n/a",IFERROR(I47-H47,"n/a"))</f>
        <v>-33</v>
      </c>
      <c r="J49" s="6"/>
      <c r="K49" s="6"/>
    </row>
    <row r="50">
      <c r="A50" s="4" t="s">
        <v>382</v>
      </c>
      <c r="B50" s="1">
        <v>-68</v>
      </c>
      <c r="C50" s="1">
        <v>70</v>
      </c>
      <c r="D50" s="1">
        <v>63</v>
      </c>
      <c r="E50" s="1">
        <v>42</v>
      </c>
      <c r="F50" s="7">
        <f>SUM(B50:E50)</f>
        <v>107</v>
      </c>
      <c r="G50" s="1">
        <v>-60</v>
      </c>
      <c r="H50" s="1">
        <v>190</v>
      </c>
      <c r="I50" s="38">
        <v>0</v>
      </c>
      <c r="J50" s="6" t="s">
        <v>383</v>
      </c>
      <c r="K50" s="6"/>
    </row>
    <row r="51">
      <c r="A51" s="4" t="s">
        <v>173</v>
      </c>
      <c r="B51" s="7" t="s">
        <v>34</v>
      </c>
      <c r="C51" s="7" t="s">
        <v>34</v>
      </c>
      <c r="D51" s="7" t="s">
        <v>34</v>
      </c>
      <c r="E51" s="7" t="s">
        <v>34</v>
      </c>
      <c r="F51" s="7" t="s">
        <v>34</v>
      </c>
      <c r="G51" s="7">
        <f>IF(OR(ISBLANK(G50),ISBLANK(B50)),"n/a",IFERROR(G50-B50,"n/a"))</f>
        <v>8</v>
      </c>
      <c r="H51" s="7">
        <f>IF(OR(ISBLANK(H50),ISBLANK(C50)),"n/a",IFERROR(H50-C50,"n/a"))</f>
        <v>120</v>
      </c>
      <c r="I51" s="10">
        <f>IF(OR(ISBLANK(I50),ISBLANK(D50)),"n/a",IFERROR(I50-D50,"n/a"))</f>
        <v>-63</v>
      </c>
      <c r="J51" s="6"/>
      <c r="K51" s="6"/>
    </row>
    <row r="52">
      <c r="A52" s="4" t="s">
        <v>153</v>
      </c>
      <c r="B52" s="7" t="s">
        <v>34</v>
      </c>
      <c r="C52" s="7">
        <f>IF(OR(ISBLANK(C50),ISBLANK(B50)),"n/a",IFERROR(C50-B50,"n/a"))</f>
        <v>138</v>
      </c>
      <c r="D52" s="7">
        <f>IF(OR(ISBLANK(D50),ISBLANK(C50)),"n/a",IFERROR(D50-C50,"n/a"))</f>
        <v>-7</v>
      </c>
      <c r="E52" s="7">
        <f>IF(OR(ISBLANK(E50),ISBLANK(D50)),"n/a",IFERROR(E50-D50,"n/a"))</f>
        <v>-21</v>
      </c>
      <c r="F52" s="7" t="s">
        <v>34</v>
      </c>
      <c r="G52" s="7">
        <f>IF(OR(ISBLANK(G50),ISBLANK(E50)),"n/a",IFERROR(G50-E50,"n/a"))</f>
        <v>-102</v>
      </c>
      <c r="H52" s="7">
        <f>IF(OR(ISBLANK(H50),ISBLANK(G50)),"n/a",IFERROR(H50-G50,"n/a"))</f>
        <v>250</v>
      </c>
      <c r="I52" s="10">
        <f>IF(OR(ISBLANK(I50),ISBLANK(H50)),"n/a",IFERROR(I50-H50,"n/a"))</f>
        <v>-190</v>
      </c>
      <c r="J52" s="6"/>
      <c r="K52" s="6"/>
    </row>
    <row r="53">
      <c r="A53" s="4" t="s">
        <v>384</v>
      </c>
      <c r="B53" s="1">
        <v>67</v>
      </c>
      <c r="C53" s="1">
        <v>67</v>
      </c>
      <c r="D53" s="1">
        <v>67</v>
      </c>
      <c r="E53" s="1">
        <v>66</v>
      </c>
      <c r="F53" s="7">
        <f>SUM(B53:E53)</f>
        <v>267</v>
      </c>
      <c r="G53" s="1">
        <v>71</v>
      </c>
      <c r="H53" s="1">
        <v>23</v>
      </c>
      <c r="I53" s="38">
        <v>45</v>
      </c>
      <c r="J53" s="6" t="s">
        <v>385</v>
      </c>
      <c r="K53" s="6"/>
    </row>
    <row r="54">
      <c r="A54" s="4" t="s">
        <v>173</v>
      </c>
      <c r="B54" s="7" t="s">
        <v>34</v>
      </c>
      <c r="C54" s="7" t="s">
        <v>34</v>
      </c>
      <c r="D54" s="7" t="s">
        <v>34</v>
      </c>
      <c r="E54" s="7" t="s">
        <v>34</v>
      </c>
      <c r="F54" s="7" t="s">
        <v>34</v>
      </c>
      <c r="G54" s="7">
        <f>IF(OR(ISBLANK(G53),ISBLANK(B53)),"n/a",IFERROR(G53-B53,"n/a"))</f>
        <v>4</v>
      </c>
      <c r="H54" s="7">
        <f>IF(OR(ISBLANK(H53),ISBLANK(C53)),"n/a",IFERROR(H53-C53,"n/a"))</f>
        <v>-44</v>
      </c>
      <c r="I54" s="10">
        <f>IF(OR(ISBLANK(I53),ISBLANK(D53)),"n/a",IFERROR(I53-D53,"n/a"))</f>
        <v>-22</v>
      </c>
      <c r="J54" s="6"/>
      <c r="K54" s="6"/>
    </row>
    <row r="55">
      <c r="A55" s="4" t="s">
        <v>153</v>
      </c>
      <c r="B55" s="7" t="s">
        <v>34</v>
      </c>
      <c r="C55" s="7">
        <f>IF(OR(ISBLANK(C53),ISBLANK(B53)),"n/a",IFERROR(C53-B53,"n/a"))</f>
        <v>0</v>
      </c>
      <c r="D55" s="7">
        <f>IF(OR(ISBLANK(D53),ISBLANK(C53)),"n/a",IFERROR(D53-C53,"n/a"))</f>
        <v>0</v>
      </c>
      <c r="E55" s="7">
        <f>IF(OR(ISBLANK(E53),ISBLANK(D53)),"n/a",IFERROR(E53-D53,"n/a"))</f>
        <v>-1</v>
      </c>
      <c r="F55" s="7" t="s">
        <v>34</v>
      </c>
      <c r="G55" s="7">
        <f>IF(OR(ISBLANK(G53),ISBLANK(E53)),"n/a",IFERROR(G53-E53,"n/a"))</f>
        <v>5</v>
      </c>
      <c r="H55" s="7">
        <f>IF(OR(ISBLANK(H53),ISBLANK(G53)),"n/a",IFERROR(H53-G53,"n/a"))</f>
        <v>-48</v>
      </c>
      <c r="I55" s="10">
        <f>IF(OR(ISBLANK(I53),ISBLANK(H53)),"n/a",IFERROR(I53-H53,"n/a"))</f>
        <v>22</v>
      </c>
      <c r="J55" s="6"/>
      <c r="K55" s="6"/>
    </row>
    <row r="56">
      <c r="A56" s="4" t="s">
        <v>386</v>
      </c>
      <c r="B56" s="1">
        <v>72</v>
      </c>
      <c r="C56" s="1">
        <v>71</v>
      </c>
      <c r="D56" s="1">
        <v>61</v>
      </c>
      <c r="E56" s="1">
        <v>66</v>
      </c>
      <c r="F56" s="7">
        <f>SUM(B56:E56)</f>
        <v>270</v>
      </c>
      <c r="G56" s="1">
        <v>44</v>
      </c>
      <c r="H56" s="1">
        <v>79</v>
      </c>
      <c r="I56" s="38">
        <v>65</v>
      </c>
      <c r="J56" s="6" t="s">
        <v>387</v>
      </c>
      <c r="K56" s="6"/>
    </row>
    <row r="57">
      <c r="A57" s="4" t="s">
        <v>173</v>
      </c>
      <c r="B57" s="7" t="s">
        <v>34</v>
      </c>
      <c r="C57" s="7" t="s">
        <v>34</v>
      </c>
      <c r="D57" s="7" t="s">
        <v>34</v>
      </c>
      <c r="E57" s="7" t="s">
        <v>34</v>
      </c>
      <c r="F57" s="7" t="s">
        <v>34</v>
      </c>
      <c r="G57" s="7">
        <f>IF(OR(ISBLANK(G56),ISBLANK(B56)),"n/a",IFERROR(G56-B56,"n/a"))</f>
        <v>-28</v>
      </c>
      <c r="H57" s="7">
        <f>IF(OR(ISBLANK(H56),ISBLANK(C56)),"n/a",IFERROR(H56-C56,"n/a"))</f>
        <v>8</v>
      </c>
      <c r="I57" s="10">
        <f>IF(OR(ISBLANK(I56),ISBLANK(D56)),"n/a",IFERROR(I56-D56,"n/a"))</f>
        <v>4</v>
      </c>
      <c r="J57" s="6"/>
      <c r="K57" s="6"/>
    </row>
    <row r="58">
      <c r="A58" s="4" t="s">
        <v>153</v>
      </c>
      <c r="B58" s="7" t="s">
        <v>34</v>
      </c>
      <c r="C58" s="7">
        <f>IF(OR(ISBLANK(C56),ISBLANK(B56)),"n/a",IFERROR(C56-B56,"n/a"))</f>
        <v>-1</v>
      </c>
      <c r="D58" s="7">
        <f>IF(OR(ISBLANK(D56),ISBLANK(C56)),"n/a",IFERROR(D56-C56,"n/a"))</f>
        <v>-10</v>
      </c>
      <c r="E58" s="7">
        <f>IF(OR(ISBLANK(E56),ISBLANK(D56)),"n/a",IFERROR(E56-D56,"n/a"))</f>
        <v>5</v>
      </c>
      <c r="F58" s="7" t="s">
        <v>34</v>
      </c>
      <c r="G58" s="7">
        <f>IF(OR(ISBLANK(G56),ISBLANK(E56)),"n/a",IFERROR(G56-E56,"n/a"))</f>
        <v>-22</v>
      </c>
      <c r="H58" s="7">
        <f>IF(OR(ISBLANK(H56),ISBLANK(G56)),"n/a",IFERROR(H56-G56,"n/a"))</f>
        <v>35</v>
      </c>
      <c r="I58" s="10">
        <f>IF(OR(ISBLANK(I56),ISBLANK(H56)),"n/a",IFERROR(I56-H56,"n/a"))</f>
        <v>-14</v>
      </c>
      <c r="J58" s="6"/>
      <c r="K58" s="6"/>
    </row>
    <row r="59">
      <c r="A59" s="27" t="s">
        <v>388</v>
      </c>
      <c r="B59" s="5">
        <f>B38+B41+B44+B47+B50+B53+B56</f>
        <v>-2313</v>
      </c>
      <c r="C59" s="5">
        <f>C38+C41+C44+C47+C50+C53+C56</f>
        <v>-528</v>
      </c>
      <c r="D59" s="5">
        <f>D38+D41+D44+D47+D50+D53+D56</f>
        <v>-642</v>
      </c>
      <c r="E59" s="5">
        <f>E38+E41+E44+E47+E50+E53+E56</f>
        <v>-268</v>
      </c>
      <c r="F59" s="5">
        <f>F38+F41+F44+F47+F50+F53+F56</f>
        <v>-3751</v>
      </c>
      <c r="G59" s="5">
        <f>G38+G41+G44+G47+G50+G53+G56</f>
        <v>-1009</v>
      </c>
      <c r="H59" s="5">
        <f>H38+H41+H44+H47+H50+H53+H56</f>
        <v>300</v>
      </c>
      <c r="I59" s="2">
        <f>I38+I41+I44+I47+I50+I53+I56</f>
        <v>-740</v>
      </c>
      <c r="J59" s="6"/>
      <c r="K59" s="6"/>
    </row>
    <row r="60">
      <c r="A60" s="27" t="s">
        <v>389</v>
      </c>
      <c r="B60" s="5">
        <f>B33+B59</f>
        <v>-57</v>
      </c>
      <c r="C60" s="5">
        <f>C33+C59</f>
        <v>1383</v>
      </c>
      <c r="D60" s="5">
        <f>D33+D59</f>
        <v>1885</v>
      </c>
      <c r="E60" s="5">
        <f>E33+E59</f>
        <v>1318</v>
      </c>
      <c r="F60" s="5">
        <f>F33+F59</f>
        <v>4529</v>
      </c>
      <c r="G60" s="5">
        <f>G33+G59</f>
        <v>1199</v>
      </c>
      <c r="H60" s="5">
        <f>H33+H59</f>
        <v>2538</v>
      </c>
      <c r="I60" s="2">
        <f>I33+I59</f>
        <v>1924.9433653847773</v>
      </c>
      <c r="J60" s="6"/>
      <c r="K60" s="6"/>
    </row>
    <row r="61">
      <c r="A61" s="4" t="s">
        <v>390</v>
      </c>
      <c r="B61" s="1">
        <v>-521</v>
      </c>
      <c r="C61" s="1">
        <v>-256</v>
      </c>
      <c r="D61" s="1">
        <v>-250</v>
      </c>
      <c r="E61" s="1">
        <v>225</v>
      </c>
      <c r="F61" s="7">
        <f>SUM(B61:E61)</f>
        <v>-802</v>
      </c>
      <c r="G61" s="1">
        <v>-489</v>
      </c>
      <c r="H61" s="1">
        <v>-84</v>
      </c>
      <c r="I61" s="10">
        <f>I60-I65</f>
        <v>-217.84663461522223</v>
      </c>
      <c r="J61" s="70" t="str">
        <f>"S3–S8; 3Q26E implied = pre-tax income − net income (residual assumption, not a check). Implied ETR "&amp;TEXT(I62,"0.0%")&amp;" vs quarterly 2Q25–2Q26 range "&amp;TEXT(MIN(C62:E62,G62:H62),"0.0%")&amp;" to "&amp;TEXT(MAX(C62:E62,G62:H62),"0.0%")&amp;" (FY25 "&amp;TEXT(F62,"0.0%")&amp;"; 1Q25 excluded: pre-tax loss makes its ETR not meaningful)"</f>
        <v>S3–S8; 3Q26E implied = pre-tax income − net income (residual assumption, not a check). Implied ETR -11.3% vs quarterly 2Q25–2Q26 range -40.8% to 17.1% (FY25 -17.7%; 1Q25 excluded: pre-tax loss makes its ETR not meaningful)</v>
      </c>
      <c r="K61" s="6"/>
    </row>
    <row r="62">
      <c r="A62" s="17" t="s">
        <v>391</v>
      </c>
      <c r="B62" s="16" t="str">
        <f>IF(B60&lt;=0,"n/m",IFERROR(B61/B60,"n/a"))</f>
        <v>n/m</v>
      </c>
      <c r="C62" s="16">
        <f>IF(C60&lt;=0,"n/m",IFERROR(C61/C60,"n/a"))</f>
        <v>-0.18510484454085321</v>
      </c>
      <c r="D62" s="16">
        <f>IF(D60&lt;=0,"n/m",IFERROR(D61/D60,"n/a"))</f>
        <v>-0.13262599469496023</v>
      </c>
      <c r="E62" s="16">
        <f>IF(E60&lt;=0,"n/m",IFERROR(E61/E60,"n/a"))</f>
        <v>0.17071320182094082</v>
      </c>
      <c r="F62" s="16">
        <f>IF(F60&lt;=0,"n/m",IFERROR(F61/F60,"n/a"))</f>
        <v>-0.1770810333406933</v>
      </c>
      <c r="G62" s="16">
        <f>IF(G60&lt;=0,"n/m",IFERROR(G61/G60,"n/a"))</f>
        <v>-0.4078398665554629</v>
      </c>
      <c r="H62" s="16">
        <f>IF(H60&lt;=0,"n/m",IFERROR(H61/H60,"n/a"))</f>
        <v>-0.03309692671394799</v>
      </c>
      <c r="I62" s="15">
        <f>IF(I60&lt;=0,"n/m",IFERROR(I61/I60,"n/a"))</f>
        <v>-0.11317041245609677</v>
      </c>
      <c r="J62" s="6" t="s">
        <v>392</v>
      </c>
      <c r="K62" s="6"/>
    </row>
    <row r="63">
      <c r="A63" s="4" t="s">
        <v>393</v>
      </c>
      <c r="B63" s="8" t="s">
        <v>34</v>
      </c>
      <c r="C63" s="8" t="s">
        <v>34</v>
      </c>
      <c r="D63" s="8" t="s">
        <v>34</v>
      </c>
      <c r="E63" s="8" t="s">
        <v>34</v>
      </c>
      <c r="F63" s="8" t="s">
        <v>34</v>
      </c>
      <c r="G63" s="8" t="str">
        <f>IF(OR(ISBLANK(G62),ISBLANK(B62)),"n/a",IFERROR((G62-B62)*10000,"n/a"))</f>
        <v>n/a</v>
      </c>
      <c r="H63" s="8">
        <f>IF(OR(ISBLANK(H62),ISBLANK(C62)),"n/a",IFERROR((H62-C62)*10000,"n/a"))</f>
        <v>1520.0791782690524</v>
      </c>
      <c r="I63" s="30">
        <f>IF(OR(ISBLANK(I62),ISBLANK(D62)),"n/a",IFERROR((I62-D62)*10000,"n/a"))</f>
        <v>194.55582238863457</v>
      </c>
      <c r="J63" s="6"/>
      <c r="K63" s="6"/>
    </row>
    <row r="64">
      <c r="A64" s="4" t="s">
        <v>394</v>
      </c>
      <c r="B64" s="8" t="s">
        <v>34</v>
      </c>
      <c r="C64" s="8" t="str">
        <f>IF(OR(ISBLANK(C62),ISBLANK(B62)),"n/a",IFERROR((C62-B62)*10000,"n/a"))</f>
        <v>n/a</v>
      </c>
      <c r="D64" s="8">
        <f>IF(OR(ISBLANK(D62),ISBLANK(C62)),"n/a",IFERROR((D62-C62)*10000,"n/a"))</f>
        <v>524.7884984589299</v>
      </c>
      <c r="E64" s="8">
        <f>IF(OR(ISBLANK(E62),ISBLANK(D62)),"n/a",IFERROR((E62-D62)*10000,"n/a"))</f>
        <v>3033.3919651590104</v>
      </c>
      <c r="F64" s="8" t="s">
        <v>34</v>
      </c>
      <c r="G64" s="8">
        <f>IF(OR(ISBLANK(G62),ISBLANK(E62)),"n/a",IFERROR((G62-E62)*10000,"n/a"))</f>
        <v>-5785.530683764037</v>
      </c>
      <c r="H64" s="8">
        <f>IF(OR(ISBLANK(H62),ISBLANK(G62)),"n/a",IFERROR((H62-G62)*10000,"n/a"))</f>
        <v>3747.429398415149</v>
      </c>
      <c r="I64" s="30">
        <f>IF(OR(ISBLANK(I62),ISBLANK(H62)),"n/a",IFERROR((I62-H62)*10000,"n/a"))</f>
        <v>-800.7348574214878</v>
      </c>
      <c r="J64" s="6"/>
      <c r="K64" s="6"/>
    </row>
    <row r="65">
      <c r="A65" s="27" t="s">
        <v>395</v>
      </c>
      <c r="B65" s="5">
        <f>B60-B61</f>
        <v>464</v>
      </c>
      <c r="C65" s="5">
        <f>C60-C61</f>
        <v>1639</v>
      </c>
      <c r="D65" s="5">
        <f>D60-D61</f>
        <v>2135</v>
      </c>
      <c r="E65" s="5">
        <f>E60-E61</f>
        <v>1093</v>
      </c>
      <c r="F65" s="5">
        <f>F60-F61</f>
        <v>5331</v>
      </c>
      <c r="G65" s="5">
        <f>G60-G61</f>
        <v>1688</v>
      </c>
      <c r="H65" s="5">
        <f>H60-H61</f>
        <v>2622</v>
      </c>
      <c r="I65" s="2">
        <f>I69-I66</f>
        <v>2142.7899999999995</v>
      </c>
      <c r="J65" s="6"/>
      <c r="K65" s="6"/>
    </row>
    <row r="66">
      <c r="A66" s="4" t="s">
        <v>396</v>
      </c>
      <c r="B66" s="1">
        <v>369</v>
      </c>
      <c r="C66" s="1">
        <v>389</v>
      </c>
      <c r="D66" s="1">
        <v>303</v>
      </c>
      <c r="E66" s="1">
        <v>442</v>
      </c>
      <c r="F66" s="7">
        <f>SUM(B66:E66)</f>
        <v>1503</v>
      </c>
      <c r="G66" s="1">
        <v>494</v>
      </c>
      <c r="H66" s="1">
        <v>522</v>
      </c>
      <c r="I66" s="10">
        <f>D66*(1+I67)</f>
        <v>393.90000000000003</v>
      </c>
      <c r="J66" s="6" t="s">
        <v>397</v>
      </c>
      <c r="K66" s="6"/>
    </row>
    <row r="67">
      <c r="A67" s="17" t="s">
        <v>166</v>
      </c>
      <c r="B67" s="16" t="s">
        <v>34</v>
      </c>
      <c r="C67" s="16" t="s">
        <v>34</v>
      </c>
      <c r="D67" s="16" t="s">
        <v>34</v>
      </c>
      <c r="E67" s="16" t="s">
        <v>34</v>
      </c>
      <c r="F67" s="16" t="s">
        <v>34</v>
      </c>
      <c r="G67" s="16">
        <f>IF(OR(ISBLANK(G66),ISBLANK(B66)),"n/a",IFERROR(G66/B66-1,"n/a"))</f>
        <v>0.3387533875338753</v>
      </c>
      <c r="H67" s="16">
        <f>IF(OR(ISBLANK(H66),ISBLANK(C66)),"n/a",IFERROR(H66/C66-1,"n/a"))</f>
        <v>0.3419023136246786</v>
      </c>
      <c r="I67" s="46">
        <v>0.3</v>
      </c>
      <c r="J67" s="6"/>
      <c r="K67" s="6"/>
    </row>
    <row r="68">
      <c r="A68" s="4" t="s">
        <v>153</v>
      </c>
      <c r="B68" s="7" t="s">
        <v>34</v>
      </c>
      <c r="C68" s="7">
        <f>IF(OR(ISBLANK(C66),ISBLANK(B66)),"n/a",IFERROR(C66-B66,"n/a"))</f>
        <v>20</v>
      </c>
      <c r="D68" s="7">
        <f>IF(OR(ISBLANK(D66),ISBLANK(C66)),"n/a",IFERROR(D66-C66,"n/a"))</f>
        <v>-86</v>
      </c>
      <c r="E68" s="7">
        <f>IF(OR(ISBLANK(E66),ISBLANK(D66)),"n/a",IFERROR(E66-D66,"n/a"))</f>
        <v>139</v>
      </c>
      <c r="F68" s="7" t="s">
        <v>34</v>
      </c>
      <c r="G68" s="7">
        <f>IF(OR(ISBLANK(G66),ISBLANK(E66)),"n/a",IFERROR(G66-E66,"n/a"))</f>
        <v>52</v>
      </c>
      <c r="H68" s="7">
        <f>IF(OR(ISBLANK(H66),ISBLANK(G66)),"n/a",IFERROR(H66-G66,"n/a"))</f>
        <v>28</v>
      </c>
      <c r="I68" s="10">
        <f>IF(OR(ISBLANK(I66),ISBLANK(H66)),"n/a",IFERROR(I66-H66,"n/a"))</f>
        <v>-128.09999999999997</v>
      </c>
      <c r="J68" s="6"/>
      <c r="K68" s="6"/>
    </row>
    <row r="69">
      <c r="A69" s="27" t="s">
        <v>398</v>
      </c>
      <c r="B69" s="5">
        <f>B65+B66</f>
        <v>833</v>
      </c>
      <c r="C69" s="5">
        <f>C65+C66</f>
        <v>2028</v>
      </c>
      <c r="D69" s="5">
        <f>D65+D66</f>
        <v>2438</v>
      </c>
      <c r="E69" s="5">
        <f>E65+E66</f>
        <v>1535</v>
      </c>
      <c r="F69" s="5">
        <f>F65+F66</f>
        <v>6834</v>
      </c>
      <c r="G69" s="5">
        <f>G65+G66</f>
        <v>2182</v>
      </c>
      <c r="H69" s="5">
        <f>H65+H66</f>
        <v>3144</v>
      </c>
      <c r="I69" s="2">
        <f>I85-I81-I84</f>
        <v>2536.6899999999996</v>
      </c>
      <c r="J69" s="6"/>
      <c r="K69" s="6"/>
    </row>
    <row r="70">
      <c r="A70" s="4" t="s">
        <v>399</v>
      </c>
      <c r="B70" s="1">
        <v>833</v>
      </c>
      <c r="C70" s="1">
        <v>2028</v>
      </c>
      <c r="D70" s="1">
        <v>2438</v>
      </c>
      <c r="E70" s="1">
        <v>1535</v>
      </c>
      <c r="F70" s="1">
        <v>6835</v>
      </c>
      <c r="G70" s="1">
        <v>2182</v>
      </c>
      <c r="H70" s="1">
        <v>3144</v>
      </c>
      <c r="I70" s="10" t="s">
        <v>34</v>
      </c>
      <c r="J70" s="6" t="s">
        <v>400</v>
      </c>
      <c r="K70" s="6"/>
    </row>
    <row r="71">
      <c r="A71" s="4" t="s">
        <v>401</v>
      </c>
      <c r="B71" s="45" t="b">
        <f>ABS(B69-B70)&lt;='Revenue summary'!$B$47</f>
        <v>1</v>
      </c>
      <c r="C71" s="45" t="b">
        <f>ABS(C69-C70)&lt;='Revenue summary'!$B$47</f>
        <v>1</v>
      </c>
      <c r="D71" s="45" t="b">
        <f>ABS(D69-D70)&lt;='Revenue summary'!$B$47</f>
        <v>1</v>
      </c>
      <c r="E71" s="45" t="b">
        <f>ABS(E69-E70)&lt;='Revenue summary'!$B$47</f>
        <v>1</v>
      </c>
      <c r="F71" s="45" t="b">
        <f>ABS(F69-F70)&lt;='Revenue summary'!$B$47</f>
        <v>1</v>
      </c>
      <c r="G71" s="45" t="b">
        <f>ABS(G69-G70)&lt;='Revenue summary'!$B$47</f>
        <v>1</v>
      </c>
      <c r="H71" s="45" t="b">
        <f>ABS(H69-H70)&lt;='Revenue summary'!$B$47</f>
        <v>1</v>
      </c>
      <c r="I71" s="39"/>
      <c r="J71" s="6" t="s">
        <v>402</v>
      </c>
      <c r="K71" s="6"/>
    </row>
    <row r="72">
      <c r="A72" s="17" t="s">
        <v>403</v>
      </c>
      <c r="B72" s="16">
        <f>B69/B9</f>
        <v>0.13334400512245878</v>
      </c>
      <c r="C72" s="16">
        <f>C69/C9</f>
        <v>0.30268656716417913</v>
      </c>
      <c r="D72" s="16">
        <f>D69/D9</f>
        <v>0.30605071554104946</v>
      </c>
      <c r="E72" s="16">
        <f>E69/E9</f>
        <v>0.23615384615384616</v>
      </c>
      <c r="F72" s="16">
        <f>F69/F9</f>
        <v>0.24929777842629408</v>
      </c>
      <c r="G72" s="16">
        <f>G69/G9</f>
        <v>0.32562304133711384</v>
      </c>
      <c r="H72" s="16">
        <f>H69/H9</f>
        <v>0.4173082028139103</v>
      </c>
      <c r="I72" s="15">
        <f>I69/I9</f>
        <v>0.3079814197200289</v>
      </c>
      <c r="J72" s="6"/>
      <c r="K72" s="6"/>
    </row>
    <row r="73">
      <c r="A73" s="4" t="s">
        <v>161</v>
      </c>
      <c r="B73" s="8" t="s">
        <v>34</v>
      </c>
      <c r="C73" s="8" t="s">
        <v>34</v>
      </c>
      <c r="D73" s="8" t="s">
        <v>34</v>
      </c>
      <c r="E73" s="8" t="s">
        <v>34</v>
      </c>
      <c r="F73" s="8" t="s">
        <v>34</v>
      </c>
      <c r="G73" s="8">
        <f>IF(OR(ISBLANK(G72),ISBLANK(B72)),"n/a",IFERROR((G72-B72)*10000,"n/a"))</f>
        <v>1922.7903621465505</v>
      </c>
      <c r="H73" s="8">
        <f>IF(OR(ISBLANK(H72),ISBLANK(C72)),"n/a",IFERROR((H72-C72)*10000,"n/a"))</f>
        <v>1146.2163564973116</v>
      </c>
      <c r="I73" s="30">
        <f>IF(OR(ISBLANK(I72),ISBLANK(D72)),"n/a",IFERROR((I72-D72)*10000,"n/a"))</f>
        <v>19.307041789794475</v>
      </c>
      <c r="J73" s="6"/>
      <c r="K73" s="6"/>
    </row>
    <row r="74">
      <c r="A74" s="4" t="s">
        <v>162</v>
      </c>
      <c r="B74" s="8" t="s">
        <v>34</v>
      </c>
      <c r="C74" s="8">
        <f>IF(OR(ISBLANK(C72),ISBLANK(B72)),"n/a",IFERROR((C72-B72)*10000,"n/a"))</f>
        <v>1693.4256204172036</v>
      </c>
      <c r="D74" s="8">
        <f>IF(OR(ISBLANK(D72),ISBLANK(C72)),"n/a",IFERROR((D72-C72)*10000,"n/a"))</f>
        <v>33.64148376870324</v>
      </c>
      <c r="E74" s="8">
        <f>IF(OR(ISBLANK(E72),ISBLANK(D72)),"n/a",IFERROR((E72-D72)*10000,"n/a"))</f>
        <v>-698.968693872033</v>
      </c>
      <c r="F74" s="8" t="s">
        <v>34</v>
      </c>
      <c r="G74" s="8">
        <f>IF(OR(ISBLANK(G72),ISBLANK(E72)),"n/a",IFERROR((G72-E72)*10000,"n/a"))</f>
        <v>894.6919518326768</v>
      </c>
      <c r="H74" s="8">
        <f>IF(OR(ISBLANK(H72),ISBLANK(G72)),"n/a",IFERROR((H72-G72)*10000,"n/a"))</f>
        <v>916.8516147679645</v>
      </c>
      <c r="I74" s="30">
        <f>IF(OR(ISBLANK(I72),ISBLANK(H72)),"n/a",IFERROR((I72-H72)*10000,"n/a"))</f>
        <v>-1093.2678309388139</v>
      </c>
      <c r="J74" s="6"/>
      <c r="K74" s="6"/>
    </row>
    <row r="75">
      <c r="A75" s="3"/>
      <c r="B75" s="3"/>
      <c r="C75" s="3"/>
      <c r="D75" s="3"/>
      <c r="E75" s="3"/>
      <c r="F75" s="3"/>
      <c r="G75" s="3"/>
      <c r="H75" s="3"/>
      <c r="I75" s="11"/>
      <c r="J75" s="6"/>
      <c r="K75" s="6"/>
    </row>
    <row r="76">
      <c r="A76" s="26" t="s">
        <v>404</v>
      </c>
      <c r="B76" s="3"/>
      <c r="C76" s="3"/>
      <c r="D76" s="3"/>
      <c r="E76" s="3"/>
      <c r="F76" s="3"/>
      <c r="G76" s="3"/>
      <c r="H76" s="3"/>
      <c r="I76" s="11"/>
      <c r="J76" s="6"/>
      <c r="K76" s="6"/>
    </row>
    <row r="77">
      <c r="A77" s="4" t="s">
        <v>405</v>
      </c>
      <c r="B77" s="1">
        <v>688</v>
      </c>
      <c r="C77" s="1">
        <v>251</v>
      </c>
      <c r="D77" s="1">
        <v>-74</v>
      </c>
      <c r="E77" s="1">
        <v>-502</v>
      </c>
      <c r="F77" s="7">
        <f>SUM(B77:E77)</f>
        <v>363</v>
      </c>
      <c r="G77" s="1">
        <v>64</v>
      </c>
      <c r="H77" s="1">
        <v>-862</v>
      </c>
      <c r="I77" s="14">
        <f>-'Segment - NEER'!I34</f>
        <v>-150</v>
      </c>
      <c r="J77" s="6" t="s">
        <v>406</v>
      </c>
      <c r="K77" s="6"/>
    </row>
    <row r="78">
      <c r="A78" s="4" t="s">
        <v>407</v>
      </c>
      <c r="B78" s="1">
        <v>68</v>
      </c>
      <c r="C78" s="1">
        <v>-75</v>
      </c>
      <c r="D78" s="1">
        <v>-64</v>
      </c>
      <c r="E78" s="1">
        <v>-43</v>
      </c>
      <c r="F78" s="7">
        <f>SUM(B78:E78)</f>
        <v>-114</v>
      </c>
      <c r="G78" s="1">
        <v>60</v>
      </c>
      <c r="H78" s="1">
        <v>-192</v>
      </c>
      <c r="I78" s="38">
        <v>0</v>
      </c>
      <c r="J78" s="6" t="s">
        <v>408</v>
      </c>
      <c r="K78" s="6"/>
    </row>
    <row r="79">
      <c r="A79" s="4" t="s">
        <v>409</v>
      </c>
      <c r="B79" s="1">
        <v>855</v>
      </c>
      <c r="C79" s="1">
        <v>2</v>
      </c>
      <c r="D79" s="1">
        <v>9</v>
      </c>
      <c r="E79" s="1">
        <v>9</v>
      </c>
      <c r="F79" s="7">
        <f>SUM(B79:E79)</f>
        <v>875</v>
      </c>
      <c r="G79" s="1">
        <v>9</v>
      </c>
      <c r="H79" s="1">
        <v>9</v>
      </c>
      <c r="I79" s="38">
        <v>9</v>
      </c>
      <c r="J79" s="6" t="s">
        <v>410</v>
      </c>
      <c r="K79" s="6"/>
    </row>
    <row r="80">
      <c r="A80" s="4" t="s">
        <v>361</v>
      </c>
      <c r="B80" s="7">
        <f>B17</f>
        <v>0</v>
      </c>
      <c r="C80" s="7">
        <f>C17</f>
        <v>0</v>
      </c>
      <c r="D80" s="7">
        <f>D17</f>
        <v>0</v>
      </c>
      <c r="E80" s="7">
        <f>E17</f>
        <v>0</v>
      </c>
      <c r="F80" s="7">
        <f>F17</f>
        <v>0</v>
      </c>
      <c r="G80" s="7">
        <f>G17</f>
        <v>0</v>
      </c>
      <c r="H80" s="7">
        <f>H17</f>
        <v>32</v>
      </c>
      <c r="I80" s="10">
        <f>I17</f>
        <v>35</v>
      </c>
      <c r="J80" s="6" t="s">
        <v>411</v>
      </c>
      <c r="K80" s="6"/>
    </row>
    <row r="81">
      <c r="A81" s="27" t="s">
        <v>412</v>
      </c>
      <c r="B81" s="5">
        <f>B77+B78+B79+B80</f>
        <v>1611</v>
      </c>
      <c r="C81" s="5">
        <f>C77+C78+C79+C80</f>
        <v>178</v>
      </c>
      <c r="D81" s="5">
        <f>D77+D78+D79+D80</f>
        <v>-129</v>
      </c>
      <c r="E81" s="5">
        <f>E77+E78+E79+E80</f>
        <v>-536</v>
      </c>
      <c r="F81" s="5">
        <f>F77+F78+F79+F80</f>
        <v>1124</v>
      </c>
      <c r="G81" s="5">
        <f>G77+G78+G79+G80</f>
        <v>133</v>
      </c>
      <c r="H81" s="5">
        <f>H77+H78+H79+H80</f>
        <v>-1013</v>
      </c>
      <c r="I81" s="2">
        <f>I77+I78+I79+I80</f>
        <v>-106</v>
      </c>
      <c r="J81" s="6"/>
      <c r="K81" s="6"/>
    </row>
    <row r="82">
      <c r="A82" s="17" t="s">
        <v>413</v>
      </c>
      <c r="B82" s="16"/>
      <c r="C82" s="16"/>
      <c r="D82" s="16"/>
      <c r="E82" s="16"/>
      <c r="F82" s="16"/>
      <c r="G82" s="16"/>
      <c r="H82" s="16"/>
      <c r="I82" s="46">
        <v>0.26</v>
      </c>
      <c r="J82" s="6" t="s">
        <v>414</v>
      </c>
      <c r="K82" s="6"/>
    </row>
    <row r="83">
      <c r="A83" s="17" t="s">
        <v>415</v>
      </c>
      <c r="B83" s="16"/>
      <c r="C83" s="16"/>
      <c r="D83" s="16"/>
      <c r="E83" s="16"/>
      <c r="F83" s="16"/>
      <c r="G83" s="16"/>
      <c r="H83" s="16"/>
      <c r="I83" s="46">
        <v>0.03</v>
      </c>
      <c r="J83" s="6" t="s">
        <v>416</v>
      </c>
      <c r="K83" s="6"/>
    </row>
    <row r="84">
      <c r="A84" s="4" t="s">
        <v>417</v>
      </c>
      <c r="B84" s="1">
        <v>-406</v>
      </c>
      <c r="C84" s="1">
        <v>-42</v>
      </c>
      <c r="D84" s="1">
        <v>39</v>
      </c>
      <c r="E84" s="1">
        <v>134</v>
      </c>
      <c r="F84" s="7">
        <f>SUM(B84:E84)</f>
        <v>-275</v>
      </c>
      <c r="G84" s="1">
        <v>-40</v>
      </c>
      <c r="H84" s="1">
        <v>276</v>
      </c>
      <c r="I84" s="10">
        <f>-(I77+I78+I79)*I82-I80*I83</f>
        <v>35.61000000000001</v>
      </c>
      <c r="J84" s="6" t="s">
        <v>418</v>
      </c>
      <c r="K84" s="6"/>
    </row>
    <row r="85">
      <c r="A85" s="27" t="s">
        <v>419</v>
      </c>
      <c r="B85" s="5">
        <f>B69+B81+B84</f>
        <v>2038</v>
      </c>
      <c r="C85" s="5">
        <f>C69+C81+C84</f>
        <v>2164</v>
      </c>
      <c r="D85" s="5">
        <f>D69+D81+D84</f>
        <v>2348</v>
      </c>
      <c r="E85" s="5">
        <f>E69+E81+E84</f>
        <v>1133</v>
      </c>
      <c r="F85" s="5">
        <f>F69+F81+F84</f>
        <v>7683</v>
      </c>
      <c r="G85" s="5">
        <f>G69+G81+G84</f>
        <v>2275</v>
      </c>
      <c r="H85" s="5">
        <f>H69+H81+H84</f>
        <v>2407</v>
      </c>
      <c r="I85" s="2">
        <f>I96</f>
        <v>2466.2999999999997</v>
      </c>
      <c r="J85" s="6" t="s">
        <v>420</v>
      </c>
      <c r="K85" s="6"/>
    </row>
    <row r="86">
      <c r="A86" s="4" t="s">
        <v>421</v>
      </c>
      <c r="B86" s="1">
        <v>2038</v>
      </c>
      <c r="C86" s="1">
        <v>2164</v>
      </c>
      <c r="D86" s="1">
        <v>2348</v>
      </c>
      <c r="E86" s="1">
        <v>1133</v>
      </c>
      <c r="F86" s="1">
        <v>7683</v>
      </c>
      <c r="G86" s="1">
        <v>2275</v>
      </c>
      <c r="H86" s="1">
        <v>2407</v>
      </c>
      <c r="I86" s="10" t="s">
        <v>34</v>
      </c>
      <c r="J86" s="6" t="s">
        <v>400</v>
      </c>
      <c r="K86" s="6"/>
    </row>
    <row r="87">
      <c r="A87" s="4" t="s">
        <v>422</v>
      </c>
      <c r="B87" s="45" t="b">
        <f>ABS(B85-B86)&lt;='Revenue summary'!$B$47</f>
        <v>1</v>
      </c>
      <c r="C87" s="45" t="b">
        <f>ABS(C85-C86)&lt;='Revenue summary'!$B$47</f>
        <v>1</v>
      </c>
      <c r="D87" s="45" t="b">
        <f>ABS(D85-D86)&lt;='Revenue summary'!$B$47</f>
        <v>1</v>
      </c>
      <c r="E87" s="45" t="b">
        <f>ABS(E85-E86)&lt;='Revenue summary'!$B$47</f>
        <v>1</v>
      </c>
      <c r="F87" s="45" t="b">
        <f>ABS(F85-F86)&lt;='Revenue summary'!$B$47</f>
        <v>1</v>
      </c>
      <c r="G87" s="45" t="b">
        <f>ABS(G85-G86)&lt;='Revenue summary'!$B$47</f>
        <v>1</v>
      </c>
      <c r="H87" s="45" t="b">
        <f>ABS(H85-H86)&lt;='Revenue summary'!$B$47</f>
        <v>1</v>
      </c>
      <c r="I87" s="39"/>
      <c r="J87" s="6"/>
      <c r="K87" s="6"/>
    </row>
    <row r="88">
      <c r="A88" s="17" t="s">
        <v>423</v>
      </c>
      <c r="B88" s="16" t="s">
        <v>34</v>
      </c>
      <c r="C88" s="16" t="s">
        <v>34</v>
      </c>
      <c r="D88" s="16" t="s">
        <v>34</v>
      </c>
      <c r="E88" s="16" t="s">
        <v>34</v>
      </c>
      <c r="F88" s="16" t="s">
        <v>34</v>
      </c>
      <c r="G88" s="16">
        <f>IF(OR(ISBLANK(G85),ISBLANK(B85)),"n/a",IFERROR(G85/B85-1,"n/a"))</f>
        <v>0.11629048086359184</v>
      </c>
      <c r="H88" s="16">
        <f>IF(OR(ISBLANK(H85),ISBLANK(C85)),"n/a",IFERROR(H85/C85-1,"n/a"))</f>
        <v>0.11229205175600732</v>
      </c>
      <c r="I88" s="15">
        <f>IF(OR(ISBLANK(I85),ISBLANK(D85)),"n/a",IFERROR(I85/D85-1,"n/a"))</f>
        <v>0.050383304940374574</v>
      </c>
      <c r="J88" s="6"/>
      <c r="K88" s="6"/>
    </row>
    <row r="89">
      <c r="A89" s="3"/>
      <c r="B89" s="3"/>
      <c r="C89" s="3"/>
      <c r="D89" s="3"/>
      <c r="E89" s="3"/>
      <c r="F89" s="3"/>
      <c r="G89" s="3"/>
      <c r="H89" s="3"/>
      <c r="I89" s="11"/>
      <c r="J89" s="6"/>
      <c r="K89" s="6"/>
    </row>
    <row r="90">
      <c r="A90" s="26" t="s">
        <v>424</v>
      </c>
      <c r="B90" s="3"/>
      <c r="C90" s="3"/>
      <c r="D90" s="3"/>
      <c r="E90" s="3"/>
      <c r="F90" s="3"/>
      <c r="G90" s="3"/>
      <c r="H90" s="3"/>
      <c r="I90" s="11"/>
      <c r="J90" s="6"/>
      <c r="K90" s="6"/>
    </row>
    <row r="91">
      <c r="A91" s="4" t="s">
        <v>425</v>
      </c>
      <c r="B91" s="19">
        <f>'Segment - FPL'!B153</f>
        <v>1316</v>
      </c>
      <c r="C91" s="19">
        <f>'Segment - FPL'!C153</f>
        <v>1275</v>
      </c>
      <c r="D91" s="19">
        <f>'Segment - FPL'!D153</f>
        <v>1463</v>
      </c>
      <c r="E91" s="19">
        <f>'Segment - FPL'!E153</f>
        <v>958</v>
      </c>
      <c r="F91" s="19">
        <f>'Segment - FPL'!F153</f>
        <v>5012</v>
      </c>
      <c r="G91" s="19">
        <f>'Segment - FPL'!G153</f>
        <v>1462</v>
      </c>
      <c r="H91" s="19">
        <f>'Segment - FPL'!H153</f>
        <v>1412</v>
      </c>
      <c r="I91" s="14">
        <f>'Segment - FPL'!I153</f>
        <v>1609.2999999999997</v>
      </c>
      <c r="J91" s="6" t="s">
        <v>426</v>
      </c>
      <c r="K91" s="6"/>
    </row>
    <row r="92">
      <c r="A92" s="4" t="s">
        <v>427</v>
      </c>
      <c r="B92" s="19">
        <f>'Segment - NEER'!B66</f>
        <v>908</v>
      </c>
      <c r="C92" s="19">
        <f>'Segment - NEER'!C66</f>
        <v>1091</v>
      </c>
      <c r="D92" s="19">
        <f>'Segment - NEER'!D66</f>
        <v>1102</v>
      </c>
      <c r="E92" s="19">
        <f>'Segment - NEER'!E66</f>
        <v>422</v>
      </c>
      <c r="F92" s="19">
        <f>'Segment - NEER'!F66</f>
        <v>3523</v>
      </c>
      <c r="G92" s="19">
        <f>'Segment - NEER'!G66</f>
        <v>1038</v>
      </c>
      <c r="H92" s="19">
        <f>'Segment - NEER'!H66</f>
        <v>1291</v>
      </c>
      <c r="I92" s="14">
        <f>'Segment - NEER'!I66</f>
        <v>1162</v>
      </c>
      <c r="J92" s="6" t="s">
        <v>428</v>
      </c>
      <c r="K92" s="6"/>
    </row>
    <row r="93">
      <c r="A93" s="4" t="s">
        <v>429</v>
      </c>
      <c r="B93" s="1">
        <v>-186</v>
      </c>
      <c r="C93" s="1">
        <v>-202</v>
      </c>
      <c r="D93" s="1">
        <v>-217</v>
      </c>
      <c r="E93" s="1">
        <v>-247</v>
      </c>
      <c r="F93" s="7">
        <f>SUM(B93:E93)</f>
        <v>-852</v>
      </c>
      <c r="G93" s="1">
        <v>-225</v>
      </c>
      <c r="H93" s="1">
        <v>-296</v>
      </c>
      <c r="I93" s="10">
        <f>D93+I94</f>
        <v>-305</v>
      </c>
      <c r="J93" s="6" t="s">
        <v>430</v>
      </c>
      <c r="K93" s="6"/>
    </row>
    <row r="94">
      <c r="A94" s="4" t="s">
        <v>431</v>
      </c>
      <c r="B94" s="7"/>
      <c r="C94" s="7"/>
      <c r="D94" s="7"/>
      <c r="E94" s="7"/>
      <c r="F94" s="7"/>
      <c r="G94" s="7">
        <f>G93-B93</f>
        <v>-39</v>
      </c>
      <c r="H94" s="7">
        <f>H93-C93</f>
        <v>-94</v>
      </c>
      <c r="I94" s="38">
        <v>-88</v>
      </c>
      <c r="J94" s="6" t="s">
        <v>432</v>
      </c>
      <c r="K94" s="6"/>
    </row>
    <row r="95">
      <c r="A95" s="4" t="s">
        <v>433</v>
      </c>
      <c r="B95" s="7" t="s">
        <v>34</v>
      </c>
      <c r="C95" s="7">
        <f>IF(OR(ISBLANK(C93),ISBLANK(B93)),"n/a",IFERROR(C93-B93,"n/a"))</f>
        <v>-16</v>
      </c>
      <c r="D95" s="7">
        <f>IF(OR(ISBLANK(D93),ISBLANK(C93)),"n/a",IFERROR(D93-C93,"n/a"))</f>
        <v>-15</v>
      </c>
      <c r="E95" s="7">
        <f>IF(OR(ISBLANK(E93),ISBLANK(D93)),"n/a",IFERROR(E93-D93,"n/a"))</f>
        <v>-30</v>
      </c>
      <c r="F95" s="7" t="s">
        <v>34</v>
      </c>
      <c r="G95" s="7">
        <f>IF(OR(ISBLANK(G93),ISBLANK(E93)),"n/a",IFERROR(G93-E93,"n/a"))</f>
        <v>22</v>
      </c>
      <c r="H95" s="7">
        <f>IF(OR(ISBLANK(H93),ISBLANK(G93)),"n/a",IFERROR(H93-G93,"n/a"))</f>
        <v>-71</v>
      </c>
      <c r="I95" s="10">
        <f>IF(OR(ISBLANK(I93),ISBLANK(H93)),"n/a",IFERROR(I93-H93,"n/a"))</f>
        <v>-9</v>
      </c>
      <c r="J95" s="6"/>
      <c r="K95" s="6"/>
    </row>
    <row r="96">
      <c r="A96" s="27" t="s">
        <v>434</v>
      </c>
      <c r="B96" s="5">
        <f>B91+B92+B93</f>
        <v>2038</v>
      </c>
      <c r="C96" s="5">
        <f>C91+C92+C93</f>
        <v>2164</v>
      </c>
      <c r="D96" s="5">
        <f>D91+D92+D93</f>
        <v>2348</v>
      </c>
      <c r="E96" s="5">
        <f>E91+E92+E93</f>
        <v>1133</v>
      </c>
      <c r="F96" s="5">
        <f>F91+F92+F93</f>
        <v>7683</v>
      </c>
      <c r="G96" s="5">
        <f>G91+G92+G93</f>
        <v>2275</v>
      </c>
      <c r="H96" s="5">
        <f>H91+H92+H93</f>
        <v>2407</v>
      </c>
      <c r="I96" s="2">
        <f>I91+I92+I93</f>
        <v>2466.2999999999997</v>
      </c>
      <c r="J96" s="6"/>
      <c r="K96" s="6"/>
    </row>
    <row r="97">
      <c r="A97" s="4" t="s">
        <v>435</v>
      </c>
      <c r="B97" s="45" t="b">
        <f>ABS(B96-B85)&lt;='Revenue summary'!$B$47</f>
        <v>1</v>
      </c>
      <c r="C97" s="45" t="b">
        <f>ABS(C96-C85)&lt;='Revenue summary'!$B$47</f>
        <v>1</v>
      </c>
      <c r="D97" s="45" t="b">
        <f>ABS(D96-D85)&lt;='Revenue summary'!$B$47</f>
        <v>1</v>
      </c>
      <c r="E97" s="45" t="b">
        <f>ABS(E96-E85)&lt;='Revenue summary'!$B$47</f>
        <v>1</v>
      </c>
      <c r="F97" s="45" t="b">
        <f>ABS(F96-F85)&lt;='Revenue summary'!$B$47</f>
        <v>1</v>
      </c>
      <c r="G97" s="45" t="b">
        <f>ABS(G96-G85)&lt;='Revenue summary'!$B$47</f>
        <v>1</v>
      </c>
      <c r="H97" s="45" t="b">
        <f>ABS(H96-H85)&lt;='Revenue summary'!$B$47</f>
        <v>1</v>
      </c>
      <c r="I97" s="58" t="b">
        <f>ABS(I96-I85)&lt;='Revenue summary'!$B$47</f>
        <v>1</v>
      </c>
      <c r="J97" s="6" t="s">
        <v>436</v>
      </c>
      <c r="K97" s="6"/>
    </row>
    <row r="98">
      <c r="A98" s="3"/>
      <c r="B98" s="3"/>
      <c r="C98" s="3"/>
      <c r="D98" s="3"/>
      <c r="E98" s="3"/>
      <c r="F98" s="3"/>
      <c r="G98" s="3"/>
      <c r="H98" s="3"/>
      <c r="I98" s="11"/>
      <c r="J98" s="6"/>
      <c r="K98" s="6"/>
    </row>
    <row r="99">
      <c r="A99" s="26" t="s">
        <v>437</v>
      </c>
      <c r="B99" s="3"/>
      <c r="C99" s="3"/>
      <c r="D99" s="3"/>
      <c r="E99" s="3"/>
      <c r="F99" s="3"/>
      <c r="G99" s="3"/>
      <c r="H99" s="3"/>
      <c r="I99" s="11"/>
      <c r="J99" s="6"/>
      <c r="K99" s="6"/>
    </row>
    <row r="100">
      <c r="A100" s="4" t="s">
        <v>438</v>
      </c>
      <c r="B100" s="19">
        <f>'Share Count'!B9</f>
        <v>2055.5</v>
      </c>
      <c r="C100" s="19">
        <f>'Share Count'!C9</f>
        <v>2056.7</v>
      </c>
      <c r="D100" s="19">
        <f>'Share Count'!D9</f>
        <v>2064.6</v>
      </c>
      <c r="E100" s="19">
        <f>'Share Count'!E9</f>
        <v>2080.919565217392</v>
      </c>
      <c r="F100" s="19">
        <f>'Share Count'!F9</f>
        <v>2064.5</v>
      </c>
      <c r="G100" s="19">
        <f>'Share Count'!G9</f>
        <v>2082.5</v>
      </c>
      <c r="H100" s="19">
        <f>'Share Count'!H9</f>
        <v>2083.5</v>
      </c>
      <c r="I100" s="14">
        <f>'Share Count'!I9</f>
        <v>2084</v>
      </c>
      <c r="J100" s="6" t="s">
        <v>439</v>
      </c>
      <c r="K100" s="6"/>
    </row>
    <row r="101">
      <c r="A101" s="4" t="s">
        <v>440</v>
      </c>
      <c r="B101" s="19">
        <f>'Share Count'!B13</f>
        <v>2061</v>
      </c>
      <c r="C101" s="19">
        <f>'Share Count'!C13</f>
        <v>2061.3</v>
      </c>
      <c r="D101" s="19">
        <f>'Share Count'!D13</f>
        <v>2070.6</v>
      </c>
      <c r="E101" s="19">
        <f>'Share Count'!E13</f>
        <v>2089</v>
      </c>
      <c r="F101" s="19">
        <f>'Share Count'!F13</f>
        <v>2071</v>
      </c>
      <c r="G101" s="19">
        <f>'Share Count'!G13</f>
        <v>2092.9</v>
      </c>
      <c r="H101" s="19">
        <f>'Share Count'!H13</f>
        <v>2093.4</v>
      </c>
      <c r="I101" s="14">
        <f>'Share Count'!I13</f>
        <v>2094</v>
      </c>
      <c r="J101" s="6" t="s">
        <v>439</v>
      </c>
      <c r="K101" s="6"/>
    </row>
    <row r="102">
      <c r="A102" s="4" t="s">
        <v>441</v>
      </c>
      <c r="B102" s="18">
        <f>B69/B100</f>
        <v>0.405254196059353</v>
      </c>
      <c r="C102" s="18">
        <f>C69/C100</f>
        <v>0.9860456070404047</v>
      </c>
      <c r="D102" s="18">
        <f>D69/D100</f>
        <v>1.1808582776324712</v>
      </c>
      <c r="E102" s="18">
        <f>E69/E100</f>
        <v>0.7376546530954644</v>
      </c>
      <c r="F102" s="18">
        <f>F69/F100</f>
        <v>3.3102446112860258</v>
      </c>
      <c r="G102" s="18">
        <f>G69/G100</f>
        <v>1.0477791116446578</v>
      </c>
      <c r="H102" s="18">
        <f>H69/H100</f>
        <v>1.5089992800575953</v>
      </c>
      <c r="I102" s="25">
        <f>I69/I100</f>
        <v>1.2172216890595007</v>
      </c>
      <c r="J102" s="6"/>
      <c r="K102" s="6"/>
    </row>
    <row r="103">
      <c r="A103" s="27" t="s">
        <v>442</v>
      </c>
      <c r="B103" s="43">
        <f>B69/B101</f>
        <v>0.4041727316836487</v>
      </c>
      <c r="C103" s="43">
        <f>C69/C101</f>
        <v>0.9838451462669189</v>
      </c>
      <c r="D103" s="43">
        <f>D69/D101</f>
        <v>1.1774364918381146</v>
      </c>
      <c r="E103" s="43">
        <f>E69/E101</f>
        <v>0.7348013403542365</v>
      </c>
      <c r="F103" s="43">
        <f>F69/F101</f>
        <v>3.2998551424432643</v>
      </c>
      <c r="G103" s="43">
        <f>G69/G101</f>
        <v>1.0425725070476373</v>
      </c>
      <c r="H103" s="43">
        <f>H69/H101</f>
        <v>1.5018629979936944</v>
      </c>
      <c r="I103" s="51">
        <f>I69/I101</f>
        <v>1.211408787010506</v>
      </c>
      <c r="J103" s="6"/>
      <c r="K103" s="6"/>
    </row>
    <row r="104">
      <c r="A104" s="4" t="s">
        <v>443</v>
      </c>
      <c r="B104" s="24">
        <v>0.4</v>
      </c>
      <c r="C104" s="24">
        <v>0.98</v>
      </c>
      <c r="D104" s="24">
        <v>1.18</v>
      </c>
      <c r="E104" s="24">
        <v>0.73</v>
      </c>
      <c r="F104" s="24">
        <v>3.3</v>
      </c>
      <c r="G104" s="24">
        <v>1.04</v>
      </c>
      <c r="H104" s="24">
        <v>1.5</v>
      </c>
      <c r="I104" s="25" t="s">
        <v>34</v>
      </c>
      <c r="J104" s="6" t="s">
        <v>400</v>
      </c>
      <c r="K104" s="6"/>
    </row>
    <row r="105">
      <c r="A105" s="4" t="s">
        <v>444</v>
      </c>
      <c r="B105" s="23" t="b">
        <f>ABS(B103-B104)&lt;=0.01</f>
        <v>1</v>
      </c>
      <c r="C105" s="23" t="b">
        <f>ABS(C103-C104)&lt;=0.01</f>
        <v>1</v>
      </c>
      <c r="D105" s="23" t="b">
        <f>ABS(D103-D104)&lt;=0.01</f>
        <v>1</v>
      </c>
      <c r="E105" s="23" t="b">
        <f>ABS(E103-E104)&lt;=0.01</f>
        <v>1</v>
      </c>
      <c r="F105" s="23" t="b">
        <f>ABS(F103-F104)&lt;=0.01</f>
        <v>1</v>
      </c>
      <c r="G105" s="23" t="b">
        <f>ABS(G103-G104)&lt;=0.01</f>
        <v>1</v>
      </c>
      <c r="H105" s="23" t="b">
        <f>ABS(H103-H104)&lt;=0.01</f>
        <v>1</v>
      </c>
      <c r="I105" s="39"/>
      <c r="J105" s="6"/>
      <c r="K105" s="6"/>
    </row>
    <row r="106">
      <c r="A106" s="27" t="s">
        <v>445</v>
      </c>
      <c r="B106" s="43">
        <f>B85/B101</f>
        <v>0.9888403687530325</v>
      </c>
      <c r="C106" s="43">
        <f>C85/C101</f>
        <v>1.0498229272789015</v>
      </c>
      <c r="D106" s="43">
        <f>D85/D101</f>
        <v>1.1339708297111948</v>
      </c>
      <c r="E106" s="43">
        <f>E85/E101</f>
        <v>0.5423647678314983</v>
      </c>
      <c r="F106" s="43">
        <f>F85/F101</f>
        <v>3.7098020280057944</v>
      </c>
      <c r="G106" s="43">
        <f>G85/G101</f>
        <v>1.0870084571646996</v>
      </c>
      <c r="H106" s="43">
        <f>H85/H101</f>
        <v>1.1498041463647655</v>
      </c>
      <c r="I106" s="51">
        <f>I85/I101</f>
        <v>1.1777936962750715</v>
      </c>
      <c r="J106" s="6" t="s">
        <v>446</v>
      </c>
      <c r="K106" s="6"/>
    </row>
    <row r="107">
      <c r="A107" s="4" t="s">
        <v>447</v>
      </c>
      <c r="B107" s="24">
        <v>0.99</v>
      </c>
      <c r="C107" s="24">
        <v>1.05</v>
      </c>
      <c r="D107" s="24">
        <v>1.13</v>
      </c>
      <c r="E107" s="24">
        <v>0.54</v>
      </c>
      <c r="F107" s="24">
        <v>3.71</v>
      </c>
      <c r="G107" s="24">
        <v>1.09</v>
      </c>
      <c r="H107" s="24">
        <v>1.15</v>
      </c>
      <c r="I107" s="25" t="s">
        <v>34</v>
      </c>
      <c r="J107" s="6" t="s">
        <v>400</v>
      </c>
      <c r="K107" s="6"/>
    </row>
    <row r="108">
      <c r="A108" s="4" t="s">
        <v>448</v>
      </c>
      <c r="B108" s="36">
        <f>Inputs!B103</f>
        <v>0.99</v>
      </c>
      <c r="C108" s="36">
        <f>Inputs!C103</f>
        <v>1.05</v>
      </c>
      <c r="D108" s="36">
        <f>Inputs!D103</f>
        <v>1.13</v>
      </c>
      <c r="E108" s="36">
        <f>Inputs!E103</f>
        <v>0.54</v>
      </c>
      <c r="F108" s="18"/>
      <c r="G108" s="36">
        <f>Inputs!G103</f>
        <v>1.09</v>
      </c>
      <c r="H108" s="36">
        <f>Inputs!H103</f>
        <v>1.15</v>
      </c>
      <c r="I108" s="25"/>
      <c r="J108" s="6" t="s">
        <v>128</v>
      </c>
      <c r="K108" s="6"/>
    </row>
    <row r="109">
      <c r="A109" s="4" t="s">
        <v>444</v>
      </c>
      <c r="B109" s="23" t="b">
        <f>ABS(B106-B107)&lt;=0.01</f>
        <v>1</v>
      </c>
      <c r="C109" s="23" t="b">
        <f>ABS(C106-C107)&lt;=0.01</f>
        <v>1</v>
      </c>
      <c r="D109" s="23" t="b">
        <f>ABS(D106-D107)&lt;=0.01</f>
        <v>1</v>
      </c>
      <c r="E109" s="23" t="b">
        <f>ABS(E106-E107)&lt;=0.01</f>
        <v>1</v>
      </c>
      <c r="F109" s="23" t="b">
        <f>ABS(F106-F107)&lt;=0.01</f>
        <v>1</v>
      </c>
      <c r="G109" s="23" t="b">
        <f>ABS(G106-G107)&lt;=0.01</f>
        <v>1</v>
      </c>
      <c r="H109" s="23" t="b">
        <f>ABS(H106-H107)&lt;=0.01</f>
        <v>1</v>
      </c>
      <c r="I109" s="39"/>
      <c r="J109" s="6"/>
      <c r="K109" s="6"/>
    </row>
    <row r="110">
      <c r="A110" s="4" t="s">
        <v>449</v>
      </c>
      <c r="B110" s="23" t="b">
        <f>B107=B108</f>
        <v>1</v>
      </c>
      <c r="C110" s="23" t="b">
        <f>C107=C108</f>
        <v>1</v>
      </c>
      <c r="D110" s="23" t="b">
        <f>D107=D108</f>
        <v>1</v>
      </c>
      <c r="E110" s="23" t="b">
        <f>E107=E108</f>
        <v>1</v>
      </c>
      <c r="F110" s="23"/>
      <c r="G110" s="23" t="b">
        <f>G107=G108</f>
        <v>1</v>
      </c>
      <c r="H110" s="23" t="b">
        <f>H107=H108</f>
        <v>1</v>
      </c>
      <c r="I110" s="39"/>
      <c r="J110" s="6"/>
      <c r="K110" s="6"/>
    </row>
    <row r="111">
      <c r="A111" s="17" t="s">
        <v>450</v>
      </c>
      <c r="B111" s="16" t="s">
        <v>34</v>
      </c>
      <c r="C111" s="16" t="s">
        <v>34</v>
      </c>
      <c r="D111" s="16" t="s">
        <v>34</v>
      </c>
      <c r="E111" s="16" t="s">
        <v>34</v>
      </c>
      <c r="F111" s="16" t="s">
        <v>34</v>
      </c>
      <c r="G111" s="16">
        <f>IF(OR(ISBLANK(G106),ISBLANK(B106)),"n/a",IFERROR(G106/B106-1,"n/a"))</f>
        <v>0.09927597164693136</v>
      </c>
      <c r="H111" s="16">
        <f>IF(OR(ISBLANK(H106),ISBLANK(C106)),"n/a",IFERROR(H106/C106-1,"n/a"))</f>
        <v>0.09523626936307372</v>
      </c>
      <c r="I111" s="15">
        <f>IF(OR(ISBLANK(I106),ISBLANK(D106)),"n/a",IFERROR(I106/D106-1,"n/a"))</f>
        <v>0.0386454972347372</v>
      </c>
      <c r="J111" s="6"/>
      <c r="K111" s="6"/>
    </row>
    <row r="112">
      <c r="A112" s="4" t="s">
        <v>451</v>
      </c>
      <c r="B112" s="18" t="s">
        <v>34</v>
      </c>
      <c r="C112" s="18" t="s">
        <v>34</v>
      </c>
      <c r="D112" s="18" t="s">
        <v>34</v>
      </c>
      <c r="E112" s="18" t="s">
        <v>34</v>
      </c>
      <c r="F112" s="18" t="s">
        <v>34</v>
      </c>
      <c r="G112" s="18">
        <f>IF(OR(ISBLANK(G106),ISBLANK(B106)),"n/a",IFERROR(G106-B106,"n/a"))</f>
        <v>0.09816808841166713</v>
      </c>
      <c r="H112" s="18">
        <f>IF(OR(ISBLANK(H106),ISBLANK(C106)),"n/a",IFERROR(H106-C106,"n/a"))</f>
        <v>0.09998121908586399</v>
      </c>
      <c r="I112" s="25">
        <f>IF(OR(ISBLANK(I106),ISBLANK(D106)),"n/a",IFERROR(I106-D106,"n/a"))</f>
        <v>0.04382286656387668</v>
      </c>
      <c r="J112" s="6"/>
      <c r="K112" s="6"/>
    </row>
    <row r="113">
      <c r="A113" s="4" t="s">
        <v>452</v>
      </c>
      <c r="B113" s="23"/>
      <c r="C113" s="23"/>
      <c r="D113" s="23"/>
      <c r="E113" s="23"/>
      <c r="F113" s="23"/>
      <c r="G113" s="23"/>
      <c r="H113" s="23"/>
      <c r="I113" s="39" t="b">
        <f>ABS(I106-I85/I101)&lt;0.000001</f>
        <v>1</v>
      </c>
      <c r="J113" s="6" t="s">
        <v>453</v>
      </c>
      <c r="K113" s="6"/>
    </row>
    <row r="114">
      <c r="A114" s="3"/>
      <c r="B114" s="3"/>
      <c r="C114" s="3"/>
      <c r="D114" s="3"/>
      <c r="E114" s="3"/>
      <c r="F114" s="3"/>
      <c r="G114" s="3"/>
      <c r="H114" s="3"/>
      <c r="I114" s="11"/>
      <c r="J114" s="6"/>
      <c r="K114" s="6"/>
    </row>
    <row r="115">
      <c r="A115" s="26" t="s">
        <v>454</v>
      </c>
      <c r="B115" s="3"/>
      <c r="C115" s="3"/>
      <c r="D115" s="3"/>
      <c r="E115" s="3"/>
      <c r="F115" s="3"/>
      <c r="G115" s="3"/>
      <c r="H115" s="3"/>
      <c r="I115" s="11"/>
      <c r="J115" s="6"/>
      <c r="K115" s="6"/>
    </row>
    <row r="116">
      <c r="A116" s="4" t="s">
        <v>425</v>
      </c>
      <c r="B116" s="18">
        <f>B91/B101</f>
        <v>0.638524987869966</v>
      </c>
      <c r="C116" s="18">
        <f>C91/C101</f>
        <v>0.6185416969873381</v>
      </c>
      <c r="D116" s="18">
        <f>D91/D101</f>
        <v>0.7065584854631508</v>
      </c>
      <c r="E116" s="18">
        <f>E91/E101</f>
        <v>0.45859262805169937</v>
      </c>
      <c r="F116" s="18">
        <f>F91/F101</f>
        <v>2.4200869145340413</v>
      </c>
      <c r="G116" s="18">
        <f>G91/G101</f>
        <v>0.6985522480768311</v>
      </c>
      <c r="H116" s="18">
        <f>H91/H101</f>
        <v>0.6745008120760485</v>
      </c>
      <c r="I116" s="25">
        <f>I91/I101</f>
        <v>0.7685291308500476</v>
      </c>
      <c r="J116" s="6"/>
      <c r="K116" s="6"/>
    </row>
    <row r="117">
      <c r="A117" s="4" t="s">
        <v>427</v>
      </c>
      <c r="B117" s="18">
        <f>B92/B101</f>
        <v>0.440562833575934</v>
      </c>
      <c r="C117" s="18">
        <f>C92/C101</f>
        <v>0.5292776403240673</v>
      </c>
      <c r="D117" s="18">
        <f>D92/D101</f>
        <v>0.5322128851540616</v>
      </c>
      <c r="E117" s="18">
        <f>E92/E101</f>
        <v>0.20201053135471517</v>
      </c>
      <c r="F117" s="18">
        <f>F92/F101</f>
        <v>1.7011105746016417</v>
      </c>
      <c r="G117" s="18">
        <f>G92/G101</f>
        <v>0.4959625400162454</v>
      </c>
      <c r="H117" s="18">
        <f>H92/H101</f>
        <v>0.6167001050921945</v>
      </c>
      <c r="I117" s="25">
        <f>I92/I101</f>
        <v>0.5549188156638013</v>
      </c>
      <c r="J117" s="6"/>
      <c r="K117" s="6"/>
    </row>
    <row r="118">
      <c r="A118" s="4" t="s">
        <v>429</v>
      </c>
      <c r="B118" s="18">
        <f>B93/B101</f>
        <v>-0.09024745269286755</v>
      </c>
      <c r="C118" s="18">
        <f>C93/C101</f>
        <v>-0.09799641003250376</v>
      </c>
      <c r="D118" s="18">
        <f>D93/D101</f>
        <v>-0.10480054090601758</v>
      </c>
      <c r="E118" s="18">
        <f>E93/E101</f>
        <v>-0.11823839157491622</v>
      </c>
      <c r="F118" s="18">
        <f>F93/F101</f>
        <v>-0.41139546112988895</v>
      </c>
      <c r="G118" s="18">
        <f>G93/G101</f>
        <v>-0.10750633092837689</v>
      </c>
      <c r="H118" s="18">
        <f>H93/H101</f>
        <v>-0.1413967708034776</v>
      </c>
      <c r="I118" s="25">
        <f>I93/I101</f>
        <v>-0.14565425023877746</v>
      </c>
      <c r="J118" s="6"/>
      <c r="K118" s="6"/>
    </row>
    <row r="119">
      <c r="A119" s="27" t="s">
        <v>455</v>
      </c>
      <c r="B119" s="43">
        <f>B116+B117+B118</f>
        <v>0.9888403687530325</v>
      </c>
      <c r="C119" s="43">
        <f>C116+C117+C118</f>
        <v>1.0498229272789017</v>
      </c>
      <c r="D119" s="43">
        <f>D116+D117+D118</f>
        <v>1.1339708297111948</v>
      </c>
      <c r="E119" s="43">
        <f>E116+E117+E118</f>
        <v>0.5423647678314983</v>
      </c>
      <c r="F119" s="43">
        <f>F116+F117+F118</f>
        <v>3.7098020280057944</v>
      </c>
      <c r="G119" s="43">
        <f>G116+G117+G118</f>
        <v>1.0870084571646996</v>
      </c>
      <c r="H119" s="43">
        <f>H116+H117+H118</f>
        <v>1.1498041463647655</v>
      </c>
      <c r="I119" s="51">
        <f>I116+I117+I118</f>
        <v>1.1777936962750715</v>
      </c>
      <c r="J119" s="6"/>
      <c r="K119" s="6"/>
    </row>
    <row r="120">
      <c r="A120" s="3"/>
      <c r="B120" s="3"/>
      <c r="C120" s="3"/>
      <c r="D120" s="3"/>
      <c r="E120" s="3"/>
      <c r="F120" s="3"/>
      <c r="G120" s="3"/>
      <c r="H120" s="3"/>
      <c r="I120" s="11"/>
      <c r="J120" s="6"/>
      <c r="K120" s="6"/>
    </row>
    <row r="121">
      <c r="A121" s="26" t="s">
        <v>456</v>
      </c>
      <c r="B121" s="3"/>
      <c r="C121" s="3"/>
      <c r="D121" s="3"/>
      <c r="E121" s="3"/>
      <c r="F121" s="3"/>
      <c r="G121" s="3"/>
      <c r="H121" s="3"/>
      <c r="I121" s="11"/>
      <c r="J121" s="6"/>
      <c r="K121" s="6"/>
    </row>
    <row r="122">
      <c r="A122" s="4" t="s">
        <v>457</v>
      </c>
      <c r="B122" s="7">
        <f>B33+B17</f>
        <v>2256</v>
      </c>
      <c r="C122" s="7">
        <f>C33+C17</f>
        <v>1911</v>
      </c>
      <c r="D122" s="7">
        <f>D33+D17</f>
        <v>2527</v>
      </c>
      <c r="E122" s="7">
        <f>E33+E17</f>
        <v>1586</v>
      </c>
      <c r="F122" s="7">
        <f>F33+F17</f>
        <v>8280</v>
      </c>
      <c r="G122" s="7">
        <f>G33+G17</f>
        <v>2208</v>
      </c>
      <c r="H122" s="7">
        <f>H33+H17</f>
        <v>2270</v>
      </c>
      <c r="I122" s="10">
        <f>I33+I17</f>
        <v>2699.9433653847773</v>
      </c>
      <c r="J122" s="6" t="s">
        <v>458</v>
      </c>
      <c r="K122" s="6"/>
    </row>
    <row r="123">
      <c r="A123" s="4" t="s">
        <v>459</v>
      </c>
      <c r="B123" s="23" t="s">
        <v>460</v>
      </c>
      <c r="C123" s="23" t="s">
        <v>460</v>
      </c>
      <c r="D123" s="23" t="s">
        <v>460</v>
      </c>
      <c r="E123" s="23" t="s">
        <v>460</v>
      </c>
      <c r="F123" s="23" t="s">
        <v>460</v>
      </c>
      <c r="G123" s="23" t="s">
        <v>460</v>
      </c>
      <c r="H123" s="23" t="s">
        <v>460</v>
      </c>
      <c r="I123" s="39" t="s">
        <v>460</v>
      </c>
      <c r="J123" s="6" t="s">
        <v>461</v>
      </c>
      <c r="K123" s="6"/>
    </row>
    <row r="124">
      <c r="A124" s="4" t="s">
        <v>462</v>
      </c>
      <c r="B124" s="23" t="s">
        <v>463</v>
      </c>
      <c r="C124" s="23" t="s">
        <v>463</v>
      </c>
      <c r="D124" s="23" t="s">
        <v>463</v>
      </c>
      <c r="E124" s="23" t="s">
        <v>463</v>
      </c>
      <c r="F124" s="23" t="s">
        <v>463</v>
      </c>
      <c r="G124" s="23" t="s">
        <v>463</v>
      </c>
      <c r="H124" s="23" t="s">
        <v>463</v>
      </c>
      <c r="I124" s="39" t="s">
        <v>463</v>
      </c>
      <c r="J124" s="6" t="s">
        <v>464</v>
      </c>
      <c r="K124" s="6"/>
    </row>
    <row r="125">
      <c r="A125" s="3"/>
      <c r="B125" s="3"/>
      <c r="C125" s="3"/>
      <c r="D125" s="3"/>
      <c r="E125" s="3"/>
      <c r="F125" s="3"/>
      <c r="G125" s="3"/>
      <c r="H125" s="3"/>
      <c r="I125" s="11"/>
      <c r="J125" s="6"/>
      <c r="K125" s="6"/>
    </row>
    <row r="126">
      <c r="A126" s="3"/>
      <c r="B126" s="3"/>
      <c r="C126" s="3"/>
      <c r="D126" s="3"/>
      <c r="E126" s="3"/>
      <c r="F126" s="3"/>
      <c r="G126" s="3"/>
      <c r="H126" s="3"/>
      <c r="I126" s="11"/>
      <c r="J126" s="6"/>
      <c r="K126" s="6"/>
    </row>
    <row r="127">
      <c r="A127" s="3"/>
      <c r="B127" s="3"/>
      <c r="C127" s="3"/>
      <c r="D127" s="3"/>
      <c r="E127" s="3"/>
      <c r="F127" s="3"/>
      <c r="G127" s="3"/>
      <c r="H127" s="3"/>
      <c r="I127" s="11"/>
      <c r="J127" s="6"/>
      <c r="K127" s="6"/>
    </row>
  </sheetData>
</worksheet>
</file>

<file path=xl/worksheets/sheet6.xml><?xml version="1.0" encoding="utf-8"?>
<worksheet xmlns="http://schemas.openxmlformats.org/spreadsheetml/2006/main" xmlns:r="http://schemas.openxmlformats.org/officeDocument/2006/relationships">
  <dimension ref="A1:K69"/>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465</v>
      </c>
      <c r="B2" s="3"/>
      <c r="C2" s="3"/>
      <c r="D2" s="3"/>
      <c r="E2" s="3"/>
      <c r="F2" s="3"/>
      <c r="G2" s="3"/>
      <c r="H2" s="3"/>
      <c r="I2" s="3"/>
      <c r="J2" s="3"/>
      <c r="K2" s="3"/>
    </row>
    <row r="3">
      <c r="A3" s="37" t="s">
        <v>2</v>
      </c>
      <c r="B3" s="3"/>
      <c r="C3" s="3"/>
      <c r="D3" s="3"/>
      <c r="E3" s="3"/>
      <c r="F3" s="3"/>
      <c r="G3" s="3"/>
      <c r="H3" s="3"/>
      <c r="I3" s="3"/>
      <c r="J3" s="3"/>
      <c r="K3" s="3"/>
    </row>
    <row r="4">
      <c r="A4" s="12" t="s">
        <v>88</v>
      </c>
      <c r="B4" s="9" t="s">
        <v>89</v>
      </c>
      <c r="C4" s="9" t="s">
        <v>90</v>
      </c>
      <c r="D4" s="9" t="s">
        <v>91</v>
      </c>
      <c r="E4" s="9" t="s">
        <v>92</v>
      </c>
      <c r="F4" s="9" t="s">
        <v>93</v>
      </c>
      <c r="G4" s="9" t="s">
        <v>94</v>
      </c>
      <c r="H4" s="9" t="s">
        <v>95</v>
      </c>
      <c r="I4" s="9" t="s">
        <v>96</v>
      </c>
      <c r="J4" s="12" t="s">
        <v>4</v>
      </c>
      <c r="K4" s="3"/>
    </row>
    <row r="5">
      <c r="A5" s="28" t="s">
        <v>97</v>
      </c>
      <c r="B5" s="22">
        <f>DATE(2025,3,31)</f>
        <v>45747</v>
      </c>
      <c r="C5" s="22">
        <f>DATE(2025,6,30)</f>
        <v>45838</v>
      </c>
      <c r="D5" s="22">
        <f>DATE(2025,9,30)</f>
        <v>45930</v>
      </c>
      <c r="E5" s="22">
        <f>DATE(2025,12,31)</f>
        <v>46022</v>
      </c>
      <c r="F5" s="22">
        <f>DATE(2025,12,31)</f>
        <v>46022</v>
      </c>
      <c r="G5" s="22">
        <f>DATE(2026,3,31)</f>
        <v>46112</v>
      </c>
      <c r="H5" s="22">
        <f>DATE(2026,6,30)</f>
        <v>46203</v>
      </c>
      <c r="I5" s="22">
        <f>DATE(2026,9,30)</f>
        <v>46295</v>
      </c>
      <c r="J5" s="28"/>
      <c r="K5" s="3"/>
    </row>
    <row r="6">
      <c r="A6" s="33" t="s">
        <v>98</v>
      </c>
      <c r="B6" s="13">
        <f>B5-EOMONTH(B5,-3)</f>
        <v>90</v>
      </c>
      <c r="C6" s="13">
        <f>C5-EOMONTH(C5,-3)</f>
        <v>91</v>
      </c>
      <c r="D6" s="13">
        <f>D5-EOMONTH(D5,-3)</f>
        <v>92</v>
      </c>
      <c r="E6" s="13">
        <f>E5-EOMONTH(E5,-3)</f>
        <v>92</v>
      </c>
      <c r="F6" s="13">
        <f>F5-EOMONTH(F5,-12)</f>
        <v>365</v>
      </c>
      <c r="G6" s="13">
        <f>G5-EOMONTH(G5,-3)</f>
        <v>90</v>
      </c>
      <c r="H6" s="13">
        <f>H5-EOMONTH(H5,-3)</f>
        <v>91</v>
      </c>
      <c r="I6" s="13">
        <f>I5-EOMONTH(I5,-3)</f>
        <v>92</v>
      </c>
      <c r="J6" s="33"/>
      <c r="K6" s="3"/>
    </row>
    <row r="7">
      <c r="A7" s="3"/>
      <c r="B7" s="3"/>
      <c r="C7" s="3"/>
      <c r="D7" s="3"/>
      <c r="E7" s="3"/>
      <c r="F7" s="3"/>
      <c r="G7" s="3"/>
      <c r="H7" s="3"/>
      <c r="I7" s="11"/>
      <c r="J7" s="3"/>
      <c r="K7" s="3"/>
    </row>
    <row r="8">
      <c r="A8" s="26" t="s">
        <v>466</v>
      </c>
      <c r="B8" s="3"/>
      <c r="C8" s="3"/>
      <c r="D8" s="3"/>
      <c r="E8" s="3"/>
      <c r="F8" s="3"/>
      <c r="G8" s="3"/>
      <c r="H8" s="3"/>
      <c r="I8" s="11"/>
      <c r="J8" s="6"/>
      <c r="K8" s="6"/>
    </row>
    <row r="9">
      <c r="A9" s="4" t="s">
        <v>467</v>
      </c>
      <c r="B9" s="1">
        <v>2419</v>
      </c>
      <c r="C9" s="1">
        <v>1728</v>
      </c>
      <c r="D9" s="1">
        <v>2391</v>
      </c>
      <c r="E9" s="1">
        <v>2812</v>
      </c>
      <c r="F9" s="7">
        <f>E9</f>
        <v>2812</v>
      </c>
      <c r="G9" s="1">
        <v>1998</v>
      </c>
      <c r="H9" s="1">
        <v>2866</v>
      </c>
      <c r="I9" s="14">
        <f>'Cash Flow Statement'!I54-'Cash Flow Statement'!I57</f>
        <v>2866</v>
      </c>
      <c r="J9" s="6" t="s">
        <v>468</v>
      </c>
      <c r="K9" s="6"/>
    </row>
    <row r="10">
      <c r="A10" s="4" t="s">
        <v>469</v>
      </c>
      <c r="B10" s="1">
        <v>3153</v>
      </c>
      <c r="C10" s="1">
        <v>3871</v>
      </c>
      <c r="D10" s="1">
        <v>3942</v>
      </c>
      <c r="E10" s="1">
        <v>4018</v>
      </c>
      <c r="F10" s="7">
        <f>E10</f>
        <v>4018</v>
      </c>
      <c r="G10" s="1">
        <v>4131</v>
      </c>
      <c r="H10" s="1">
        <v>4708</v>
      </c>
      <c r="I10" s="10">
        <f>H10</f>
        <v>4708</v>
      </c>
      <c r="J10" s="6" t="s">
        <v>468</v>
      </c>
      <c r="K10" s="6"/>
    </row>
    <row r="11">
      <c r="A11" s="4" t="s">
        <v>470</v>
      </c>
      <c r="B11" s="1">
        <v>1436</v>
      </c>
      <c r="C11" s="1">
        <v>1716</v>
      </c>
      <c r="D11" s="1">
        <v>1498</v>
      </c>
      <c r="E11" s="1">
        <v>1733</v>
      </c>
      <c r="F11" s="7">
        <f>E11</f>
        <v>1733</v>
      </c>
      <c r="G11" s="1">
        <v>2176</v>
      </c>
      <c r="H11" s="1">
        <v>2181</v>
      </c>
      <c r="I11" s="10">
        <f>H11</f>
        <v>2181</v>
      </c>
      <c r="J11" s="6" t="s">
        <v>468</v>
      </c>
      <c r="K11" s="6"/>
    </row>
    <row r="12">
      <c r="A12" s="4" t="s">
        <v>471</v>
      </c>
      <c r="B12" s="1">
        <v>2326</v>
      </c>
      <c r="C12" s="1">
        <v>2207</v>
      </c>
      <c r="D12" s="1">
        <v>2426</v>
      </c>
      <c r="E12" s="1">
        <v>2420</v>
      </c>
      <c r="F12" s="7">
        <f>E12</f>
        <v>2420</v>
      </c>
      <c r="G12" s="1">
        <v>2577</v>
      </c>
      <c r="H12" s="1">
        <v>2616</v>
      </c>
      <c r="I12" s="10">
        <f>H12</f>
        <v>2616</v>
      </c>
      <c r="J12" s="6" t="s">
        <v>468</v>
      </c>
      <c r="K12" s="6"/>
    </row>
    <row r="13">
      <c r="A13" s="4" t="s">
        <v>472</v>
      </c>
      <c r="B13" s="1">
        <v>1116</v>
      </c>
      <c r="C13" s="1">
        <v>858</v>
      </c>
      <c r="D13" s="1">
        <v>376</v>
      </c>
      <c r="E13" s="1">
        <v>433</v>
      </c>
      <c r="F13" s="7">
        <f>E13</f>
        <v>433</v>
      </c>
      <c r="G13" s="1">
        <v>448</v>
      </c>
      <c r="H13" s="1">
        <v>349</v>
      </c>
      <c r="I13" s="10">
        <f>H13</f>
        <v>349</v>
      </c>
      <c r="J13" s="6" t="s">
        <v>468</v>
      </c>
      <c r="K13" s="6"/>
    </row>
    <row r="14">
      <c r="A14" s="4" t="s">
        <v>473</v>
      </c>
      <c r="B14" s="1">
        <v>971</v>
      </c>
      <c r="C14" s="1">
        <v>856</v>
      </c>
      <c r="D14" s="1">
        <v>853</v>
      </c>
      <c r="E14" s="1">
        <v>997</v>
      </c>
      <c r="F14" s="7">
        <f>E14</f>
        <v>997</v>
      </c>
      <c r="G14" s="1">
        <v>1237</v>
      </c>
      <c r="H14" s="1">
        <v>1352</v>
      </c>
      <c r="I14" s="10">
        <f>H14</f>
        <v>1352</v>
      </c>
      <c r="J14" s="6" t="s">
        <v>468</v>
      </c>
      <c r="K14" s="6"/>
    </row>
    <row r="15">
      <c r="A15" s="4" t="s">
        <v>474</v>
      </c>
      <c r="B15" s="1">
        <v>1227</v>
      </c>
      <c r="C15" s="1">
        <v>1257</v>
      </c>
      <c r="D15" s="1">
        <v>1185</v>
      </c>
      <c r="E15" s="1">
        <v>1171</v>
      </c>
      <c r="F15" s="7">
        <f>E15</f>
        <v>1171</v>
      </c>
      <c r="G15" s="1">
        <v>1291</v>
      </c>
      <c r="H15" s="1">
        <v>1395</v>
      </c>
      <c r="I15" s="10">
        <f>H15</f>
        <v>1395</v>
      </c>
      <c r="J15" s="6" t="s">
        <v>468</v>
      </c>
      <c r="K15" s="6"/>
    </row>
    <row r="16">
      <c r="A16" s="27" t="s">
        <v>475</v>
      </c>
      <c r="B16" s="5">
        <f>B9+B10+B11+B12+B13+B14+B15</f>
        <v>12648</v>
      </c>
      <c r="C16" s="5">
        <f>C9+C10+C11+C12+C13+C14+C15</f>
        <v>12493</v>
      </c>
      <c r="D16" s="5">
        <f>D9+D10+D11+D12+D13+D14+D15</f>
        <v>12671</v>
      </c>
      <c r="E16" s="5">
        <f>E9+E10+E11+E12+E13+E14+E15</f>
        <v>13584</v>
      </c>
      <c r="F16" s="5">
        <f>F9+F10+F11+F12+F13+F14+F15</f>
        <v>13584</v>
      </c>
      <c r="G16" s="5">
        <f>G9+G10+G11+G12+G13+G14+G15</f>
        <v>13858</v>
      </c>
      <c r="H16" s="5">
        <f>H9+H10+H11+H12+H13+H14+H15</f>
        <v>15467</v>
      </c>
      <c r="I16" s="2">
        <f>I9+I10+I11+I12+I13+I14+I15</f>
        <v>15467</v>
      </c>
      <c r="J16" s="6"/>
      <c r="K16" s="6"/>
    </row>
    <row r="17">
      <c r="A17" s="4" t="s">
        <v>476</v>
      </c>
      <c r="B17" s="1">
        <v>142223</v>
      </c>
      <c r="C17" s="1">
        <v>145742</v>
      </c>
      <c r="D17" s="1">
        <v>150043</v>
      </c>
      <c r="E17" s="1">
        <v>156197</v>
      </c>
      <c r="F17" s="7">
        <f>E17</f>
        <v>156197</v>
      </c>
      <c r="G17" s="1">
        <v>162361</v>
      </c>
      <c r="H17" s="1">
        <v>170452</v>
      </c>
      <c r="I17" s="14">
        <f>H17-'Cash Flow Statement'!I29-'Cash Flow Statement'!I30-'Cash Flow Statement'!I31-'Income Statement'!I20-'Cash Flow Statement'!I12-('Cash Flow Statement'!I33+'Cash Flow Statement'!I19)</f>
        <v>178205.2</v>
      </c>
      <c r="J17" s="6" t="s">
        <v>468</v>
      </c>
      <c r="K17" s="6"/>
    </row>
    <row r="18">
      <c r="A18" s="4" t="s">
        <v>477</v>
      </c>
      <c r="B18" s="1">
        <v>9625</v>
      </c>
      <c r="C18" s="1">
        <v>10232</v>
      </c>
      <c r="D18" s="1">
        <v>10770</v>
      </c>
      <c r="E18" s="1">
        <v>10954</v>
      </c>
      <c r="F18" s="7">
        <f>E18</f>
        <v>10954</v>
      </c>
      <c r="G18" s="1">
        <v>10707</v>
      </c>
      <c r="H18" s="1">
        <v>11678</v>
      </c>
      <c r="I18" s="10">
        <f>H18</f>
        <v>11678</v>
      </c>
      <c r="J18" s="6" t="s">
        <v>468</v>
      </c>
      <c r="K18" s="6"/>
    </row>
    <row r="19">
      <c r="A19" s="4" t="s">
        <v>478</v>
      </c>
      <c r="B19" s="1">
        <v>5270</v>
      </c>
      <c r="C19" s="1">
        <v>5401</v>
      </c>
      <c r="D19" s="1">
        <v>5451</v>
      </c>
      <c r="E19" s="1">
        <v>5528</v>
      </c>
      <c r="F19" s="7">
        <f>E19</f>
        <v>5528</v>
      </c>
      <c r="G19" s="1">
        <v>5989</v>
      </c>
      <c r="H19" s="1">
        <v>5971</v>
      </c>
      <c r="I19" s="14">
        <f>H19-('Cash Flow Statement'!I17+'Cash Flow Statement'!I18)</f>
        <v>5971</v>
      </c>
      <c r="J19" s="6" t="s">
        <v>468</v>
      </c>
      <c r="K19" s="6"/>
    </row>
    <row r="20">
      <c r="A20" s="4" t="s">
        <v>479</v>
      </c>
      <c r="B20" s="1">
        <v>2548</v>
      </c>
      <c r="C20" s="1">
        <v>2600</v>
      </c>
      <c r="D20" s="1">
        <v>2653</v>
      </c>
      <c r="E20" s="1">
        <v>2868</v>
      </c>
      <c r="F20" s="7">
        <f>E20</f>
        <v>2868</v>
      </c>
      <c r="G20" s="1">
        <v>2922</v>
      </c>
      <c r="H20" s="1">
        <v>2902</v>
      </c>
      <c r="I20" s="10">
        <f>H20</f>
        <v>2902</v>
      </c>
      <c r="J20" s="6" t="s">
        <v>468</v>
      </c>
      <c r="K20" s="6"/>
    </row>
    <row r="21">
      <c r="A21" s="4" t="s">
        <v>480</v>
      </c>
      <c r="B21" s="1">
        <v>5434</v>
      </c>
      <c r="C21" s="1">
        <v>5425</v>
      </c>
      <c r="D21" s="1">
        <v>5175</v>
      </c>
      <c r="E21" s="1">
        <v>5639</v>
      </c>
      <c r="F21" s="7">
        <f>E21</f>
        <v>5639</v>
      </c>
      <c r="G21" s="1">
        <v>7199</v>
      </c>
      <c r="H21" s="1">
        <v>7336</v>
      </c>
      <c r="I21" s="10">
        <f>H21</f>
        <v>7336</v>
      </c>
      <c r="J21" s="6" t="s">
        <v>468</v>
      </c>
      <c r="K21" s="6"/>
    </row>
    <row r="22">
      <c r="A22" s="4" t="s">
        <v>481</v>
      </c>
      <c r="B22" s="1">
        <v>1710</v>
      </c>
      <c r="C22" s="1">
        <v>1634</v>
      </c>
      <c r="D22" s="1">
        <v>1839</v>
      </c>
      <c r="E22" s="1">
        <v>1998</v>
      </c>
      <c r="F22" s="7">
        <f>E22</f>
        <v>1998</v>
      </c>
      <c r="G22" s="1">
        <v>1820</v>
      </c>
      <c r="H22" s="1">
        <v>2045</v>
      </c>
      <c r="I22" s="14">
        <f>H22-'Cash Flow Statement'!I13</f>
        <v>2195</v>
      </c>
      <c r="J22" s="6" t="s">
        <v>468</v>
      </c>
      <c r="K22" s="6"/>
    </row>
    <row r="23">
      <c r="A23" s="4" t="s">
        <v>482</v>
      </c>
      <c r="B23" s="1">
        <v>4866</v>
      </c>
      <c r="C23" s="1">
        <v>4867</v>
      </c>
      <c r="D23" s="1">
        <v>4849</v>
      </c>
      <c r="E23" s="1">
        <v>4849</v>
      </c>
      <c r="F23" s="7">
        <f>E23</f>
        <v>4849</v>
      </c>
      <c r="G23" s="1">
        <v>5150</v>
      </c>
      <c r="H23" s="1">
        <v>5152</v>
      </c>
      <c r="I23" s="10">
        <f>H23</f>
        <v>5152</v>
      </c>
      <c r="J23" s="6" t="s">
        <v>468</v>
      </c>
      <c r="K23" s="6"/>
    </row>
    <row r="24">
      <c r="A24" s="4" t="s">
        <v>483</v>
      </c>
      <c r="B24" s="1">
        <v>9940</v>
      </c>
      <c r="C24" s="1">
        <v>10436</v>
      </c>
      <c r="D24" s="1">
        <v>10903</v>
      </c>
      <c r="E24" s="1">
        <v>11104</v>
      </c>
      <c r="F24" s="7">
        <f>E24</f>
        <v>11104</v>
      </c>
      <c r="G24" s="1">
        <v>11418</v>
      </c>
      <c r="H24" s="1">
        <v>11804</v>
      </c>
      <c r="I24" s="10">
        <f>H24</f>
        <v>11804</v>
      </c>
      <c r="J24" s="6" t="s">
        <v>468</v>
      </c>
      <c r="K24" s="6"/>
    </row>
    <row r="25">
      <c r="A25" s="27" t="s">
        <v>484</v>
      </c>
      <c r="B25" s="5">
        <f>B17+B18+B19+B20+B21+B22+B23+B24</f>
        <v>181616</v>
      </c>
      <c r="C25" s="5">
        <f>C17+C18+C19+C20+C21+C22+C23+C24</f>
        <v>186337</v>
      </c>
      <c r="D25" s="5">
        <f>D17+D18+D19+D20+D21+D22+D23+D24</f>
        <v>191683</v>
      </c>
      <c r="E25" s="5">
        <f>E17+E18+E19+E20+E21+E22+E23+E24</f>
        <v>199137</v>
      </c>
      <c r="F25" s="5">
        <f>F17+F18+F19+F20+F21+F22+F23+F24</f>
        <v>199137</v>
      </c>
      <c r="G25" s="5">
        <f>G17+G18+G19+G20+G21+G22+G23+G24</f>
        <v>207566</v>
      </c>
      <c r="H25" s="5">
        <f>H17+H18+H19+H20+H21+H22+H23+H24</f>
        <v>217340</v>
      </c>
      <c r="I25" s="2">
        <f>I17+I18+I19+I20+I21+I22+I23+I24</f>
        <v>225243.2</v>
      </c>
      <c r="J25" s="6"/>
      <c r="K25" s="6"/>
    </row>
    <row r="26">
      <c r="A26" s="27" t="s">
        <v>485</v>
      </c>
      <c r="B26" s="5">
        <f>B16+B25</f>
        <v>194264</v>
      </c>
      <c r="C26" s="5">
        <f>C16+C25</f>
        <v>198830</v>
      </c>
      <c r="D26" s="5">
        <f>D16+D25</f>
        <v>204354</v>
      </c>
      <c r="E26" s="5">
        <f>E16+E25</f>
        <v>212721</v>
      </c>
      <c r="F26" s="5">
        <f>F16+F25</f>
        <v>212721</v>
      </c>
      <c r="G26" s="5">
        <f>G16+G25</f>
        <v>221424</v>
      </c>
      <c r="H26" s="5">
        <f>H16+H25</f>
        <v>232807</v>
      </c>
      <c r="I26" s="2">
        <f>I16+I25</f>
        <v>240710.2</v>
      </c>
      <c r="J26" s="6"/>
      <c r="K26" s="6"/>
    </row>
    <row r="27">
      <c r="A27" s="26" t="s">
        <v>486</v>
      </c>
      <c r="B27" s="3"/>
      <c r="C27" s="3"/>
      <c r="D27" s="3"/>
      <c r="E27" s="3"/>
      <c r="F27" s="3"/>
      <c r="G27" s="3"/>
      <c r="H27" s="3"/>
      <c r="I27" s="11"/>
      <c r="J27" s="6"/>
      <c r="K27" s="6"/>
    </row>
    <row r="28">
      <c r="A28" s="4" t="s">
        <v>487</v>
      </c>
      <c r="B28" s="1">
        <v>2005</v>
      </c>
      <c r="C28" s="1">
        <v>4027</v>
      </c>
      <c r="D28" s="1">
        <v>4262</v>
      </c>
      <c r="E28" s="1">
        <v>1955</v>
      </c>
      <c r="F28" s="7">
        <f>E28</f>
        <v>1955</v>
      </c>
      <c r="G28" s="1">
        <v>5360</v>
      </c>
      <c r="H28" s="1">
        <v>1736</v>
      </c>
      <c r="I28" s="10">
        <f>H28</f>
        <v>1736</v>
      </c>
      <c r="J28" s="6" t="s">
        <v>468</v>
      </c>
      <c r="K28" s="6"/>
    </row>
    <row r="29">
      <c r="A29" s="4" t="s">
        <v>488</v>
      </c>
      <c r="B29" s="1">
        <v>217</v>
      </c>
      <c r="C29" s="1">
        <v>767</v>
      </c>
      <c r="D29" s="1">
        <v>1100</v>
      </c>
      <c r="E29" s="1">
        <v>608</v>
      </c>
      <c r="F29" s="7">
        <f>E29</f>
        <v>608</v>
      </c>
      <c r="G29" s="1">
        <v>1258</v>
      </c>
      <c r="H29" s="1">
        <v>4258</v>
      </c>
      <c r="I29" s="10">
        <f>H29</f>
        <v>4258</v>
      </c>
      <c r="J29" s="6" t="s">
        <v>468</v>
      </c>
      <c r="K29" s="6"/>
    </row>
    <row r="30">
      <c r="A30" s="4" t="s">
        <v>489</v>
      </c>
      <c r="B30" s="1">
        <v>7642</v>
      </c>
      <c r="C30" s="1">
        <v>5705</v>
      </c>
      <c r="D30" s="1">
        <v>3591</v>
      </c>
      <c r="E30" s="1">
        <v>3500</v>
      </c>
      <c r="F30" s="7">
        <f>E30</f>
        <v>3500</v>
      </c>
      <c r="G30" s="1">
        <v>3837</v>
      </c>
      <c r="H30" s="1">
        <v>5413</v>
      </c>
      <c r="I30" s="10">
        <f>H30</f>
        <v>5413</v>
      </c>
      <c r="J30" s="6" t="s">
        <v>468</v>
      </c>
      <c r="K30" s="6"/>
    </row>
    <row r="31">
      <c r="A31" s="4" t="s">
        <v>490</v>
      </c>
      <c r="B31" s="1">
        <v>4753</v>
      </c>
      <c r="C31" s="1">
        <v>4197</v>
      </c>
      <c r="D31" s="1">
        <v>4976</v>
      </c>
      <c r="E31" s="1">
        <v>7583</v>
      </c>
      <c r="F31" s="7">
        <f>E31</f>
        <v>7583</v>
      </c>
      <c r="G31" s="1">
        <v>5743</v>
      </c>
      <c r="H31" s="1">
        <v>6558</v>
      </c>
      <c r="I31" s="14">
        <f>H31+'Cash Flow Statement'!I22</f>
        <v>6758</v>
      </c>
      <c r="J31" s="6" t="s">
        <v>468</v>
      </c>
      <c r="K31" s="6"/>
    </row>
    <row r="32">
      <c r="A32" s="4" t="s">
        <v>491</v>
      </c>
      <c r="B32" s="1">
        <v>697</v>
      </c>
      <c r="C32" s="1">
        <v>701</v>
      </c>
      <c r="D32" s="1">
        <v>702</v>
      </c>
      <c r="E32" s="1">
        <v>709</v>
      </c>
      <c r="F32" s="7">
        <f>E32</f>
        <v>709</v>
      </c>
      <c r="G32" s="1">
        <v>731</v>
      </c>
      <c r="H32" s="1">
        <v>1181</v>
      </c>
      <c r="I32" s="10">
        <f>H32</f>
        <v>1181</v>
      </c>
      <c r="J32" s="6" t="s">
        <v>468</v>
      </c>
      <c r="K32" s="6"/>
    </row>
    <row r="33">
      <c r="A33" s="4" t="s">
        <v>492</v>
      </c>
      <c r="B33" s="1">
        <v>1301</v>
      </c>
      <c r="C33" s="1">
        <v>1654</v>
      </c>
      <c r="D33" s="1">
        <v>1838</v>
      </c>
      <c r="E33" s="1">
        <v>1185</v>
      </c>
      <c r="F33" s="7">
        <f>E33</f>
        <v>1185</v>
      </c>
      <c r="G33" s="1">
        <v>1393</v>
      </c>
      <c r="H33" s="1">
        <v>1851</v>
      </c>
      <c r="I33" s="10">
        <f>H33</f>
        <v>1851</v>
      </c>
      <c r="J33" s="6" t="s">
        <v>468</v>
      </c>
      <c r="K33" s="6"/>
    </row>
    <row r="34">
      <c r="A34" s="4" t="s">
        <v>493</v>
      </c>
      <c r="B34" s="1">
        <v>1659</v>
      </c>
      <c r="C34" s="1">
        <v>1262</v>
      </c>
      <c r="D34" s="1">
        <v>1131</v>
      </c>
      <c r="E34" s="1">
        <v>1113</v>
      </c>
      <c r="F34" s="7">
        <f>E34</f>
        <v>1113</v>
      </c>
      <c r="G34" s="1">
        <v>1176</v>
      </c>
      <c r="H34" s="1">
        <v>1034</v>
      </c>
      <c r="I34" s="10">
        <f>H34</f>
        <v>1034</v>
      </c>
      <c r="J34" s="6" t="s">
        <v>468</v>
      </c>
      <c r="K34" s="6"/>
    </row>
    <row r="35">
      <c r="A35" s="4" t="s">
        <v>494</v>
      </c>
      <c r="B35" s="1">
        <v>1917</v>
      </c>
      <c r="C35" s="1">
        <v>1996</v>
      </c>
      <c r="D35" s="1">
        <v>2336</v>
      </c>
      <c r="E35" s="1">
        <v>2966</v>
      </c>
      <c r="F35" s="7">
        <f>E35</f>
        <v>2966</v>
      </c>
      <c r="G35" s="1">
        <v>2927</v>
      </c>
      <c r="H35" s="1">
        <v>3348</v>
      </c>
      <c r="I35" s="10">
        <f>H35</f>
        <v>3348</v>
      </c>
      <c r="J35" s="6" t="s">
        <v>468</v>
      </c>
      <c r="K35" s="6"/>
    </row>
    <row r="36">
      <c r="A36" s="4" t="s">
        <v>495</v>
      </c>
      <c r="B36" s="1">
        <v>317</v>
      </c>
      <c r="C36" s="1">
        <v>375</v>
      </c>
      <c r="D36" s="1">
        <v>408</v>
      </c>
      <c r="E36" s="1">
        <v>356</v>
      </c>
      <c r="F36" s="7">
        <f>E36</f>
        <v>356</v>
      </c>
      <c r="G36" s="1">
        <v>294</v>
      </c>
      <c r="H36" s="1">
        <v>398</v>
      </c>
      <c r="I36" s="10">
        <f>H36</f>
        <v>398</v>
      </c>
      <c r="J36" s="6" t="s">
        <v>468</v>
      </c>
      <c r="K36" s="6"/>
    </row>
    <row r="37">
      <c r="A37" s="4" t="s">
        <v>496</v>
      </c>
      <c r="B37" s="1">
        <v>2353</v>
      </c>
      <c r="C37" s="1">
        <v>2363</v>
      </c>
      <c r="D37" s="1">
        <v>2567</v>
      </c>
      <c r="E37" s="1">
        <v>2842</v>
      </c>
      <c r="F37" s="7">
        <f>E37</f>
        <v>2842</v>
      </c>
      <c r="G37" s="1">
        <v>2854</v>
      </c>
      <c r="H37" s="1">
        <v>3197</v>
      </c>
      <c r="I37" s="10">
        <f>H37</f>
        <v>3197</v>
      </c>
      <c r="J37" s="6" t="s">
        <v>468</v>
      </c>
      <c r="K37" s="6"/>
    </row>
    <row r="38">
      <c r="A38" s="27" t="s">
        <v>497</v>
      </c>
      <c r="B38" s="5">
        <f>B28+B29+B30+B31+B32+B33+B34+B35+B36+B37</f>
        <v>22861</v>
      </c>
      <c r="C38" s="5">
        <f>C28+C29+C30+C31+C32+C33+C34+C35+C36+C37</f>
        <v>23047</v>
      </c>
      <c r="D38" s="5">
        <f>D28+D29+D30+D31+D32+D33+D34+D35+D36+D37</f>
        <v>22911</v>
      </c>
      <c r="E38" s="5">
        <f>E28+E29+E30+E31+E32+E33+E34+E35+E36+E37</f>
        <v>22817</v>
      </c>
      <c r="F38" s="5">
        <f>F28+F29+F30+F31+F32+F33+F34+F35+F36+F37</f>
        <v>22817</v>
      </c>
      <c r="G38" s="5">
        <f>G28+G29+G30+G31+G32+G33+G34+G35+G36+G37</f>
        <v>25573</v>
      </c>
      <c r="H38" s="5">
        <f>H28+H29+H30+H31+H32+H33+H34+H35+H36+H37</f>
        <v>28974</v>
      </c>
      <c r="I38" s="2">
        <f>I28+I29+I30+I31+I32+I33+I34+I35+I36+I37</f>
        <v>29174</v>
      </c>
      <c r="J38" s="6"/>
      <c r="K38" s="6"/>
    </row>
    <row r="39">
      <c r="A39" s="4" t="s">
        <v>498</v>
      </c>
      <c r="B39" s="1">
        <v>79814</v>
      </c>
      <c r="C39" s="1">
        <v>82690</v>
      </c>
      <c r="D39" s="1">
        <v>84169</v>
      </c>
      <c r="E39" s="1">
        <v>89556</v>
      </c>
      <c r="F39" s="7">
        <f>E39</f>
        <v>89556</v>
      </c>
      <c r="G39" s="1">
        <v>93948</v>
      </c>
      <c r="H39" s="1">
        <v>98790</v>
      </c>
      <c r="I39" s="14">
        <f>H39+'Cash Flow Statement'!I39</f>
        <v>105650.41</v>
      </c>
      <c r="J39" s="6" t="s">
        <v>468</v>
      </c>
      <c r="K39" s="6"/>
    </row>
    <row r="40">
      <c r="A40" s="4" t="s">
        <v>499</v>
      </c>
      <c r="B40" s="1">
        <v>3708</v>
      </c>
      <c r="C40" s="1">
        <v>3770</v>
      </c>
      <c r="D40" s="1">
        <v>3798</v>
      </c>
      <c r="E40" s="1">
        <v>3669</v>
      </c>
      <c r="F40" s="7">
        <f>E40</f>
        <v>3669</v>
      </c>
      <c r="G40" s="1">
        <v>3730</v>
      </c>
      <c r="H40" s="1">
        <v>3794</v>
      </c>
      <c r="I40" s="10">
        <f>H40</f>
        <v>3794</v>
      </c>
      <c r="J40" s="6" t="s">
        <v>468</v>
      </c>
      <c r="K40" s="6"/>
    </row>
    <row r="41">
      <c r="A41" s="4" t="s">
        <v>500</v>
      </c>
      <c r="B41" s="1">
        <v>11441</v>
      </c>
      <c r="C41" s="1">
        <v>11414</v>
      </c>
      <c r="D41" s="1">
        <v>11557</v>
      </c>
      <c r="E41" s="1">
        <v>12359</v>
      </c>
      <c r="F41" s="7">
        <f>E41</f>
        <v>12359</v>
      </c>
      <c r="G41" s="1">
        <v>13106</v>
      </c>
      <c r="H41" s="1">
        <v>13365</v>
      </c>
      <c r="I41" s="10">
        <f>H41</f>
        <v>13365</v>
      </c>
      <c r="J41" s="6" t="s">
        <v>468</v>
      </c>
      <c r="K41" s="6"/>
    </row>
    <row r="42">
      <c r="A42" s="4" t="s">
        <v>501</v>
      </c>
      <c r="B42" s="1">
        <v>10251</v>
      </c>
      <c r="C42" s="1">
        <v>10619</v>
      </c>
      <c r="D42" s="1">
        <v>10887</v>
      </c>
      <c r="E42" s="1">
        <v>11474</v>
      </c>
      <c r="F42" s="7">
        <f>E42</f>
        <v>11474</v>
      </c>
      <c r="G42" s="1">
        <v>12095</v>
      </c>
      <c r="H42" s="1">
        <v>13118</v>
      </c>
      <c r="I42" s="10">
        <f>H42</f>
        <v>13118</v>
      </c>
      <c r="J42" s="6" t="s">
        <v>468</v>
      </c>
      <c r="K42" s="6"/>
    </row>
    <row r="43">
      <c r="A43" s="4" t="s">
        <v>502</v>
      </c>
      <c r="B43" s="1">
        <v>2191</v>
      </c>
      <c r="C43" s="1">
        <v>2293</v>
      </c>
      <c r="D43" s="1">
        <v>2378</v>
      </c>
      <c r="E43" s="1">
        <v>2148</v>
      </c>
      <c r="F43" s="7">
        <f>E43</f>
        <v>2148</v>
      </c>
      <c r="G43" s="1">
        <v>1834</v>
      </c>
      <c r="H43" s="1">
        <v>1732</v>
      </c>
      <c r="I43" s="10">
        <f>H43</f>
        <v>1732</v>
      </c>
      <c r="J43" s="6" t="s">
        <v>468</v>
      </c>
      <c r="K43" s="6"/>
    </row>
    <row r="44">
      <c r="A44" s="4" t="s">
        <v>503</v>
      </c>
      <c r="B44" s="1">
        <v>3632</v>
      </c>
      <c r="C44" s="1">
        <v>4065</v>
      </c>
      <c r="D44" s="1">
        <v>4058</v>
      </c>
      <c r="E44" s="1">
        <v>4219</v>
      </c>
      <c r="F44" s="7">
        <f>E44</f>
        <v>4219</v>
      </c>
      <c r="G44" s="1">
        <v>4506</v>
      </c>
      <c r="H44" s="1">
        <v>4875</v>
      </c>
      <c r="I44" s="10">
        <f>H44</f>
        <v>4875</v>
      </c>
      <c r="J44" s="6" t="s">
        <v>468</v>
      </c>
      <c r="K44" s="6"/>
    </row>
    <row r="45">
      <c r="A45" s="27" t="s">
        <v>504</v>
      </c>
      <c r="B45" s="5">
        <f>B39+B40+B41+B42+B43+B44</f>
        <v>111037</v>
      </c>
      <c r="C45" s="5">
        <f>C39+C40+C41+C42+C43+C44</f>
        <v>114851</v>
      </c>
      <c r="D45" s="5">
        <f>D39+D40+D41+D42+D43+D44</f>
        <v>116847</v>
      </c>
      <c r="E45" s="5">
        <f>E39+E40+E41+E42+E43+E44</f>
        <v>123425</v>
      </c>
      <c r="F45" s="5">
        <f>F39+F40+F41+F42+F43+F44</f>
        <v>123425</v>
      </c>
      <c r="G45" s="5">
        <f>G39+G40+G41+G42+G43+G44</f>
        <v>129219</v>
      </c>
      <c r="H45" s="5">
        <f>H39+H40+H41+H42+H43+H44</f>
        <v>135674</v>
      </c>
      <c r="I45" s="2">
        <f>I39+I40+I41+I42+I43+I44</f>
        <v>142534.41</v>
      </c>
      <c r="J45" s="6"/>
      <c r="K45" s="6"/>
    </row>
    <row r="46">
      <c r="A46" s="27" t="s">
        <v>505</v>
      </c>
      <c r="B46" s="5">
        <f>B38+B45</f>
        <v>133898</v>
      </c>
      <c r="C46" s="5">
        <f>C38+C45</f>
        <v>137898</v>
      </c>
      <c r="D46" s="5">
        <f>D38+D45</f>
        <v>139758</v>
      </c>
      <c r="E46" s="5">
        <f>E38+E45</f>
        <v>146242</v>
      </c>
      <c r="F46" s="5">
        <f>F38+F45</f>
        <v>146242</v>
      </c>
      <c r="G46" s="5">
        <f>G38+G45</f>
        <v>154792</v>
      </c>
      <c r="H46" s="5">
        <f>H38+H45</f>
        <v>164648</v>
      </c>
      <c r="I46" s="2">
        <f>I38+I45</f>
        <v>171708.41</v>
      </c>
      <c r="J46" s="6"/>
      <c r="K46" s="6"/>
    </row>
    <row r="47">
      <c r="A47" s="4" t="s">
        <v>506</v>
      </c>
      <c r="B47" s="1">
        <v>61</v>
      </c>
      <c r="C47" s="1">
        <v>49</v>
      </c>
      <c r="D47" s="1">
        <v>0</v>
      </c>
      <c r="E47" s="1">
        <v>0</v>
      </c>
      <c r="F47" s="7">
        <f>E47</f>
        <v>0</v>
      </c>
      <c r="G47" s="1">
        <v>0</v>
      </c>
      <c r="H47" s="1">
        <v>64</v>
      </c>
      <c r="I47" s="10">
        <f>H47</f>
        <v>64</v>
      </c>
      <c r="J47" s="6" t="s">
        <v>468</v>
      </c>
      <c r="K47" s="6"/>
    </row>
    <row r="48">
      <c r="A48" s="4" t="s">
        <v>507</v>
      </c>
      <c r="B48" s="1">
        <v>21</v>
      </c>
      <c r="C48" s="1">
        <v>21</v>
      </c>
      <c r="D48" s="1">
        <v>21</v>
      </c>
      <c r="E48" s="1">
        <v>21</v>
      </c>
      <c r="F48" s="7">
        <f>E48</f>
        <v>21</v>
      </c>
      <c r="G48" s="1">
        <v>21</v>
      </c>
      <c r="H48" s="1">
        <v>21</v>
      </c>
      <c r="I48" s="10">
        <f>H48</f>
        <v>21</v>
      </c>
      <c r="J48" s="6" t="s">
        <v>468</v>
      </c>
      <c r="K48" s="6"/>
    </row>
    <row r="49">
      <c r="A49" s="4" t="s">
        <v>508</v>
      </c>
      <c r="B49" s="1">
        <v>17292</v>
      </c>
      <c r="C49" s="1">
        <v>17370</v>
      </c>
      <c r="D49" s="1">
        <v>19485</v>
      </c>
      <c r="E49" s="1">
        <v>19494</v>
      </c>
      <c r="F49" s="7">
        <f>E49</f>
        <v>19494</v>
      </c>
      <c r="G49" s="1">
        <v>19251</v>
      </c>
      <c r="H49" s="1">
        <v>19325</v>
      </c>
      <c r="I49" s="10">
        <f>H49</f>
        <v>19325</v>
      </c>
      <c r="J49" s="6" t="s">
        <v>468</v>
      </c>
      <c r="K49" s="6"/>
    </row>
    <row r="50">
      <c r="A50" s="4" t="s">
        <v>509</v>
      </c>
      <c r="B50" s="1">
        <v>32613</v>
      </c>
      <c r="C50" s="1">
        <v>33476</v>
      </c>
      <c r="D50" s="1">
        <v>34747</v>
      </c>
      <c r="E50" s="1">
        <v>35102</v>
      </c>
      <c r="F50" s="7">
        <f>E50</f>
        <v>35102</v>
      </c>
      <c r="G50" s="1">
        <v>35984</v>
      </c>
      <c r="H50" s="1">
        <v>37828</v>
      </c>
      <c r="I50" s="14">
        <f>H50+'Income Statement'!I69+'Cash Flow Statement'!I48</f>
        <v>39064.69</v>
      </c>
      <c r="J50" s="6" t="s">
        <v>468</v>
      </c>
      <c r="K50" s="6"/>
    </row>
    <row r="51">
      <c r="A51" s="4" t="s">
        <v>510</v>
      </c>
      <c r="B51" s="1">
        <v>-114</v>
      </c>
      <c r="C51" s="1">
        <v>-70</v>
      </c>
      <c r="D51" s="1">
        <v>-72</v>
      </c>
      <c r="E51" s="1">
        <v>-9</v>
      </c>
      <c r="F51" s="7">
        <f>E51</f>
        <v>-9</v>
      </c>
      <c r="G51" s="1">
        <v>-34</v>
      </c>
      <c r="H51" s="1">
        <v>-48</v>
      </c>
      <c r="I51" s="10">
        <f>H51</f>
        <v>-48</v>
      </c>
      <c r="J51" s="6" t="s">
        <v>468</v>
      </c>
      <c r="K51" s="6"/>
    </row>
    <row r="52">
      <c r="A52" s="27" t="s">
        <v>511</v>
      </c>
      <c r="B52" s="5">
        <f>B48+B49+B50+B51</f>
        <v>49812</v>
      </c>
      <c r="C52" s="5">
        <f>C48+C49+C50+C51</f>
        <v>50797</v>
      </c>
      <c r="D52" s="5">
        <f>D48+D49+D50+D51</f>
        <v>54181</v>
      </c>
      <c r="E52" s="5">
        <f>E48+E49+E50+E51</f>
        <v>54608</v>
      </c>
      <c r="F52" s="5">
        <f>F48+F49+F50+F51</f>
        <v>54608</v>
      </c>
      <c r="G52" s="5">
        <f>G48+G49+G50+G51</f>
        <v>55222</v>
      </c>
      <c r="H52" s="5">
        <f>H48+H49+H50+H51</f>
        <v>57126</v>
      </c>
      <c r="I52" s="2">
        <f>I48+I49+I50+I51</f>
        <v>58362.69</v>
      </c>
      <c r="J52" s="6"/>
      <c r="K52" s="6"/>
    </row>
    <row r="53">
      <c r="A53" s="4" t="s">
        <v>512</v>
      </c>
      <c r="B53" s="1">
        <v>10493</v>
      </c>
      <c r="C53" s="1">
        <v>10086</v>
      </c>
      <c r="D53" s="1">
        <v>10415</v>
      </c>
      <c r="E53" s="1">
        <v>11871</v>
      </c>
      <c r="F53" s="7">
        <f>E53</f>
        <v>11871</v>
      </c>
      <c r="G53" s="1">
        <v>11410</v>
      </c>
      <c r="H53" s="1">
        <v>10969</v>
      </c>
      <c r="I53" s="14">
        <f>H53-'Income Statement'!I66</f>
        <v>10575.1</v>
      </c>
      <c r="J53" s="6" t="s">
        <v>468</v>
      </c>
      <c r="K53" s="6"/>
    </row>
    <row r="54">
      <c r="A54" s="27" t="s">
        <v>513</v>
      </c>
      <c r="B54" s="5">
        <f>B52+B53</f>
        <v>60305</v>
      </c>
      <c r="C54" s="5">
        <f>C52+C53</f>
        <v>60883</v>
      </c>
      <c r="D54" s="5">
        <f>D52+D53</f>
        <v>64596</v>
      </c>
      <c r="E54" s="5">
        <f>E52+E53</f>
        <v>66479</v>
      </c>
      <c r="F54" s="5">
        <f>F52+F53</f>
        <v>66479</v>
      </c>
      <c r="G54" s="5">
        <f>G52+G53</f>
        <v>66632</v>
      </c>
      <c r="H54" s="5">
        <f>H52+H53</f>
        <v>68095</v>
      </c>
      <c r="I54" s="2">
        <f>I52+I53</f>
        <v>68937.79000000001</v>
      </c>
      <c r="J54" s="6"/>
      <c r="K54" s="6"/>
    </row>
    <row r="55">
      <c r="A55" s="27" t="s">
        <v>514</v>
      </c>
      <c r="B55" s="5">
        <f>B46+B47+B54</f>
        <v>194264</v>
      </c>
      <c r="C55" s="5">
        <f>C46+C47+C54</f>
        <v>198830</v>
      </c>
      <c r="D55" s="5">
        <f>D46+D47+D54</f>
        <v>204354</v>
      </c>
      <c r="E55" s="5">
        <f>E46+E47+E54</f>
        <v>212721</v>
      </c>
      <c r="F55" s="5">
        <f>F46+F47+F54</f>
        <v>212721</v>
      </c>
      <c r="G55" s="5">
        <f>G46+G47+G54</f>
        <v>221424</v>
      </c>
      <c r="H55" s="5">
        <f>H46+H47+H54</f>
        <v>232807</v>
      </c>
      <c r="I55" s="2">
        <f>I46+I47+I54</f>
        <v>240710.2</v>
      </c>
      <c r="J55" s="6"/>
      <c r="K55" s="6"/>
    </row>
    <row r="56">
      <c r="A56" s="3"/>
      <c r="B56" s="3"/>
      <c r="C56" s="3"/>
      <c r="D56" s="3"/>
      <c r="E56" s="3"/>
      <c r="F56" s="3"/>
      <c r="G56" s="3"/>
      <c r="H56" s="3"/>
      <c r="I56" s="11"/>
      <c r="J56" s="6"/>
      <c r="K56" s="6"/>
    </row>
    <row r="57">
      <c r="A57" s="26" t="s">
        <v>120</v>
      </c>
      <c r="B57" s="3"/>
      <c r="C57" s="3"/>
      <c r="D57" s="3"/>
      <c r="E57" s="3"/>
      <c r="F57" s="3"/>
      <c r="G57" s="3"/>
      <c r="H57" s="3"/>
      <c r="I57" s="11"/>
      <c r="J57" s="6"/>
      <c r="K57" s="6"/>
    </row>
    <row r="58">
      <c r="A58" s="4" t="s">
        <v>515</v>
      </c>
      <c r="B58" s="1">
        <v>194264</v>
      </c>
      <c r="C58" s="1">
        <v>198830</v>
      </c>
      <c r="D58" s="1">
        <v>204354</v>
      </c>
      <c r="E58" s="1">
        <v>212721</v>
      </c>
      <c r="F58" s="7">
        <f>E58</f>
        <v>212721</v>
      </c>
      <c r="G58" s="1">
        <v>221424</v>
      </c>
      <c r="H58" s="1">
        <v>232807</v>
      </c>
      <c r="I58" s="10" t="s">
        <v>34</v>
      </c>
      <c r="J58" s="6" t="s">
        <v>239</v>
      </c>
      <c r="K58" s="6"/>
    </row>
    <row r="59">
      <c r="A59" s="4" t="s">
        <v>516</v>
      </c>
      <c r="B59" s="7">
        <f>B26-B46-B47-B54</f>
        <v>0</v>
      </c>
      <c r="C59" s="7">
        <f>C26-C46-C47-C54</f>
        <v>0</v>
      </c>
      <c r="D59" s="7">
        <f>D26-D46-D47-D54</f>
        <v>0</v>
      </c>
      <c r="E59" s="7">
        <f>E26-E46-E47-E54</f>
        <v>0</v>
      </c>
      <c r="F59" s="7">
        <f>F26-F46-F47-F54</f>
        <v>0</v>
      </c>
      <c r="G59" s="7">
        <f>G26-G46-G47-G54</f>
        <v>0</v>
      </c>
      <c r="H59" s="7">
        <f>H26-H46-H47-H54</f>
        <v>0</v>
      </c>
      <c r="I59" s="10">
        <f>I26-I46-I47-I54</f>
        <v>0</v>
      </c>
      <c r="J59" s="6" t="s">
        <v>517</v>
      </c>
      <c r="K59" s="6"/>
    </row>
    <row r="60">
      <c r="A60" s="4" t="s">
        <v>518</v>
      </c>
      <c r="B60" s="7">
        <f>B26-B58</f>
        <v>0</v>
      </c>
      <c r="C60" s="7">
        <f>C26-C58</f>
        <v>0</v>
      </c>
      <c r="D60" s="7">
        <f>D26-D58</f>
        <v>0</v>
      </c>
      <c r="E60" s="7">
        <f>E26-E58</f>
        <v>0</v>
      </c>
      <c r="F60" s="7">
        <f>F26-F58</f>
        <v>0</v>
      </c>
      <c r="G60" s="7">
        <f>G26-G58</f>
        <v>0</v>
      </c>
      <c r="H60" s="7">
        <f>H26-H58</f>
        <v>0</v>
      </c>
      <c r="I60" s="10"/>
      <c r="J60" s="6"/>
      <c r="K60" s="6"/>
    </row>
    <row r="61">
      <c r="A61" s="3"/>
      <c r="B61" s="3"/>
      <c r="C61" s="3"/>
      <c r="D61" s="3"/>
      <c r="E61" s="3"/>
      <c r="F61" s="3"/>
      <c r="G61" s="3"/>
      <c r="H61" s="3"/>
      <c r="I61" s="11"/>
      <c r="J61" s="6"/>
      <c r="K61" s="6"/>
    </row>
    <row r="62">
      <c r="A62" s="26" t="s">
        <v>519</v>
      </c>
      <c r="B62" s="3"/>
      <c r="C62" s="3"/>
      <c r="D62" s="3"/>
      <c r="E62" s="3"/>
      <c r="F62" s="3"/>
      <c r="G62" s="3"/>
      <c r="H62" s="3"/>
      <c r="I62" s="11"/>
      <c r="J62" s="6"/>
      <c r="K62" s="6"/>
    </row>
    <row r="63">
      <c r="A63" s="27" t="s">
        <v>520</v>
      </c>
      <c r="B63" s="5">
        <f>B28+B29+B30+B39</f>
        <v>89678</v>
      </c>
      <c r="C63" s="5">
        <f>C28+C29+C30+C39</f>
        <v>93189</v>
      </c>
      <c r="D63" s="5">
        <f>D28+D29+D30+D39</f>
        <v>93122</v>
      </c>
      <c r="E63" s="5">
        <f>E28+E29+E30+E39</f>
        <v>95619</v>
      </c>
      <c r="F63" s="5">
        <f>F28+F29+F30+F39</f>
        <v>95619</v>
      </c>
      <c r="G63" s="5">
        <f>G28+G29+G30+G39</f>
        <v>104403</v>
      </c>
      <c r="H63" s="5">
        <f>H28+H29+H30+H39</f>
        <v>110197</v>
      </c>
      <c r="I63" s="2">
        <f>I28+I29+I30+I39</f>
        <v>117057.41</v>
      </c>
      <c r="J63" s="6"/>
      <c r="K63" s="6"/>
    </row>
    <row r="64">
      <c r="A64" s="17" t="s">
        <v>521</v>
      </c>
      <c r="B64" s="16">
        <f>B63/(B63+B54)</f>
        <v>0.5979210977244087</v>
      </c>
      <c r="C64" s="16">
        <f>C63/(C63+C54)</f>
        <v>0.6048405940079963</v>
      </c>
      <c r="D64" s="16">
        <f>D63/(D63+D54)</f>
        <v>0.5904335586299598</v>
      </c>
      <c r="E64" s="16">
        <f>E63/(E63+E54)</f>
        <v>0.5898838973954028</v>
      </c>
      <c r="F64" s="16">
        <f>F63/(F63+F54)</f>
        <v>0.5898838973954028</v>
      </c>
      <c r="G64" s="16">
        <f>G63/(G63+G54)</f>
        <v>0.6104189201040723</v>
      </c>
      <c r="H64" s="16">
        <f>H63/(H63+H54)</f>
        <v>0.6180703564938416</v>
      </c>
      <c r="I64" s="15">
        <f>I63/(I63+I54)</f>
        <v>0.629357155453474</v>
      </c>
      <c r="J64" s="6"/>
      <c r="K64" s="6"/>
    </row>
    <row r="65">
      <c r="A65" s="4" t="s">
        <v>161</v>
      </c>
      <c r="B65" s="8" t="s">
        <v>34</v>
      </c>
      <c r="C65" s="8" t="s">
        <v>34</v>
      </c>
      <c r="D65" s="8" t="s">
        <v>34</v>
      </c>
      <c r="E65" s="8" t="s">
        <v>34</v>
      </c>
      <c r="F65" s="8" t="s">
        <v>34</v>
      </c>
      <c r="G65" s="8">
        <f>IF(OR(ISBLANK(G64),ISBLANK(B64)),"n/a",IFERROR((G64-B64)*10000,"n/a"))</f>
        <v>124.9782237966357</v>
      </c>
      <c r="H65" s="8">
        <f>IF(OR(ISBLANK(H64),ISBLANK(C64)),"n/a",IFERROR((H64-C64)*10000,"n/a"))</f>
        <v>132.29762485845288</v>
      </c>
      <c r="I65" s="30">
        <f>IF(OR(ISBLANK(I64),ISBLANK(D64)),"n/a",IFERROR((I64-D64)*10000,"n/a"))</f>
        <v>389.2359682351421</v>
      </c>
      <c r="J65" s="6"/>
      <c r="K65" s="6"/>
    </row>
    <row r="66">
      <c r="A66" s="4" t="s">
        <v>162</v>
      </c>
      <c r="B66" s="8" t="s">
        <v>34</v>
      </c>
      <c r="C66" s="8">
        <f>IF(OR(ISBLANK(C64),ISBLANK(B64)),"n/a",IFERROR((C64-B64)*10000,"n/a"))</f>
        <v>69.19496283587567</v>
      </c>
      <c r="D66" s="8">
        <f>IF(OR(ISBLANK(D64),ISBLANK(C64)),"n/a",IFERROR((D64-C64)*10000,"n/a"))</f>
        <v>-144.07035378036448</v>
      </c>
      <c r="E66" s="8">
        <f>IF(OR(ISBLANK(E64),ISBLANK(D64)),"n/a",IFERROR((E64-D64)*10000,"n/a"))</f>
        <v>-5.496612345570195</v>
      </c>
      <c r="F66" s="8" t="s">
        <v>34</v>
      </c>
      <c r="G66" s="8">
        <f>IF(OR(ISBLANK(G64),ISBLANK(E64)),"n/a",IFERROR((G64-E64)*10000,"n/a"))</f>
        <v>205.3502270866947</v>
      </c>
      <c r="H66" s="8">
        <f>IF(OR(ISBLANK(H64),ISBLANK(G64)),"n/a",IFERROR((H64-G64)*10000,"n/a"))</f>
        <v>76.51436389769285</v>
      </c>
      <c r="I66" s="30">
        <f>IF(OR(ISBLANK(I64),ISBLANK(H64)),"n/a",IFERROR((I64-H64)*10000,"n/a"))</f>
        <v>112.86798959632472</v>
      </c>
      <c r="J66" s="6"/>
      <c r="K66" s="6"/>
    </row>
    <row r="67">
      <c r="A67" s="3"/>
      <c r="B67" s="3"/>
      <c r="C67" s="3"/>
      <c r="D67" s="3"/>
      <c r="E67" s="3"/>
      <c r="F67" s="3"/>
      <c r="G67" s="3"/>
      <c r="H67" s="3"/>
      <c r="I67" s="11"/>
      <c r="J67" s="6"/>
      <c r="K67" s="6"/>
    </row>
    <row r="68">
      <c r="A68" s="3"/>
      <c r="B68" s="3"/>
      <c r="C68" s="3"/>
      <c r="D68" s="3"/>
      <c r="E68" s="3"/>
      <c r="F68" s="3"/>
      <c r="G68" s="3"/>
      <c r="H68" s="3"/>
      <c r="I68" s="11"/>
      <c r="J68" s="6"/>
      <c r="K68" s="6"/>
    </row>
    <row r="69">
      <c r="A69" s="3"/>
      <c r="B69" s="3"/>
      <c r="C69" s="3"/>
      <c r="D69" s="3"/>
      <c r="E69" s="3"/>
      <c r="F69" s="3"/>
      <c r="G69" s="3"/>
      <c r="H69" s="3"/>
      <c r="I69" s="11"/>
      <c r="J69" s="6"/>
      <c r="K69" s="6"/>
    </row>
  </sheetData>
</worksheet>
</file>

<file path=xl/worksheets/sheet7.xml><?xml version="1.0" encoding="utf-8"?>
<worksheet xmlns="http://schemas.openxmlformats.org/spreadsheetml/2006/main" xmlns:r="http://schemas.openxmlformats.org/officeDocument/2006/relationships">
  <dimension ref="A1:K132"/>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522</v>
      </c>
      <c r="B2" s="3"/>
      <c r="C2" s="3"/>
      <c r="D2" s="3"/>
      <c r="E2" s="3"/>
      <c r="F2" s="3"/>
      <c r="G2" s="3"/>
      <c r="H2" s="3"/>
      <c r="I2" s="3"/>
      <c r="J2" s="3"/>
      <c r="K2" s="3"/>
    </row>
    <row r="3">
      <c r="A3" s="37" t="s">
        <v>2</v>
      </c>
      <c r="B3" s="3"/>
      <c r="C3" s="3"/>
      <c r="D3" s="3"/>
      <c r="E3" s="3"/>
      <c r="F3" s="3"/>
      <c r="G3" s="3"/>
      <c r="H3" s="3"/>
      <c r="I3" s="3"/>
      <c r="J3" s="3"/>
      <c r="K3" s="3"/>
    </row>
    <row r="4">
      <c r="A4" s="12" t="s">
        <v>88</v>
      </c>
      <c r="B4" s="9" t="s">
        <v>89</v>
      </c>
      <c r="C4" s="9" t="s">
        <v>90</v>
      </c>
      <c r="D4" s="9" t="s">
        <v>91</v>
      </c>
      <c r="E4" s="9" t="s">
        <v>92</v>
      </c>
      <c r="F4" s="9" t="s">
        <v>93</v>
      </c>
      <c r="G4" s="9" t="s">
        <v>94</v>
      </c>
      <c r="H4" s="9" t="s">
        <v>95</v>
      </c>
      <c r="I4" s="9" t="s">
        <v>96</v>
      </c>
      <c r="J4" s="12" t="s">
        <v>4</v>
      </c>
      <c r="K4" s="3"/>
    </row>
    <row r="5">
      <c r="A5" s="28" t="s">
        <v>97</v>
      </c>
      <c r="B5" s="22">
        <f>DATE(2025,3,31)</f>
        <v>45747</v>
      </c>
      <c r="C5" s="22">
        <f>DATE(2025,6,30)</f>
        <v>45838</v>
      </c>
      <c r="D5" s="22">
        <f>DATE(2025,9,30)</f>
        <v>45930</v>
      </c>
      <c r="E5" s="22">
        <f>DATE(2025,12,31)</f>
        <v>46022</v>
      </c>
      <c r="F5" s="22">
        <f>DATE(2025,12,31)</f>
        <v>46022</v>
      </c>
      <c r="G5" s="22">
        <f>DATE(2026,3,31)</f>
        <v>46112</v>
      </c>
      <c r="H5" s="22">
        <f>DATE(2026,6,30)</f>
        <v>46203</v>
      </c>
      <c r="I5" s="22">
        <f>DATE(2026,9,30)</f>
        <v>46295</v>
      </c>
      <c r="J5" s="28"/>
      <c r="K5" s="3"/>
    </row>
    <row r="6">
      <c r="A6" s="33" t="s">
        <v>98</v>
      </c>
      <c r="B6" s="13">
        <f>B5-EOMONTH(B5,-3)</f>
        <v>90</v>
      </c>
      <c r="C6" s="13">
        <f>C5-EOMONTH(C5,-3)</f>
        <v>91</v>
      </c>
      <c r="D6" s="13">
        <f>D5-EOMONTH(D5,-3)</f>
        <v>92</v>
      </c>
      <c r="E6" s="13">
        <f>E5-EOMONTH(E5,-3)</f>
        <v>92</v>
      </c>
      <c r="F6" s="13">
        <f>F5-EOMONTH(F5,-12)</f>
        <v>365</v>
      </c>
      <c r="G6" s="13">
        <f>G5-EOMONTH(G5,-3)</f>
        <v>90</v>
      </c>
      <c r="H6" s="13">
        <f>H5-EOMONTH(H5,-3)</f>
        <v>91</v>
      </c>
      <c r="I6" s="13">
        <f>I5-EOMONTH(I5,-3)</f>
        <v>92</v>
      </c>
      <c r="J6" s="33"/>
      <c r="K6" s="3"/>
    </row>
    <row r="7">
      <c r="A7" s="3"/>
      <c r="B7" s="3"/>
      <c r="C7" s="3"/>
      <c r="D7" s="3"/>
      <c r="E7" s="3"/>
      <c r="F7" s="3"/>
      <c r="G7" s="3"/>
      <c r="H7" s="3"/>
      <c r="I7" s="11"/>
      <c r="J7" s="3"/>
      <c r="K7" s="3"/>
    </row>
    <row r="8">
      <c r="A8" s="26" t="s">
        <v>523</v>
      </c>
      <c r="B8" s="3"/>
      <c r="C8" s="3"/>
      <c r="D8" s="3"/>
      <c r="E8" s="3"/>
      <c r="F8" s="3"/>
      <c r="G8" s="3"/>
      <c r="H8" s="3"/>
      <c r="I8" s="11"/>
      <c r="J8" s="6"/>
      <c r="K8" s="6"/>
    </row>
    <row r="9">
      <c r="A9" s="26" t="s">
        <v>524</v>
      </c>
      <c r="B9" s="3"/>
      <c r="C9" s="3"/>
      <c r="D9" s="3"/>
      <c r="E9" s="3"/>
      <c r="F9" s="3"/>
      <c r="G9" s="3"/>
      <c r="H9" s="3"/>
      <c r="I9" s="11"/>
      <c r="J9" s="6"/>
      <c r="K9" s="6"/>
    </row>
    <row r="10">
      <c r="A10" s="4" t="s">
        <v>525</v>
      </c>
      <c r="B10" s="7">
        <f>B80</f>
        <v>464</v>
      </c>
      <c r="C10" s="7">
        <f>C80-B80</f>
        <v>1640</v>
      </c>
      <c r="D10" s="7">
        <f>D80-C80</f>
        <v>2135</v>
      </c>
      <c r="E10" s="7">
        <f>E80-D80</f>
        <v>1093</v>
      </c>
      <c r="F10" s="7">
        <f>SUM(B10:E10)</f>
        <v>5332</v>
      </c>
      <c r="G10" s="7">
        <f>G80</f>
        <v>1688</v>
      </c>
      <c r="H10" s="7">
        <f>H80-G80</f>
        <v>2621</v>
      </c>
      <c r="I10" s="14">
        <f>'Income Statement'!I65</f>
        <v>2142.7899999999995</v>
      </c>
      <c r="J10" s="6"/>
      <c r="K10" s="6"/>
    </row>
    <row r="11">
      <c r="A11" s="4" t="s">
        <v>363</v>
      </c>
      <c r="B11" s="7">
        <f>B81</f>
        <v>1095</v>
      </c>
      <c r="C11" s="7">
        <f>C81-B81</f>
        <v>1773</v>
      </c>
      <c r="D11" s="7">
        <f>D81-C81</f>
        <v>2096</v>
      </c>
      <c r="E11" s="7">
        <f>E81-D81</f>
        <v>1616</v>
      </c>
      <c r="F11" s="7">
        <f>SUM(B11:E11)</f>
        <v>6580</v>
      </c>
      <c r="G11" s="7">
        <f>G81</f>
        <v>1371</v>
      </c>
      <c r="H11" s="7">
        <f>H81-G81</f>
        <v>1757</v>
      </c>
      <c r="I11" s="14">
        <f>'Income Statement'!I20</f>
        <v>1846.8000000000002</v>
      </c>
      <c r="J11" s="6"/>
      <c r="K11" s="6"/>
    </row>
    <row r="12">
      <c r="A12" s="4" t="s">
        <v>526</v>
      </c>
      <c r="B12" s="7">
        <f>B82</f>
        <v>81</v>
      </c>
      <c r="C12" s="7">
        <f>C82-B82</f>
        <v>84</v>
      </c>
      <c r="D12" s="7">
        <f>D82-C82</f>
        <v>97</v>
      </c>
      <c r="E12" s="7">
        <f>E82-D82</f>
        <v>99</v>
      </c>
      <c r="F12" s="7">
        <f>SUM(B12:E12)</f>
        <v>361</v>
      </c>
      <c r="G12" s="7">
        <f>G82</f>
        <v>91</v>
      </c>
      <c r="H12" s="7">
        <f>H82-G82</f>
        <v>119</v>
      </c>
      <c r="I12" s="10">
        <f>I68</f>
        <v>110</v>
      </c>
      <c r="J12" s="6"/>
      <c r="K12" s="6"/>
    </row>
    <row r="13">
      <c r="A13" s="4" t="s">
        <v>527</v>
      </c>
      <c r="B13" s="7">
        <f>B83</f>
        <v>964</v>
      </c>
      <c r="C13" s="7">
        <f>C83-B83</f>
        <v>39</v>
      </c>
      <c r="D13" s="7">
        <f>D83-C83</f>
        <v>-204</v>
      </c>
      <c r="E13" s="7">
        <f>E83-D83</f>
        <v>-600</v>
      </c>
      <c r="F13" s="7">
        <f>SUM(B13:E13)</f>
        <v>199</v>
      </c>
      <c r="G13" s="7">
        <f>G83</f>
        <v>16</v>
      </c>
      <c r="H13" s="7">
        <f>H83-G83</f>
        <v>-688</v>
      </c>
      <c r="I13" s="14">
        <f>'Income Statement'!I77</f>
        <v>-150</v>
      </c>
      <c r="J13" s="6"/>
      <c r="K13" s="6"/>
    </row>
    <row r="14">
      <c r="A14" s="4" t="s">
        <v>528</v>
      </c>
      <c r="B14" s="7">
        <f>B84</f>
        <v>8</v>
      </c>
      <c r="C14" s="7">
        <f>C84-B84</f>
        <v>48</v>
      </c>
      <c r="D14" s="7">
        <f>D84-C84</f>
        <v>-29</v>
      </c>
      <c r="E14" s="7">
        <f>E84-D84</f>
        <v>83</v>
      </c>
      <c r="F14" s="7">
        <f>SUM(B14:E14)</f>
        <v>110</v>
      </c>
      <c r="G14" s="7">
        <f>G84</f>
        <v>-138</v>
      </c>
      <c r="H14" s="7">
        <f>H84-G84</f>
        <v>-147</v>
      </c>
      <c r="I14" s="38">
        <v>0</v>
      </c>
      <c r="J14" s="6"/>
      <c r="K14" s="6"/>
    </row>
    <row r="15">
      <c r="A15" s="4" t="s">
        <v>500</v>
      </c>
      <c r="B15" s="7">
        <f>B85</f>
        <v>-400</v>
      </c>
      <c r="C15" s="7">
        <f>C85-B85</f>
        <v>-112</v>
      </c>
      <c r="D15" s="7">
        <f>D85-C85</f>
        <v>52</v>
      </c>
      <c r="E15" s="7">
        <f>E85-D85</f>
        <v>913</v>
      </c>
      <c r="F15" s="7">
        <f>SUM(B15:E15)</f>
        <v>453</v>
      </c>
      <c r="G15" s="7">
        <f>G85</f>
        <v>409</v>
      </c>
      <c r="H15" s="7">
        <f>H85-G85</f>
        <v>210</v>
      </c>
      <c r="I15" s="38">
        <v>0</v>
      </c>
      <c r="J15" s="6"/>
      <c r="K15" s="6"/>
    </row>
    <row r="16">
      <c r="A16" s="4" t="s">
        <v>529</v>
      </c>
      <c r="B16" s="7">
        <f>B86</f>
        <v>-133</v>
      </c>
      <c r="C16" s="7">
        <f>C86-B86</f>
        <v>-26</v>
      </c>
      <c r="D16" s="7">
        <f>D86-C86</f>
        <v>142</v>
      </c>
      <c r="E16" s="7">
        <f>E86-D86</f>
        <v>-72</v>
      </c>
      <c r="F16" s="7">
        <f>SUM(B16:E16)</f>
        <v>-89</v>
      </c>
      <c r="G16" s="7">
        <f>G86</f>
        <v>-201</v>
      </c>
      <c r="H16" s="7">
        <f>H86-G86</f>
        <v>194</v>
      </c>
      <c r="I16" s="38">
        <v>0</v>
      </c>
      <c r="J16" s="6"/>
      <c r="K16" s="6"/>
    </row>
    <row r="17">
      <c r="A17" s="4" t="s">
        <v>530</v>
      </c>
      <c r="B17" s="7">
        <f>B87</f>
        <v>646</v>
      </c>
      <c r="C17" s="7">
        <f>C87-B87</f>
        <v>-177</v>
      </c>
      <c r="D17" s="7">
        <f>D87-C87</f>
        <v>-203</v>
      </c>
      <c r="E17" s="7">
        <f>E87-D87</f>
        <v>-82</v>
      </c>
      <c r="F17" s="7">
        <f>SUM(B17:E17)</f>
        <v>184</v>
      </c>
      <c r="G17" s="7">
        <f>G87</f>
        <v>-171</v>
      </c>
      <c r="H17" s="7">
        <f>H87-G87</f>
        <v>-333</v>
      </c>
      <c r="I17" s="14">
        <f>-'Income Statement'!I41</f>
        <v>-220</v>
      </c>
      <c r="J17" s="6"/>
      <c r="K17" s="6"/>
    </row>
    <row r="18">
      <c r="A18" s="4" t="s">
        <v>531</v>
      </c>
      <c r="B18" s="7">
        <f>B88</f>
        <v>123</v>
      </c>
      <c r="C18" s="7">
        <f>C88-B88</f>
        <v>58</v>
      </c>
      <c r="D18" s="7">
        <f>D88-C88</f>
        <v>172</v>
      </c>
      <c r="E18" s="7">
        <f>E88-D88</f>
        <v>93</v>
      </c>
      <c r="F18" s="7">
        <f>SUM(B18:E18)</f>
        <v>446</v>
      </c>
      <c r="G18" s="7">
        <f>G88</f>
        <v>100</v>
      </c>
      <c r="H18" s="7">
        <f>H88-G88</f>
        <v>113</v>
      </c>
      <c r="I18" s="10">
        <f>I69</f>
        <v>220</v>
      </c>
      <c r="J18" s="6"/>
      <c r="K18" s="6"/>
    </row>
    <row r="19">
      <c r="A19" s="4" t="s">
        <v>532</v>
      </c>
      <c r="B19" s="7">
        <f>B89</f>
        <v>-34</v>
      </c>
      <c r="C19" s="7">
        <f>C89-B89</f>
        <v>-121</v>
      </c>
      <c r="D19" s="7">
        <f>D89-C89</f>
        <v>-211</v>
      </c>
      <c r="E19" s="7">
        <f>E89-D89</f>
        <v>-73</v>
      </c>
      <c r="F19" s="7">
        <f>SUM(B19:E19)</f>
        <v>-439</v>
      </c>
      <c r="G19" s="7">
        <f>G89</f>
        <v>-257</v>
      </c>
      <c r="H19" s="7">
        <f>H89-G89</f>
        <v>-96</v>
      </c>
      <c r="I19" s="14">
        <f>-('Income Statement'!I30+'Income Statement'!I47)</f>
        <v>-210</v>
      </c>
      <c r="J19" s="6"/>
      <c r="K19" s="6"/>
    </row>
    <row r="20">
      <c r="A20" s="4" t="s">
        <v>533</v>
      </c>
      <c r="B20" s="7">
        <f>B90</f>
        <v>-177</v>
      </c>
      <c r="C20" s="7">
        <f>C90-B90</f>
        <v>-169</v>
      </c>
      <c r="D20" s="7">
        <f>D90-C90</f>
        <v>-72</v>
      </c>
      <c r="E20" s="7">
        <f>E90-D90</f>
        <v>-42</v>
      </c>
      <c r="F20" s="7">
        <f>SUM(B20:E20)</f>
        <v>-460</v>
      </c>
      <c r="G20" s="7">
        <f>G90</f>
        <v>-16</v>
      </c>
      <c r="H20" s="7">
        <f>H90-G90</f>
        <v>-3</v>
      </c>
      <c r="I20" s="38">
        <v>0</v>
      </c>
      <c r="J20" s="6"/>
      <c r="K20" s="6"/>
    </row>
    <row r="21">
      <c r="A21" s="4" t="s">
        <v>534</v>
      </c>
      <c r="B21" s="7">
        <f>B91</f>
        <v>0</v>
      </c>
      <c r="C21" s="7">
        <f>C91-B91</f>
        <v>0</v>
      </c>
      <c r="D21" s="7">
        <f>D91-C91</f>
        <v>0</v>
      </c>
      <c r="E21" s="7">
        <f>E91-D91</f>
        <v>-107</v>
      </c>
      <c r="F21" s="7">
        <f>SUM(B21:E21)</f>
        <v>-107</v>
      </c>
      <c r="G21" s="7">
        <f>G91</f>
        <v>0</v>
      </c>
      <c r="H21" s="7">
        <f>H91-G91</f>
        <v>0</v>
      </c>
      <c r="I21" s="38">
        <v>0</v>
      </c>
      <c r="J21" s="6"/>
      <c r="K21" s="6"/>
    </row>
    <row r="22">
      <c r="A22" s="4" t="s">
        <v>535</v>
      </c>
      <c r="B22" s="7">
        <f>B92</f>
        <v>122</v>
      </c>
      <c r="C22" s="7">
        <f>C92-B92</f>
        <v>108</v>
      </c>
      <c r="D22" s="7">
        <f>D92-C92</f>
        <v>7</v>
      </c>
      <c r="E22" s="7">
        <f>E92-D92</f>
        <v>51</v>
      </c>
      <c r="F22" s="7">
        <f>SUM(B22:E22)</f>
        <v>288</v>
      </c>
      <c r="G22" s="7">
        <f>G92</f>
        <v>312</v>
      </c>
      <c r="H22" s="7">
        <f>H92-G92</f>
        <v>-50</v>
      </c>
      <c r="I22" s="10">
        <f>I70</f>
        <v>200</v>
      </c>
      <c r="J22" s="6"/>
      <c r="K22" s="6"/>
    </row>
    <row r="23">
      <c r="A23" s="4" t="s">
        <v>536</v>
      </c>
      <c r="B23" s="7">
        <f>B93</f>
        <v>222</v>
      </c>
      <c r="C23" s="7">
        <f>C93-B93</f>
        <v>-723</v>
      </c>
      <c r="D23" s="7">
        <f>D93-C93</f>
        <v>-174</v>
      </c>
      <c r="E23" s="7">
        <f>E93-D93</f>
        <v>-245</v>
      </c>
      <c r="F23" s="7">
        <f>SUM(B23:E23)</f>
        <v>-920</v>
      </c>
      <c r="G23" s="7">
        <f>G93</f>
        <v>-368</v>
      </c>
      <c r="H23" s="7">
        <f>H93-G93</f>
        <v>-490</v>
      </c>
      <c r="I23" s="38">
        <v>0</v>
      </c>
      <c r="J23" s="6"/>
      <c r="K23" s="6"/>
    </row>
    <row r="24">
      <c r="A24" s="4" t="s">
        <v>537</v>
      </c>
      <c r="B24" s="7">
        <f>B94</f>
        <v>-61</v>
      </c>
      <c r="C24" s="7">
        <f>C94-B94</f>
        <v>-122</v>
      </c>
      <c r="D24" s="7">
        <f>D94-C94</f>
        <v>-163</v>
      </c>
      <c r="E24" s="7">
        <f>E94-D94</f>
        <v>-94</v>
      </c>
      <c r="F24" s="7">
        <f>SUM(B24:E24)</f>
        <v>-440</v>
      </c>
      <c r="G24" s="7">
        <f>G94</f>
        <v>-114</v>
      </c>
      <c r="H24" s="7">
        <f>H94-G94</f>
        <v>-108</v>
      </c>
      <c r="I24" s="38">
        <v>0</v>
      </c>
      <c r="J24" s="6"/>
      <c r="K24" s="6"/>
    </row>
    <row r="25">
      <c r="A25" s="4" t="s">
        <v>538</v>
      </c>
      <c r="B25" s="7">
        <f>B95</f>
        <v>-259</v>
      </c>
      <c r="C25" s="7">
        <f>C95-B95</f>
        <v>780</v>
      </c>
      <c r="D25" s="7">
        <f>D95-C95</f>
        <v>285</v>
      </c>
      <c r="E25" s="7">
        <f>E95-D95</f>
        <v>-319</v>
      </c>
      <c r="F25" s="7">
        <f>SUM(B25:E25)</f>
        <v>487</v>
      </c>
      <c r="G25" s="7">
        <f>G95</f>
        <v>-288</v>
      </c>
      <c r="H25" s="7">
        <f>H95-G95</f>
        <v>1511</v>
      </c>
      <c r="I25" s="38">
        <v>0</v>
      </c>
      <c r="J25" s="6"/>
      <c r="K25" s="6"/>
    </row>
    <row r="26">
      <c r="A26" s="4" t="s">
        <v>539</v>
      </c>
      <c r="B26" s="7">
        <f>B96</f>
        <v>108</v>
      </c>
      <c r="C26" s="7">
        <f>C96-B96</f>
        <v>109</v>
      </c>
      <c r="D26" s="7">
        <f>D96-C96</f>
        <v>98</v>
      </c>
      <c r="E26" s="7">
        <f>E96-D96</f>
        <v>185</v>
      </c>
      <c r="F26" s="7">
        <f>SUM(B26:E26)</f>
        <v>500</v>
      </c>
      <c r="G26" s="7">
        <f>G96</f>
        <v>180</v>
      </c>
      <c r="H26" s="7">
        <f>H96-G96</f>
        <v>52</v>
      </c>
      <c r="I26" s="38">
        <v>0</v>
      </c>
      <c r="J26" s="6"/>
      <c r="K26" s="6"/>
    </row>
    <row r="27">
      <c r="A27" s="27" t="s">
        <v>540</v>
      </c>
      <c r="B27" s="5">
        <f>B10+B11+B12+B13+B14+B15+B16+B17+B18+B19+B20+B21+B22+B23+B24+B25+B26</f>
        <v>2769</v>
      </c>
      <c r="C27" s="5">
        <f>C10+C11+C12+C13+C14+C15+C16+C17+C18+C19+C20+C21+C22+C23+C24+C25+C26</f>
        <v>3189</v>
      </c>
      <c r="D27" s="5">
        <f>D10+D11+D12+D13+D14+D15+D16+D17+D18+D19+D20+D21+D22+D23+D24+D25+D26</f>
        <v>4028</v>
      </c>
      <c r="E27" s="5">
        <f>E10+E11+E12+E13+E14+E15+E16+E17+E18+E19+E20+E21+E22+E23+E24+E25+E26</f>
        <v>2499</v>
      </c>
      <c r="F27" s="5">
        <f>F10+F11+F12+F13+F14+F15+F16+F17+F18+F19+F20+F21+F22+F23+F24+F25+F26</f>
        <v>12485</v>
      </c>
      <c r="G27" s="5">
        <f>G10+G11+G12+G13+G14+G15+G16+G17+G18+G19+G20+G21+G22+G23+G24+G25+G26</f>
        <v>2614</v>
      </c>
      <c r="H27" s="5">
        <f>H10+H11+H12+H13+H14+H15+H16+H17+H18+H19+H20+H21+H22+H23+H24+H25+H26</f>
        <v>4662</v>
      </c>
      <c r="I27" s="2">
        <f>I10+I11+I12+I13+I14+I15+I16+I17+I18+I19+I20+I21+I22+I23+I24+I25+I26</f>
        <v>3939.59</v>
      </c>
      <c r="J27" s="6"/>
      <c r="K27" s="6"/>
    </row>
    <row r="28">
      <c r="A28" s="26" t="s">
        <v>541</v>
      </c>
      <c r="B28" s="3"/>
      <c r="C28" s="3"/>
      <c r="D28" s="3"/>
      <c r="E28" s="3"/>
      <c r="F28" s="3"/>
      <c r="G28" s="3"/>
      <c r="H28" s="3"/>
      <c r="I28" s="11"/>
      <c r="J28" s="6"/>
      <c r="K28" s="6"/>
    </row>
    <row r="29">
      <c r="A29" s="4" t="s">
        <v>542</v>
      </c>
      <c r="B29" s="7">
        <f>B99</f>
        <v>-2341</v>
      </c>
      <c r="C29" s="7">
        <f>C99-B99</f>
        <v>-1944</v>
      </c>
      <c r="D29" s="7">
        <f>D99-C99</f>
        <v>-2451</v>
      </c>
      <c r="E29" s="7">
        <f>E99-D99</f>
        <v>-1983</v>
      </c>
      <c r="F29" s="7">
        <f>SUM(B29:E29)</f>
        <v>-8719</v>
      </c>
      <c r="G29" s="7">
        <f>G99</f>
        <v>-3046</v>
      </c>
      <c r="H29" s="7">
        <f>H99-G99</f>
        <v>-2734</v>
      </c>
      <c r="I29" s="10">
        <f>-I71</f>
        <v>-3200</v>
      </c>
      <c r="J29" s="6"/>
      <c r="K29" s="6"/>
    </row>
    <row r="30">
      <c r="A30" s="4" t="s">
        <v>543</v>
      </c>
      <c r="B30" s="7">
        <f>B100</f>
        <v>-5441</v>
      </c>
      <c r="C30" s="7">
        <f>C100-B100</f>
        <v>-3615</v>
      </c>
      <c r="D30" s="7">
        <f>D100-C100</f>
        <v>-3220</v>
      </c>
      <c r="E30" s="7">
        <f>E100-D100</f>
        <v>-3056</v>
      </c>
      <c r="F30" s="7">
        <f>SUM(B30:E30)</f>
        <v>-15332</v>
      </c>
      <c r="G30" s="7">
        <f>G100</f>
        <v>-7868</v>
      </c>
      <c r="H30" s="7">
        <f>H100-G100</f>
        <v>-5470</v>
      </c>
      <c r="I30" s="10">
        <f>-I72</f>
        <v>-6500</v>
      </c>
      <c r="J30" s="6"/>
      <c r="K30" s="6"/>
    </row>
    <row r="31">
      <c r="A31" s="4" t="s">
        <v>544</v>
      </c>
      <c r="B31" s="7">
        <f>B101</f>
        <v>-153</v>
      </c>
      <c r="C31" s="7">
        <f>C101-B101</f>
        <v>-126</v>
      </c>
      <c r="D31" s="7">
        <f>D101-C101</f>
        <v>-32</v>
      </c>
      <c r="E31" s="7">
        <f>E101-D101</f>
        <v>-242</v>
      </c>
      <c r="F31" s="7">
        <f>SUM(B31:E31)</f>
        <v>-553</v>
      </c>
      <c r="G31" s="7">
        <f>G101</f>
        <v>-144</v>
      </c>
      <c r="H31" s="7">
        <f>H101-G101</f>
        <v>-119</v>
      </c>
      <c r="I31" s="10">
        <f>-I73</f>
        <v>-100</v>
      </c>
      <c r="J31" s="6"/>
      <c r="K31" s="6"/>
    </row>
    <row r="32">
      <c r="A32" s="4" t="s">
        <v>545</v>
      </c>
      <c r="B32" s="7">
        <f>B102</f>
        <v>-7</v>
      </c>
      <c r="C32" s="7">
        <f>C102-B102</f>
        <v>1</v>
      </c>
      <c r="D32" s="7">
        <f>D102-C102</f>
        <v>1</v>
      </c>
      <c r="E32" s="7">
        <f>E102-D102</f>
        <v>3</v>
      </c>
      <c r="F32" s="7">
        <f>SUM(B32:E32)</f>
        <v>-2</v>
      </c>
      <c r="G32" s="7">
        <f>G102</f>
        <v>-4</v>
      </c>
      <c r="H32" s="7">
        <f>H102-G102</f>
        <v>-4</v>
      </c>
      <c r="I32" s="38">
        <v>0</v>
      </c>
      <c r="J32" s="6"/>
      <c r="K32" s="6"/>
    </row>
    <row r="33">
      <c r="A33" s="4" t="s">
        <v>546</v>
      </c>
      <c r="B33" s="7">
        <f>B103</f>
        <v>238</v>
      </c>
      <c r="C33" s="7">
        <f>C103-B103</f>
        <v>71</v>
      </c>
      <c r="D33" s="7">
        <f>D103-C103</f>
        <v>690</v>
      </c>
      <c r="E33" s="7">
        <f>E103-D103</f>
        <v>116</v>
      </c>
      <c r="F33" s="7">
        <f>SUM(B33:E33)</f>
        <v>1115</v>
      </c>
      <c r="G33" s="7">
        <f>G103</f>
        <v>340</v>
      </c>
      <c r="H33" s="7">
        <f>H103-G103</f>
        <v>108</v>
      </c>
      <c r="I33" s="10">
        <f>I74</f>
        <v>300</v>
      </c>
      <c r="J33" s="6"/>
      <c r="K33" s="6"/>
    </row>
    <row r="34">
      <c r="A34" s="4" t="s">
        <v>547</v>
      </c>
      <c r="B34" s="7">
        <f>B104</f>
        <v>1257</v>
      </c>
      <c r="C34" s="7">
        <f>C104-B104</f>
        <v>1553</v>
      </c>
      <c r="D34" s="7">
        <f>D104-C104</f>
        <v>1387</v>
      </c>
      <c r="E34" s="7">
        <f>E104-D104</f>
        <v>1204</v>
      </c>
      <c r="F34" s="7">
        <f>SUM(B34:E34)</f>
        <v>5401</v>
      </c>
      <c r="G34" s="7">
        <f>G104</f>
        <v>1506</v>
      </c>
      <c r="H34" s="7">
        <f>H104-G104</f>
        <v>1746</v>
      </c>
      <c r="I34" s="38">
        <v>0</v>
      </c>
      <c r="J34" s="6"/>
      <c r="K34" s="6"/>
    </row>
    <row r="35">
      <c r="A35" s="4" t="s">
        <v>548</v>
      </c>
      <c r="B35" s="7">
        <f>B105</f>
        <v>-1292</v>
      </c>
      <c r="C35" s="7">
        <f>C105-B105</f>
        <v>-1768</v>
      </c>
      <c r="D35" s="7">
        <f>D105-C105</f>
        <v>-1510</v>
      </c>
      <c r="E35" s="7">
        <f>E105-D105</f>
        <v>-1323</v>
      </c>
      <c r="F35" s="7">
        <f>SUM(B35:E35)</f>
        <v>-5893</v>
      </c>
      <c r="G35" s="7">
        <f>G105</f>
        <v>-1650</v>
      </c>
      <c r="H35" s="7">
        <f>H105-G105</f>
        <v>-1832</v>
      </c>
      <c r="I35" s="38">
        <v>0</v>
      </c>
      <c r="J35" s="6"/>
      <c r="K35" s="6"/>
    </row>
    <row r="36">
      <c r="A36" s="4" t="s">
        <v>549</v>
      </c>
      <c r="B36" s="7">
        <f>B106</f>
        <v>15</v>
      </c>
      <c r="C36" s="7">
        <f>C106-B106</f>
        <v>7</v>
      </c>
      <c r="D36" s="7">
        <f>D106-C106</f>
        <v>27</v>
      </c>
      <c r="E36" s="7">
        <f>E106-D106</f>
        <v>69</v>
      </c>
      <c r="F36" s="7">
        <f>SUM(B36:E36)</f>
        <v>118</v>
      </c>
      <c r="G36" s="7">
        <f>G106</f>
        <v>45</v>
      </c>
      <c r="H36" s="7">
        <f>H106-G106</f>
        <v>13</v>
      </c>
      <c r="I36" s="38">
        <v>0</v>
      </c>
      <c r="J36" s="6"/>
      <c r="K36" s="6"/>
    </row>
    <row r="37">
      <c r="A37" s="27" t="s">
        <v>550</v>
      </c>
      <c r="B37" s="5">
        <f>B29+B30+B31+B32+B33+B34+B35+B36</f>
        <v>-7724</v>
      </c>
      <c r="C37" s="5">
        <f>C29+C30+C31+C32+C33+C34+C35+C36</f>
        <v>-5821</v>
      </c>
      <c r="D37" s="5">
        <f>D29+D30+D31+D32+D33+D34+D35+D36</f>
        <v>-5108</v>
      </c>
      <c r="E37" s="5">
        <f>E29+E30+E31+E32+E33+E34+E35+E36</f>
        <v>-5212</v>
      </c>
      <c r="F37" s="5">
        <f>F29+F30+F31+F32+F33+F34+F35+F36</f>
        <v>-23865</v>
      </c>
      <c r="G37" s="5">
        <f>G29+G30+G31+G32+G33+G34+G35+G36</f>
        <v>-10821</v>
      </c>
      <c r="H37" s="5">
        <f>H29+H30+H31+H32+H33+H34+H35+H36</f>
        <v>-8292</v>
      </c>
      <c r="I37" s="2">
        <f>I29+I30+I31+I32+I33+I34+I35+I36</f>
        <v>-9500</v>
      </c>
      <c r="J37" s="6"/>
      <c r="K37" s="6"/>
    </row>
    <row r="38">
      <c r="A38" s="26" t="s">
        <v>551</v>
      </c>
      <c r="B38" s="3"/>
      <c r="C38" s="3"/>
      <c r="D38" s="3"/>
      <c r="E38" s="3"/>
      <c r="F38" s="3"/>
      <c r="G38" s="3"/>
      <c r="H38" s="3"/>
      <c r="I38" s="11"/>
      <c r="J38" s="6"/>
      <c r="K38" s="6"/>
    </row>
    <row r="39">
      <c r="A39" s="4" t="s">
        <v>552</v>
      </c>
      <c r="B39" s="7">
        <f>B109</f>
        <v>9840</v>
      </c>
      <c r="C39" s="7">
        <f>C109-B109</f>
        <v>3156</v>
      </c>
      <c r="D39" s="7">
        <f>D109-C109</f>
        <v>2250</v>
      </c>
      <c r="E39" s="7">
        <f>E109-D109</f>
        <v>8148</v>
      </c>
      <c r="F39" s="7">
        <f>SUM(B39:E39)</f>
        <v>23394</v>
      </c>
      <c r="G39" s="7">
        <f>G109</f>
        <v>8307</v>
      </c>
      <c r="H39" s="7">
        <f>H109-G109</f>
        <v>7259</v>
      </c>
      <c r="I39" s="10">
        <f>I76-I53-(I10+I11+I12+I13+I14+I15+I16+I17+I18+I19+I20+I21+I22+I23+I24+I25+I26+I29+I30+I31+I32+I33+I34+I35+I36+I40+I41+I42+I43+I44+I45+I46+I47+I48+I49+I51)</f>
        <v>6860.41</v>
      </c>
      <c r="J39" s="6" t="s">
        <v>553</v>
      </c>
      <c r="K39" s="6"/>
    </row>
    <row r="40">
      <c r="A40" s="4" t="s">
        <v>554</v>
      </c>
      <c r="B40" s="7">
        <f>B110</f>
        <v>-2852</v>
      </c>
      <c r="C40" s="7">
        <f>C110-B110</f>
        <v>-2308</v>
      </c>
      <c r="D40" s="7">
        <f>D110-C110</f>
        <v>-2386</v>
      </c>
      <c r="E40" s="7">
        <f>E110-D110</f>
        <v>-2801</v>
      </c>
      <c r="F40" s="7">
        <f>SUM(B40:E40)</f>
        <v>-10347</v>
      </c>
      <c r="G40" s="7">
        <f>G110</f>
        <v>-3100</v>
      </c>
      <c r="H40" s="7">
        <f>H110-G110</f>
        <v>-932</v>
      </c>
      <c r="I40" s="38">
        <v>0</v>
      </c>
      <c r="J40" s="6"/>
      <c r="K40" s="6"/>
    </row>
    <row r="41">
      <c r="A41" s="4" t="s">
        <v>555</v>
      </c>
      <c r="B41" s="7">
        <f>B111</f>
        <v>0</v>
      </c>
      <c r="C41" s="7">
        <f>C111-B111</f>
        <v>0</v>
      </c>
      <c r="D41" s="7">
        <f>D111-C111</f>
        <v>1065</v>
      </c>
      <c r="E41" s="7">
        <f>E111-D111</f>
        <v>2211</v>
      </c>
      <c r="F41" s="7">
        <f>SUM(B41:E41)</f>
        <v>3276</v>
      </c>
      <c r="G41" s="7">
        <f>G111</f>
        <v>0</v>
      </c>
      <c r="H41" s="7">
        <f>H111-G111</f>
        <v>0</v>
      </c>
      <c r="I41" s="38">
        <v>0</v>
      </c>
      <c r="J41" s="6"/>
      <c r="K41" s="6"/>
    </row>
    <row r="42">
      <c r="A42" s="4" t="s">
        <v>556</v>
      </c>
      <c r="B42" s="7">
        <f>B112</f>
        <v>0</v>
      </c>
      <c r="C42" s="7">
        <f>C112-B112</f>
        <v>0</v>
      </c>
      <c r="D42" s="7">
        <f>D112-C112</f>
        <v>-166</v>
      </c>
      <c r="E42" s="7">
        <f>E112-D112</f>
        <v>-350</v>
      </c>
      <c r="F42" s="7">
        <f>SUM(B42:E42)</f>
        <v>-516</v>
      </c>
      <c r="G42" s="7">
        <f>G112</f>
        <v>0</v>
      </c>
      <c r="H42" s="7">
        <f>H112-G112</f>
        <v>0</v>
      </c>
      <c r="I42" s="38">
        <v>0</v>
      </c>
      <c r="J42" s="6"/>
      <c r="K42" s="6"/>
    </row>
    <row r="43">
      <c r="A43" s="4" t="s">
        <v>557</v>
      </c>
      <c r="B43" s="7">
        <f>B113</f>
        <v>335</v>
      </c>
      <c r="C43" s="7">
        <f>C113-B113</f>
        <v>2022</v>
      </c>
      <c r="D43" s="7">
        <f>D113-C113</f>
        <v>235</v>
      </c>
      <c r="E43" s="7">
        <f>E113-D113</f>
        <v>-2307</v>
      </c>
      <c r="F43" s="7">
        <f>SUM(B43:E43)</f>
        <v>285</v>
      </c>
      <c r="G43" s="7">
        <f>G113</f>
        <v>3405</v>
      </c>
      <c r="H43" s="7">
        <f>H113-G113</f>
        <v>-3624</v>
      </c>
      <c r="I43" s="38">
        <v>0</v>
      </c>
      <c r="J43" s="6"/>
      <c r="K43" s="6"/>
    </row>
    <row r="44">
      <c r="A44" s="4" t="s">
        <v>558</v>
      </c>
      <c r="B44" s="7">
        <f>B114</f>
        <v>850</v>
      </c>
      <c r="C44" s="7">
        <f>C114-B114</f>
        <v>550</v>
      </c>
      <c r="D44" s="7">
        <f>D114-C114</f>
        <v>550</v>
      </c>
      <c r="E44" s="7">
        <f>E114-D114</f>
        <v>608</v>
      </c>
      <c r="F44" s="7">
        <f>SUM(B44:E44)</f>
        <v>2558</v>
      </c>
      <c r="G44" s="7">
        <f>G114</f>
        <v>650</v>
      </c>
      <c r="H44" s="7">
        <f>H114-G114</f>
        <v>3000</v>
      </c>
      <c r="I44" s="38">
        <v>0</v>
      </c>
      <c r="J44" s="6"/>
      <c r="K44" s="6"/>
    </row>
    <row r="45">
      <c r="A45" s="4" t="s">
        <v>559</v>
      </c>
      <c r="B45" s="7">
        <f>B115</f>
        <v>-850</v>
      </c>
      <c r="C45" s="7">
        <f>C115-B115</f>
        <v>0</v>
      </c>
      <c r="D45" s="7">
        <f>D115-C115</f>
        <v>-217</v>
      </c>
      <c r="E45" s="7">
        <f>E115-D115</f>
        <v>-1100</v>
      </c>
      <c r="F45" s="7">
        <f>SUM(B45:E45)</f>
        <v>-2167</v>
      </c>
      <c r="G45" s="7">
        <f>G115</f>
        <v>0</v>
      </c>
      <c r="H45" s="7">
        <f>H115-G115</f>
        <v>0</v>
      </c>
      <c r="I45" s="38">
        <v>0</v>
      </c>
      <c r="J45" s="6"/>
      <c r="K45" s="6"/>
    </row>
    <row r="46">
      <c r="A46" s="4" t="s">
        <v>560</v>
      </c>
      <c r="B46" s="7">
        <f>B116</f>
        <v>-45</v>
      </c>
      <c r="C46" s="7">
        <f>C116-B116</f>
        <v>-84</v>
      </c>
      <c r="D46" s="7">
        <f>D116-C116</f>
        <v>1</v>
      </c>
      <c r="E46" s="7">
        <f>E116-D116</f>
        <v>-3</v>
      </c>
      <c r="F46" s="7">
        <f>SUM(B46:E46)</f>
        <v>-131</v>
      </c>
      <c r="G46" s="7">
        <f>G116</f>
        <v>-2</v>
      </c>
      <c r="H46" s="7">
        <f>H116-G116</f>
        <v>15</v>
      </c>
      <c r="I46" s="38">
        <v>0</v>
      </c>
      <c r="J46" s="6"/>
      <c r="K46" s="6"/>
    </row>
    <row r="47">
      <c r="A47" s="4" t="s">
        <v>561</v>
      </c>
      <c r="B47" s="7">
        <f>B117</f>
        <v>11</v>
      </c>
      <c r="C47" s="7">
        <f>C117-B117</f>
        <v>11</v>
      </c>
      <c r="D47" s="7">
        <f>D117-C117</f>
        <v>2006</v>
      </c>
      <c r="E47" s="7">
        <f>E117-D117</f>
        <v>10</v>
      </c>
      <c r="F47" s="7">
        <f>SUM(B47:E47)</f>
        <v>2038</v>
      </c>
      <c r="G47" s="7">
        <f>G117</f>
        <v>23</v>
      </c>
      <c r="H47" s="7">
        <f>H117-G117</f>
        <v>8</v>
      </c>
      <c r="I47" s="38">
        <v>0</v>
      </c>
      <c r="J47" s="6"/>
      <c r="K47" s="6"/>
    </row>
    <row r="48">
      <c r="A48" s="4" t="s">
        <v>562</v>
      </c>
      <c r="B48" s="7">
        <f>B118</f>
        <v>-1166</v>
      </c>
      <c r="C48" s="7">
        <f>C118-B118</f>
        <v>-1166</v>
      </c>
      <c r="D48" s="7">
        <f>D118-C118</f>
        <v>-1167</v>
      </c>
      <c r="E48" s="7">
        <f>E118-D118</f>
        <v>-1181</v>
      </c>
      <c r="F48" s="7">
        <f>SUM(B48:E48)</f>
        <v>-4680</v>
      </c>
      <c r="G48" s="7">
        <f>G118</f>
        <v>-1300</v>
      </c>
      <c r="H48" s="7">
        <f>H118-G118</f>
        <v>-1299</v>
      </c>
      <c r="I48" s="10">
        <f>-I75</f>
        <v>-1300</v>
      </c>
      <c r="J48" s="6"/>
      <c r="K48" s="6"/>
    </row>
    <row r="49">
      <c r="A49" s="4" t="s">
        <v>563</v>
      </c>
      <c r="B49" s="7">
        <f>B119</f>
        <v>-20</v>
      </c>
      <c r="C49" s="7">
        <f>C119-B119</f>
        <v>-124</v>
      </c>
      <c r="D49" s="7">
        <f>D119-C119</f>
        <v>-355</v>
      </c>
      <c r="E49" s="7">
        <f>E119-D119</f>
        <v>-232</v>
      </c>
      <c r="F49" s="7">
        <f>SUM(B49:E49)</f>
        <v>-731</v>
      </c>
      <c r="G49" s="7">
        <f>G119</f>
        <v>-304</v>
      </c>
      <c r="H49" s="7">
        <f>H119-G119</f>
        <v>-49</v>
      </c>
      <c r="I49" s="38">
        <v>0</v>
      </c>
      <c r="J49" s="6"/>
      <c r="K49" s="6"/>
    </row>
    <row r="50">
      <c r="A50" s="27" t="s">
        <v>564</v>
      </c>
      <c r="B50" s="5">
        <f>B39+B40+B41+B42+B43+B44+B45+B46+B47+B48+B49</f>
        <v>6103</v>
      </c>
      <c r="C50" s="5">
        <f>C39+C40+C41+C42+C43+C44+C45+C46+C47+C48+C49</f>
        <v>2057</v>
      </c>
      <c r="D50" s="5">
        <f>D39+D40+D41+D42+D43+D44+D45+D46+D47+D48+D49</f>
        <v>1816</v>
      </c>
      <c r="E50" s="5">
        <f>E39+E40+E41+E42+E43+E44+E45+E46+E47+E48+E49</f>
        <v>3003</v>
      </c>
      <c r="F50" s="5">
        <f>F39+F40+F41+F42+F43+F44+F45+F46+F47+F48+F49</f>
        <v>12979</v>
      </c>
      <c r="G50" s="5">
        <f>G39+G40+G41+G42+G43+G44+G45+G46+G47+G48+G49</f>
        <v>7679</v>
      </c>
      <c r="H50" s="5">
        <f>H39+H40+H41+H42+H43+H44+H45+H46+H47+H48+H49</f>
        <v>4378</v>
      </c>
      <c r="I50" s="2">
        <f>I39+I40+I41+I42+I43+I44+I45+I46+I47+I48+I49</f>
        <v>5560.41</v>
      </c>
      <c r="J50" s="6"/>
      <c r="K50" s="6"/>
    </row>
    <row r="51">
      <c r="A51" s="4" t="s">
        <v>565</v>
      </c>
      <c r="B51" s="7">
        <f>B121</f>
        <v>0</v>
      </c>
      <c r="C51" s="7">
        <f>C121-B121</f>
        <v>7</v>
      </c>
      <c r="D51" s="7">
        <f>D121-C121</f>
        <v>-4</v>
      </c>
      <c r="E51" s="7">
        <f>E121-D121</f>
        <v>2</v>
      </c>
      <c r="F51" s="7">
        <f>SUM(B51:E51)</f>
        <v>5</v>
      </c>
      <c r="G51" s="7">
        <f>G121</f>
        <v>-3</v>
      </c>
      <c r="H51" s="7">
        <f>H121-G121</f>
        <v>-1</v>
      </c>
      <c r="I51" s="38">
        <v>0</v>
      </c>
      <c r="J51" s="6"/>
      <c r="K51" s="6"/>
    </row>
    <row r="52">
      <c r="A52" s="27" t="s">
        <v>566</v>
      </c>
      <c r="B52" s="5">
        <f>B27+B37+B50+B51</f>
        <v>1148</v>
      </c>
      <c r="C52" s="5">
        <f>C27+C37+C50+C51</f>
        <v>-568</v>
      </c>
      <c r="D52" s="5">
        <f>D27+D37+D50+D51</f>
        <v>732</v>
      </c>
      <c r="E52" s="5">
        <f>E27+E37+E50+E51</f>
        <v>292</v>
      </c>
      <c r="F52" s="5">
        <f>F27+F37+F50+F51</f>
        <v>1604</v>
      </c>
      <c r="G52" s="5">
        <f>G27+G37+G50+G51</f>
        <v>-531</v>
      </c>
      <c r="H52" s="5">
        <f>H27+H37+H50+H51</f>
        <v>747</v>
      </c>
      <c r="I52" s="2">
        <f>I27+I37+I50+I51</f>
        <v>0</v>
      </c>
      <c r="J52" s="6"/>
      <c r="K52" s="6"/>
    </row>
    <row r="53">
      <c r="A53" s="4" t="s">
        <v>567</v>
      </c>
      <c r="B53" s="7">
        <f>B123</f>
        <v>1402</v>
      </c>
      <c r="C53" s="7">
        <f>B54</f>
        <v>2550</v>
      </c>
      <c r="D53" s="7">
        <f>C54</f>
        <v>1982</v>
      </c>
      <c r="E53" s="7">
        <f>D54</f>
        <v>2714</v>
      </c>
      <c r="F53" s="7">
        <f>B53</f>
        <v>1402</v>
      </c>
      <c r="G53" s="7">
        <f>G123</f>
        <v>3006</v>
      </c>
      <c r="H53" s="7">
        <f>G54</f>
        <v>2475</v>
      </c>
      <c r="I53" s="10">
        <f>H54</f>
        <v>3222</v>
      </c>
      <c r="J53" s="6"/>
      <c r="K53" s="6"/>
    </row>
    <row r="54">
      <c r="A54" s="27" t="s">
        <v>568</v>
      </c>
      <c r="B54" s="5">
        <f>B53+B52</f>
        <v>2550</v>
      </c>
      <c r="C54" s="5">
        <f>C53+C52</f>
        <v>1982</v>
      </c>
      <c r="D54" s="5">
        <f>D53+D52</f>
        <v>2714</v>
      </c>
      <c r="E54" s="5">
        <f>E53+E52</f>
        <v>3006</v>
      </c>
      <c r="F54" s="5">
        <f>F53+F52</f>
        <v>3006</v>
      </c>
      <c r="G54" s="5">
        <f>G53+G52</f>
        <v>2475</v>
      </c>
      <c r="H54" s="5">
        <f>H53+H52</f>
        <v>3222</v>
      </c>
      <c r="I54" s="2">
        <f>I53+I52</f>
        <v>3222</v>
      </c>
      <c r="J54" s="6"/>
      <c r="K54" s="6"/>
    </row>
    <row r="55">
      <c r="A55" s="3"/>
      <c r="B55" s="3"/>
      <c r="C55" s="3"/>
      <c r="D55" s="3"/>
      <c r="E55" s="3"/>
      <c r="F55" s="3"/>
      <c r="G55" s="3"/>
      <c r="H55" s="3"/>
      <c r="I55" s="11"/>
      <c r="J55" s="6"/>
      <c r="K55" s="6"/>
    </row>
    <row r="56">
      <c r="A56" s="26" t="s">
        <v>569</v>
      </c>
      <c r="B56" s="3"/>
      <c r="C56" s="3"/>
      <c r="D56" s="3"/>
      <c r="E56" s="3"/>
      <c r="F56" s="3"/>
      <c r="G56" s="3"/>
      <c r="H56" s="3"/>
      <c r="I56" s="11"/>
      <c r="J56" s="6"/>
      <c r="K56" s="6"/>
    </row>
    <row r="57">
      <c r="A57" s="4" t="s">
        <v>570</v>
      </c>
      <c r="B57" s="7">
        <f>B54-B58</f>
        <v>131</v>
      </c>
      <c r="C57" s="7">
        <f>C54-C58</f>
        <v>254</v>
      </c>
      <c r="D57" s="7">
        <f>D54-D58</f>
        <v>323</v>
      </c>
      <c r="E57" s="7">
        <f>E54-E58</f>
        <v>194</v>
      </c>
      <c r="F57" s="7">
        <f>F54-F58</f>
        <v>194</v>
      </c>
      <c r="G57" s="7">
        <f>G54-G58</f>
        <v>477</v>
      </c>
      <c r="H57" s="7">
        <f>H54-H58</f>
        <v>356</v>
      </c>
      <c r="I57" s="10">
        <f>H57</f>
        <v>356</v>
      </c>
      <c r="J57" s="6" t="s">
        <v>571</v>
      </c>
      <c r="K57" s="6"/>
    </row>
    <row r="58">
      <c r="A58" s="4" t="s">
        <v>572</v>
      </c>
      <c r="B58" s="19">
        <f>'Balance Sheet'!B9</f>
        <v>2419</v>
      </c>
      <c r="C58" s="19">
        <f>'Balance Sheet'!C9</f>
        <v>1728</v>
      </c>
      <c r="D58" s="19">
        <f>'Balance Sheet'!D9</f>
        <v>2391</v>
      </c>
      <c r="E58" s="19">
        <f>'Balance Sheet'!E9</f>
        <v>2812</v>
      </c>
      <c r="F58" s="19">
        <f>'Balance Sheet'!F9</f>
        <v>2812</v>
      </c>
      <c r="G58" s="19">
        <f>'Balance Sheet'!G9</f>
        <v>1998</v>
      </c>
      <c r="H58" s="19">
        <f>'Balance Sheet'!H9</f>
        <v>2866</v>
      </c>
      <c r="I58" s="14">
        <f>'Balance Sheet'!I9</f>
        <v>2866</v>
      </c>
      <c r="J58" s="6" t="s">
        <v>573</v>
      </c>
      <c r="K58" s="6"/>
    </row>
    <row r="59">
      <c r="A59" s="4" t="s">
        <v>574</v>
      </c>
      <c r="B59" s="7" t="s">
        <v>34</v>
      </c>
      <c r="C59" s="7">
        <f>C53-B54</f>
        <v>0</v>
      </c>
      <c r="D59" s="7">
        <f>D53-C54</f>
        <v>0</v>
      </c>
      <c r="E59" s="7">
        <f>E53-D54</f>
        <v>0</v>
      </c>
      <c r="F59" s="7">
        <f>F54-E54</f>
        <v>0</v>
      </c>
      <c r="G59" s="7">
        <f>G53-E54</f>
        <v>0</v>
      </c>
      <c r="H59" s="7">
        <f>H53-G54</f>
        <v>0</v>
      </c>
      <c r="I59" s="10">
        <f>I53-H54</f>
        <v>0</v>
      </c>
      <c r="J59" s="6" t="s">
        <v>575</v>
      </c>
      <c r="K59" s="6"/>
    </row>
    <row r="60">
      <c r="A60" s="4" t="s">
        <v>576</v>
      </c>
      <c r="B60" s="7">
        <f>B54-B125</f>
        <v>0</v>
      </c>
      <c r="C60" s="7">
        <f>C54-C125</f>
        <v>0</v>
      </c>
      <c r="D60" s="7">
        <f>D54-D125</f>
        <v>0</v>
      </c>
      <c r="E60" s="7">
        <f>E54-E125</f>
        <v>0</v>
      </c>
      <c r="F60" s="7">
        <f>F54-F125</f>
        <v>0</v>
      </c>
      <c r="G60" s="7">
        <f>G54-G125</f>
        <v>0</v>
      </c>
      <c r="H60" s="7">
        <f>H54-H125</f>
        <v>0</v>
      </c>
      <c r="I60" s="10">
        <f>I54-(I58+I57)</f>
        <v>0</v>
      </c>
      <c r="J60" s="6" t="s">
        <v>577</v>
      </c>
      <c r="K60" s="6"/>
    </row>
    <row r="61">
      <c r="A61" s="4" t="s">
        <v>578</v>
      </c>
      <c r="B61" s="23" t="b">
        <f>B57&gt;=0</f>
        <v>1</v>
      </c>
      <c r="C61" s="23" t="b">
        <f>C57&gt;=0</f>
        <v>1</v>
      </c>
      <c r="D61" s="23" t="b">
        <f>D57&gt;=0</f>
        <v>1</v>
      </c>
      <c r="E61" s="23" t="b">
        <f>E57&gt;=0</f>
        <v>1</v>
      </c>
      <c r="F61" s="23" t="b">
        <f>F57&gt;=0</f>
        <v>1</v>
      </c>
      <c r="G61" s="23" t="b">
        <f>G57&gt;=0</f>
        <v>1</v>
      </c>
      <c r="H61" s="23" t="b">
        <f>H57&gt;=0</f>
        <v>1</v>
      </c>
      <c r="I61" s="39" t="b">
        <f>I57&gt;=0</f>
        <v>1</v>
      </c>
      <c r="J61" s="6" t="s">
        <v>579</v>
      </c>
      <c r="K61" s="6"/>
    </row>
    <row r="62">
      <c r="A62" s="3" t="s">
        <v>580</v>
      </c>
      <c r="B62" s="66" t="b">
        <f>ABS(B10-'Income Statement'!B65)&lt;='Revenue summary'!$B$47</f>
        <v>1</v>
      </c>
      <c r="C62" s="66" t="b">
        <f>ABS(C10-'Income Statement'!C65)&lt;='Revenue summary'!$B$47</f>
        <v>1</v>
      </c>
      <c r="D62" s="66" t="b">
        <f>ABS(D10-'Income Statement'!D65)&lt;='Revenue summary'!$B$47</f>
        <v>1</v>
      </c>
      <c r="E62" s="66" t="b">
        <f>ABS(E10-'Income Statement'!E65)&lt;='Revenue summary'!$B$47</f>
        <v>1</v>
      </c>
      <c r="F62" s="66" t="b">
        <f>ABS(F10-'Income Statement'!F65)&lt;='Revenue summary'!$B$47</f>
        <v>1</v>
      </c>
      <c r="G62" s="66" t="b">
        <f>ABS(G10-'Income Statement'!G65)&lt;='Revenue summary'!$B$47</f>
        <v>1</v>
      </c>
      <c r="H62" s="66" t="b">
        <f>ABS(H10-'Income Statement'!H65)&lt;='Revenue summary'!$B$47</f>
        <v>1</v>
      </c>
      <c r="I62" s="11"/>
      <c r="J62" s="6" t="s">
        <v>581</v>
      </c>
      <c r="K62" s="6"/>
    </row>
    <row r="63">
      <c r="A63" s="26" t="s">
        <v>582</v>
      </c>
      <c r="B63" s="3"/>
      <c r="C63" s="3"/>
      <c r="D63" s="3"/>
      <c r="E63" s="3"/>
      <c r="F63" s="3"/>
      <c r="G63" s="3"/>
      <c r="H63" s="3"/>
      <c r="I63" s="11"/>
      <c r="J63" s="6"/>
      <c r="K63" s="6"/>
    </row>
    <row r="64">
      <c r="A64" s="27" t="s">
        <v>583</v>
      </c>
      <c r="B64" s="5">
        <f>-(B29+B30+B31+B32)</f>
        <v>7942</v>
      </c>
      <c r="C64" s="5">
        <f>-(C29+C30+C31+C32)</f>
        <v>5684</v>
      </c>
      <c r="D64" s="5">
        <f>-(D29+D30+D31+D32)</f>
        <v>5702</v>
      </c>
      <c r="E64" s="5">
        <f>-(E29+E30+E31+E32)</f>
        <v>5278</v>
      </c>
      <c r="F64" s="5">
        <f>-(F29+F30+F31+F32)</f>
        <v>24606</v>
      </c>
      <c r="G64" s="5">
        <f>-(G29+G30+G31+G32)</f>
        <v>11062</v>
      </c>
      <c r="H64" s="5">
        <f>-(H29+H30+H31+H32)</f>
        <v>8327</v>
      </c>
      <c r="I64" s="2">
        <f>-(I29+I30+I31+I32)</f>
        <v>9800</v>
      </c>
      <c r="J64" s="6"/>
      <c r="K64" s="6"/>
    </row>
    <row r="65">
      <c r="A65" s="4" t="s">
        <v>584</v>
      </c>
      <c r="B65" s="7">
        <f>B27-B64</f>
        <v>-5173</v>
      </c>
      <c r="C65" s="7">
        <f>C27-C64</f>
        <v>-2495</v>
      </c>
      <c r="D65" s="7">
        <f>D27-D64</f>
        <v>-1674</v>
      </c>
      <c r="E65" s="7">
        <f>E27-E64</f>
        <v>-2779</v>
      </c>
      <c r="F65" s="7">
        <f>F27-F64</f>
        <v>-12121</v>
      </c>
      <c r="G65" s="7">
        <f>G27-G64</f>
        <v>-8448</v>
      </c>
      <c r="H65" s="7">
        <f>H27-H64</f>
        <v>-3665</v>
      </c>
      <c r="I65" s="10">
        <f>I27-I64</f>
        <v>-5860.41</v>
      </c>
      <c r="J65" s="6" t="s">
        <v>585</v>
      </c>
      <c r="K65" s="6"/>
    </row>
    <row r="66">
      <c r="A66" s="3"/>
      <c r="B66" s="3"/>
      <c r="C66" s="3"/>
      <c r="D66" s="3"/>
      <c r="E66" s="3"/>
      <c r="F66" s="3"/>
      <c r="G66" s="3"/>
      <c r="H66" s="3"/>
      <c r="I66" s="11"/>
      <c r="J66" s="6"/>
      <c r="K66" s="6"/>
    </row>
    <row r="67">
      <c r="A67" s="26" t="s">
        <v>586</v>
      </c>
      <c r="B67" s="3"/>
      <c r="C67" s="3"/>
      <c r="D67" s="3"/>
      <c r="E67" s="3"/>
      <c r="F67" s="3"/>
      <c r="G67" s="3"/>
      <c r="H67" s="3"/>
      <c r="I67" s="11"/>
      <c r="J67" s="6"/>
      <c r="K67" s="6"/>
    </row>
    <row r="68">
      <c r="A68" s="4" t="s">
        <v>587</v>
      </c>
      <c r="B68" s="7"/>
      <c r="C68" s="7"/>
      <c r="D68" s="7"/>
      <c r="E68" s="7"/>
      <c r="F68" s="7"/>
      <c r="G68" s="7"/>
      <c r="H68" s="7"/>
      <c r="I68" s="38">
        <v>110</v>
      </c>
      <c r="J68" s="6" t="s">
        <v>588</v>
      </c>
      <c r="K68" s="6"/>
    </row>
    <row r="69">
      <c r="A69" s="4" t="s">
        <v>589</v>
      </c>
      <c r="B69" s="7"/>
      <c r="C69" s="7"/>
      <c r="D69" s="7"/>
      <c r="E69" s="7"/>
      <c r="F69" s="7"/>
      <c r="G69" s="7"/>
      <c r="H69" s="7"/>
      <c r="I69" s="14">
        <f>'Income Statement'!I41</f>
        <v>220</v>
      </c>
      <c r="J69" s="6" t="s">
        <v>590</v>
      </c>
      <c r="K69" s="6"/>
    </row>
    <row r="70">
      <c r="A70" s="4" t="s">
        <v>591</v>
      </c>
      <c r="B70" s="7"/>
      <c r="C70" s="7"/>
      <c r="D70" s="7"/>
      <c r="E70" s="7"/>
      <c r="F70" s="7"/>
      <c r="G70" s="7"/>
      <c r="H70" s="7"/>
      <c r="I70" s="38">
        <v>200</v>
      </c>
      <c r="J70" s="6" t="s">
        <v>592</v>
      </c>
      <c r="K70" s="6"/>
    </row>
    <row r="71">
      <c r="A71" s="4" t="s">
        <v>593</v>
      </c>
      <c r="B71" s="7"/>
      <c r="C71" s="7"/>
      <c r="D71" s="7"/>
      <c r="E71" s="7"/>
      <c r="F71" s="7"/>
      <c r="G71" s="7"/>
      <c r="H71" s="7"/>
      <c r="I71" s="38">
        <v>3200</v>
      </c>
      <c r="J71" s="6" t="s">
        <v>594</v>
      </c>
      <c r="K71" s="6"/>
    </row>
    <row r="72">
      <c r="A72" s="4" t="s">
        <v>595</v>
      </c>
      <c r="B72" s="7"/>
      <c r="C72" s="7"/>
      <c r="D72" s="7"/>
      <c r="E72" s="7"/>
      <c r="F72" s="7"/>
      <c r="G72" s="7"/>
      <c r="H72" s="7"/>
      <c r="I72" s="38">
        <v>6500</v>
      </c>
      <c r="J72" s="6" t="s">
        <v>596</v>
      </c>
      <c r="K72" s="6"/>
    </row>
    <row r="73">
      <c r="A73" s="4" t="s">
        <v>597</v>
      </c>
      <c r="B73" s="7"/>
      <c r="C73" s="7"/>
      <c r="D73" s="7"/>
      <c r="E73" s="7"/>
      <c r="F73" s="7"/>
      <c r="G73" s="7"/>
      <c r="H73" s="7"/>
      <c r="I73" s="38">
        <v>100</v>
      </c>
      <c r="J73" s="6" t="s">
        <v>598</v>
      </c>
      <c r="K73" s="6"/>
    </row>
    <row r="74">
      <c r="A74" s="4" t="s">
        <v>599</v>
      </c>
      <c r="B74" s="7"/>
      <c r="C74" s="7"/>
      <c r="D74" s="7"/>
      <c r="E74" s="7"/>
      <c r="F74" s="7"/>
      <c r="G74" s="7"/>
      <c r="H74" s="7"/>
      <c r="I74" s="38">
        <v>300</v>
      </c>
      <c r="J74" s="6" t="s">
        <v>600</v>
      </c>
      <c r="K74" s="6"/>
    </row>
    <row r="75">
      <c r="A75" s="4" t="s">
        <v>601</v>
      </c>
      <c r="B75" s="7"/>
      <c r="C75" s="7"/>
      <c r="D75" s="7"/>
      <c r="E75" s="7"/>
      <c r="F75" s="7"/>
      <c r="G75" s="7"/>
      <c r="H75" s="7"/>
      <c r="I75" s="38">
        <v>1300</v>
      </c>
      <c r="J75" s="6" t="s">
        <v>602</v>
      </c>
      <c r="K75" s="6"/>
    </row>
    <row r="76">
      <c r="A76" s="4" t="s">
        <v>603</v>
      </c>
      <c r="B76" s="7"/>
      <c r="C76" s="7"/>
      <c r="D76" s="7"/>
      <c r="E76" s="7"/>
      <c r="F76" s="7"/>
      <c r="G76" s="7"/>
      <c r="H76" s="7"/>
      <c r="I76" s="38">
        <v>3222</v>
      </c>
      <c r="J76" s="6" t="s">
        <v>604</v>
      </c>
      <c r="K76" s="6"/>
    </row>
    <row r="77">
      <c r="A77" s="3"/>
      <c r="B77" s="3"/>
      <c r="C77" s="3"/>
      <c r="D77" s="3"/>
      <c r="E77" s="3"/>
      <c r="F77" s="3"/>
      <c r="G77" s="3"/>
      <c r="H77" s="3"/>
      <c r="I77" s="11"/>
      <c r="J77" s="6"/>
      <c r="K77" s="6"/>
    </row>
    <row r="78">
      <c r="A78" s="26" t="s">
        <v>605</v>
      </c>
      <c r="B78" s="3"/>
      <c r="C78" s="3"/>
      <c r="D78" s="3"/>
      <c r="E78" s="3"/>
      <c r="F78" s="3"/>
      <c r="G78" s="3"/>
      <c r="H78" s="3"/>
      <c r="I78" s="11"/>
      <c r="J78" s="6"/>
      <c r="K78" s="6"/>
    </row>
    <row r="79">
      <c r="A79" s="26" t="s">
        <v>524</v>
      </c>
      <c r="B79" s="3"/>
      <c r="C79" s="3"/>
      <c r="D79" s="3"/>
      <c r="E79" s="3"/>
      <c r="F79" s="3"/>
      <c r="G79" s="3"/>
      <c r="H79" s="3"/>
      <c r="I79" s="11"/>
      <c r="J79" s="6"/>
      <c r="K79" s="6"/>
    </row>
    <row r="80">
      <c r="A80" s="4" t="s">
        <v>525</v>
      </c>
      <c r="B80" s="1">
        <v>464</v>
      </c>
      <c r="C80" s="1">
        <v>2104</v>
      </c>
      <c r="D80" s="1">
        <v>4239</v>
      </c>
      <c r="E80" s="1">
        <v>5332</v>
      </c>
      <c r="F80" s="7">
        <f>E80</f>
        <v>5332</v>
      </c>
      <c r="G80" s="1">
        <v>1688</v>
      </c>
      <c r="H80" s="1">
        <v>4309</v>
      </c>
      <c r="I80" s="10">
        <f>H80+I10</f>
        <v>6451.789999999999</v>
      </c>
      <c r="J80" s="6" t="s">
        <v>606</v>
      </c>
      <c r="K80" s="6"/>
    </row>
    <row r="81">
      <c r="A81" s="4" t="s">
        <v>363</v>
      </c>
      <c r="B81" s="1">
        <v>1095</v>
      </c>
      <c r="C81" s="1">
        <v>2868</v>
      </c>
      <c r="D81" s="1">
        <v>4964</v>
      </c>
      <c r="E81" s="1">
        <v>6580</v>
      </c>
      <c r="F81" s="7">
        <f>E81</f>
        <v>6580</v>
      </c>
      <c r="G81" s="1">
        <v>1371</v>
      </c>
      <c r="H81" s="1">
        <v>3128</v>
      </c>
      <c r="I81" s="10">
        <f>H81+I11</f>
        <v>4974.8</v>
      </c>
      <c r="J81" s="6" t="s">
        <v>606</v>
      </c>
      <c r="K81" s="6"/>
    </row>
    <row r="82">
      <c r="A82" s="4" t="s">
        <v>526</v>
      </c>
      <c r="B82" s="1">
        <v>81</v>
      </c>
      <c r="C82" s="1">
        <v>165</v>
      </c>
      <c r="D82" s="1">
        <v>262</v>
      </c>
      <c r="E82" s="1">
        <v>361</v>
      </c>
      <c r="F82" s="7">
        <f>E82</f>
        <v>361</v>
      </c>
      <c r="G82" s="1">
        <v>91</v>
      </c>
      <c r="H82" s="1">
        <v>210</v>
      </c>
      <c r="I82" s="10">
        <f>H82+I12</f>
        <v>320</v>
      </c>
      <c r="J82" s="6" t="s">
        <v>606</v>
      </c>
      <c r="K82" s="6"/>
    </row>
    <row r="83">
      <c r="A83" s="4" t="s">
        <v>527</v>
      </c>
      <c r="B83" s="1">
        <v>964</v>
      </c>
      <c r="C83" s="1">
        <v>1003</v>
      </c>
      <c r="D83" s="1">
        <v>799</v>
      </c>
      <c r="E83" s="1">
        <v>199</v>
      </c>
      <c r="F83" s="7">
        <f>E83</f>
        <v>199</v>
      </c>
      <c r="G83" s="1">
        <v>16</v>
      </c>
      <c r="H83" s="1">
        <v>-672</v>
      </c>
      <c r="I83" s="10">
        <f>H83+I13</f>
        <v>-822</v>
      </c>
      <c r="J83" s="6" t="s">
        <v>606</v>
      </c>
      <c r="K83" s="6"/>
    </row>
    <row r="84">
      <c r="A84" s="4" t="s">
        <v>528</v>
      </c>
      <c r="B84" s="1">
        <v>8</v>
      </c>
      <c r="C84" s="1">
        <v>56</v>
      </c>
      <c r="D84" s="1">
        <v>27</v>
      </c>
      <c r="E84" s="1">
        <v>110</v>
      </c>
      <c r="F84" s="7">
        <f>E84</f>
        <v>110</v>
      </c>
      <c r="G84" s="1">
        <v>-138</v>
      </c>
      <c r="H84" s="1">
        <v>-285</v>
      </c>
      <c r="I84" s="10">
        <f>H84+I14</f>
        <v>-285</v>
      </c>
      <c r="J84" s="6" t="s">
        <v>606</v>
      </c>
      <c r="K84" s="6"/>
    </row>
    <row r="85">
      <c r="A85" s="4" t="s">
        <v>500</v>
      </c>
      <c r="B85" s="1">
        <v>-400</v>
      </c>
      <c r="C85" s="1">
        <v>-512</v>
      </c>
      <c r="D85" s="1">
        <v>-460</v>
      </c>
      <c r="E85" s="1">
        <v>453</v>
      </c>
      <c r="F85" s="7">
        <f>E85</f>
        <v>453</v>
      </c>
      <c r="G85" s="1">
        <v>409</v>
      </c>
      <c r="H85" s="1">
        <v>619</v>
      </c>
      <c r="I85" s="10">
        <f>H85+I15</f>
        <v>619</v>
      </c>
      <c r="J85" s="6" t="s">
        <v>606</v>
      </c>
      <c r="K85" s="6"/>
    </row>
    <row r="86">
      <c r="A86" s="4" t="s">
        <v>529</v>
      </c>
      <c r="B86" s="1">
        <v>-133</v>
      </c>
      <c r="C86" s="1">
        <v>-159</v>
      </c>
      <c r="D86" s="1">
        <v>-17</v>
      </c>
      <c r="E86" s="1">
        <v>-89</v>
      </c>
      <c r="F86" s="7">
        <f>E86</f>
        <v>-89</v>
      </c>
      <c r="G86" s="1">
        <v>-201</v>
      </c>
      <c r="H86" s="1">
        <v>-7</v>
      </c>
      <c r="I86" s="10">
        <f>H86+I16</f>
        <v>-7</v>
      </c>
      <c r="J86" s="6" t="s">
        <v>606</v>
      </c>
      <c r="K86" s="6"/>
    </row>
    <row r="87">
      <c r="A87" s="4" t="s">
        <v>530</v>
      </c>
      <c r="B87" s="1">
        <v>646</v>
      </c>
      <c r="C87" s="1">
        <v>469</v>
      </c>
      <c r="D87" s="1">
        <v>266</v>
      </c>
      <c r="E87" s="1">
        <v>184</v>
      </c>
      <c r="F87" s="7">
        <f>E87</f>
        <v>184</v>
      </c>
      <c r="G87" s="1">
        <v>-171</v>
      </c>
      <c r="H87" s="1">
        <v>-504</v>
      </c>
      <c r="I87" s="10">
        <f>H87+I17</f>
        <v>-724</v>
      </c>
      <c r="J87" s="6" t="s">
        <v>606</v>
      </c>
      <c r="K87" s="6"/>
    </row>
    <row r="88">
      <c r="A88" s="4" t="s">
        <v>531</v>
      </c>
      <c r="B88" s="1">
        <v>123</v>
      </c>
      <c r="C88" s="1">
        <v>181</v>
      </c>
      <c r="D88" s="1">
        <v>353</v>
      </c>
      <c r="E88" s="1">
        <v>446</v>
      </c>
      <c r="F88" s="7">
        <f>E88</f>
        <v>446</v>
      </c>
      <c r="G88" s="1">
        <v>100</v>
      </c>
      <c r="H88" s="1">
        <v>213</v>
      </c>
      <c r="I88" s="10">
        <f>H88+I18</f>
        <v>433</v>
      </c>
      <c r="J88" s="6" t="s">
        <v>606</v>
      </c>
      <c r="K88" s="6"/>
    </row>
    <row r="89">
      <c r="A89" s="4" t="s">
        <v>532</v>
      </c>
      <c r="B89" s="1">
        <v>-34</v>
      </c>
      <c r="C89" s="1">
        <v>-155</v>
      </c>
      <c r="D89" s="1">
        <v>-366</v>
      </c>
      <c r="E89" s="1">
        <v>-439</v>
      </c>
      <c r="F89" s="7">
        <f>E89</f>
        <v>-439</v>
      </c>
      <c r="G89" s="1">
        <v>-257</v>
      </c>
      <c r="H89" s="1">
        <v>-353</v>
      </c>
      <c r="I89" s="10">
        <f>H89+I19</f>
        <v>-563</v>
      </c>
      <c r="J89" s="6" t="s">
        <v>606</v>
      </c>
      <c r="K89" s="6"/>
    </row>
    <row r="90">
      <c r="A90" s="4" t="s">
        <v>533</v>
      </c>
      <c r="B90" s="1">
        <v>-177</v>
      </c>
      <c r="C90" s="1">
        <v>-346</v>
      </c>
      <c r="D90" s="1">
        <v>-418</v>
      </c>
      <c r="E90" s="1">
        <v>-460</v>
      </c>
      <c r="F90" s="7">
        <f>E90</f>
        <v>-460</v>
      </c>
      <c r="G90" s="1">
        <v>-16</v>
      </c>
      <c r="H90" s="1">
        <v>-19</v>
      </c>
      <c r="I90" s="10">
        <f>H90+I20</f>
        <v>-19</v>
      </c>
      <c r="J90" s="6" t="s">
        <v>606</v>
      </c>
      <c r="K90" s="6"/>
    </row>
    <row r="91">
      <c r="A91" s="4" t="s">
        <v>534</v>
      </c>
      <c r="B91" s="7"/>
      <c r="C91" s="7"/>
      <c r="D91" s="7"/>
      <c r="E91" s="1">
        <v>-107</v>
      </c>
      <c r="F91" s="7">
        <f>E91</f>
        <v>-107</v>
      </c>
      <c r="G91" s="7"/>
      <c r="H91" s="7"/>
      <c r="I91" s="10">
        <f>H91+I21</f>
        <v>0</v>
      </c>
      <c r="J91" s="6" t="s">
        <v>606</v>
      </c>
      <c r="K91" s="6"/>
    </row>
    <row r="92">
      <c r="A92" s="4" t="s">
        <v>535</v>
      </c>
      <c r="B92" s="1">
        <v>122</v>
      </c>
      <c r="C92" s="1">
        <v>230</v>
      </c>
      <c r="D92" s="1">
        <v>237</v>
      </c>
      <c r="E92" s="1">
        <v>288</v>
      </c>
      <c r="F92" s="7">
        <f>E92</f>
        <v>288</v>
      </c>
      <c r="G92" s="1">
        <v>312</v>
      </c>
      <c r="H92" s="1">
        <v>262</v>
      </c>
      <c r="I92" s="10">
        <f>H92+I22</f>
        <v>462</v>
      </c>
      <c r="J92" s="6" t="s">
        <v>606</v>
      </c>
      <c r="K92" s="6"/>
    </row>
    <row r="93">
      <c r="A93" s="4" t="s">
        <v>536</v>
      </c>
      <c r="B93" s="1">
        <v>222</v>
      </c>
      <c r="C93" s="1">
        <v>-501</v>
      </c>
      <c r="D93" s="1">
        <v>-675</v>
      </c>
      <c r="E93" s="1">
        <v>-920</v>
      </c>
      <c r="F93" s="7">
        <f>E93</f>
        <v>-920</v>
      </c>
      <c r="G93" s="1">
        <v>-368</v>
      </c>
      <c r="H93" s="1">
        <v>-858</v>
      </c>
      <c r="I93" s="10">
        <f>H93+I23</f>
        <v>-858</v>
      </c>
      <c r="J93" s="6" t="s">
        <v>606</v>
      </c>
      <c r="K93" s="6"/>
    </row>
    <row r="94">
      <c r="A94" s="4" t="s">
        <v>537</v>
      </c>
      <c r="B94" s="1">
        <v>-61</v>
      </c>
      <c r="C94" s="1">
        <v>-183</v>
      </c>
      <c r="D94" s="1">
        <v>-346</v>
      </c>
      <c r="E94" s="1">
        <v>-440</v>
      </c>
      <c r="F94" s="7">
        <f>E94</f>
        <v>-440</v>
      </c>
      <c r="G94" s="1">
        <v>-114</v>
      </c>
      <c r="H94" s="1">
        <v>-222</v>
      </c>
      <c r="I94" s="10">
        <f>H94+I24</f>
        <v>-222</v>
      </c>
      <c r="J94" s="6" t="s">
        <v>606</v>
      </c>
      <c r="K94" s="6"/>
    </row>
    <row r="95">
      <c r="A95" s="4" t="s">
        <v>538</v>
      </c>
      <c r="B95" s="1">
        <v>-259</v>
      </c>
      <c r="C95" s="1">
        <v>521</v>
      </c>
      <c r="D95" s="1">
        <v>806</v>
      </c>
      <c r="E95" s="1">
        <v>487</v>
      </c>
      <c r="F95" s="7">
        <f>E95</f>
        <v>487</v>
      </c>
      <c r="G95" s="1">
        <v>-288</v>
      </c>
      <c r="H95" s="1">
        <v>1223</v>
      </c>
      <c r="I95" s="10">
        <f>H95+I25</f>
        <v>1223</v>
      </c>
      <c r="J95" s="6" t="s">
        <v>606</v>
      </c>
      <c r="K95" s="6"/>
    </row>
    <row r="96">
      <c r="A96" s="4" t="s">
        <v>539</v>
      </c>
      <c r="B96" s="1">
        <v>108</v>
      </c>
      <c r="C96" s="1">
        <v>217</v>
      </c>
      <c r="D96" s="1">
        <v>315</v>
      </c>
      <c r="E96" s="1">
        <v>500</v>
      </c>
      <c r="F96" s="7">
        <f>E96</f>
        <v>500</v>
      </c>
      <c r="G96" s="1">
        <v>180</v>
      </c>
      <c r="H96" s="1">
        <v>232</v>
      </c>
      <c r="I96" s="10">
        <f>H96+I26</f>
        <v>232</v>
      </c>
      <c r="J96" s="6" t="s">
        <v>606</v>
      </c>
      <c r="K96" s="6"/>
    </row>
    <row r="97">
      <c r="A97" s="27" t="s">
        <v>540</v>
      </c>
      <c r="B97" s="5">
        <f>B80+B81+B82+B83+B84+B85+B86+B87+B88+B89+B90+B91+B92+B93+B94+B95+B96</f>
        <v>2769</v>
      </c>
      <c r="C97" s="5">
        <f>C80+C81+C82+C83+C84+C85+C86+C87+C88+C89+C90+C91+C92+C93+C94+C95+C96</f>
        <v>5958</v>
      </c>
      <c r="D97" s="5">
        <f>D80+D81+D82+D83+D84+D85+D86+D87+D88+D89+D90+D91+D92+D93+D94+D95+D96</f>
        <v>9986</v>
      </c>
      <c r="E97" s="5">
        <f>E80+E81+E82+E83+E84+E85+E86+E87+E88+E89+E90+E91+E92+E93+E94+E95+E96</f>
        <v>12485</v>
      </c>
      <c r="F97" s="5">
        <f>F80+F81+F82+F83+F84+F85+F86+F87+F88+F89+F90+F91+F92+F93+F94+F95+F96</f>
        <v>12485</v>
      </c>
      <c r="G97" s="5">
        <f>G80+G81+G82+G83+G84+G85+G86+G87+G88+G89+G90+G91+G92+G93+G94+G95+G96</f>
        <v>2614</v>
      </c>
      <c r="H97" s="5">
        <f>H80+H81+H82+H83+H84+H85+H86+H87+H88+H89+H90+H91+H92+H93+H94+H95+H96</f>
        <v>7276</v>
      </c>
      <c r="I97" s="2">
        <f>I80+I81+I82+I83+I84+I85+I86+I87+I88+I89+I90+I91+I92+I93+I94+I95+I96</f>
        <v>11215.59</v>
      </c>
      <c r="J97" s="6"/>
      <c r="K97" s="6"/>
    </row>
    <row r="98">
      <c r="A98" s="26" t="s">
        <v>541</v>
      </c>
      <c r="B98" s="3"/>
      <c r="C98" s="3"/>
      <c r="D98" s="3"/>
      <c r="E98" s="3"/>
      <c r="F98" s="3"/>
      <c r="G98" s="3"/>
      <c r="H98" s="3"/>
      <c r="I98" s="11"/>
      <c r="J98" s="6"/>
      <c r="K98" s="6"/>
    </row>
    <row r="99">
      <c r="A99" s="4" t="s">
        <v>542</v>
      </c>
      <c r="B99" s="1">
        <v>-2341</v>
      </c>
      <c r="C99" s="1">
        <v>-4285</v>
      </c>
      <c r="D99" s="1">
        <v>-6736</v>
      </c>
      <c r="E99" s="1">
        <v>-8719</v>
      </c>
      <c r="F99" s="7">
        <f>E99</f>
        <v>-8719</v>
      </c>
      <c r="G99" s="1">
        <v>-3046</v>
      </c>
      <c r="H99" s="1">
        <v>-5780</v>
      </c>
      <c r="I99" s="10">
        <f>H99+I29</f>
        <v>-8980</v>
      </c>
      <c r="J99" s="6" t="s">
        <v>606</v>
      </c>
      <c r="K99" s="6"/>
    </row>
    <row r="100">
      <c r="A100" s="4" t="s">
        <v>543</v>
      </c>
      <c r="B100" s="1">
        <v>-5441</v>
      </c>
      <c r="C100" s="1">
        <v>-9056</v>
      </c>
      <c r="D100" s="1">
        <v>-12276</v>
      </c>
      <c r="E100" s="1">
        <v>-15332</v>
      </c>
      <c r="F100" s="7">
        <f>E100</f>
        <v>-15332</v>
      </c>
      <c r="G100" s="1">
        <v>-7868</v>
      </c>
      <c r="H100" s="1">
        <v>-13338</v>
      </c>
      <c r="I100" s="10">
        <f>H100+I30</f>
        <v>-19838</v>
      </c>
      <c r="J100" s="6" t="s">
        <v>606</v>
      </c>
      <c r="K100" s="6"/>
    </row>
    <row r="101">
      <c r="A101" s="4" t="s">
        <v>544</v>
      </c>
      <c r="B101" s="1">
        <v>-153</v>
      </c>
      <c r="C101" s="1">
        <v>-279</v>
      </c>
      <c r="D101" s="1">
        <v>-311</v>
      </c>
      <c r="E101" s="1">
        <v>-553</v>
      </c>
      <c r="F101" s="7">
        <f>E101</f>
        <v>-553</v>
      </c>
      <c r="G101" s="1">
        <v>-144</v>
      </c>
      <c r="H101" s="1">
        <v>-263</v>
      </c>
      <c r="I101" s="10">
        <f>H101+I31</f>
        <v>-363</v>
      </c>
      <c r="J101" s="6" t="s">
        <v>606</v>
      </c>
      <c r="K101" s="6"/>
    </row>
    <row r="102">
      <c r="A102" s="4" t="s">
        <v>545</v>
      </c>
      <c r="B102" s="1">
        <v>-7</v>
      </c>
      <c r="C102" s="1">
        <v>-6</v>
      </c>
      <c r="D102" s="1">
        <v>-5</v>
      </c>
      <c r="E102" s="1">
        <v>-2</v>
      </c>
      <c r="F102" s="7">
        <f>E102</f>
        <v>-2</v>
      </c>
      <c r="G102" s="1">
        <v>-4</v>
      </c>
      <c r="H102" s="1">
        <v>-8</v>
      </c>
      <c r="I102" s="10">
        <f>H102+I32</f>
        <v>-8</v>
      </c>
      <c r="J102" s="6" t="s">
        <v>606</v>
      </c>
      <c r="K102" s="6"/>
    </row>
    <row r="103">
      <c r="A103" s="4" t="s">
        <v>546</v>
      </c>
      <c r="B103" s="1">
        <v>238</v>
      </c>
      <c r="C103" s="1">
        <v>309</v>
      </c>
      <c r="D103" s="1">
        <v>999</v>
      </c>
      <c r="E103" s="1">
        <v>1115</v>
      </c>
      <c r="F103" s="7">
        <f>E103</f>
        <v>1115</v>
      </c>
      <c r="G103" s="1">
        <v>340</v>
      </c>
      <c r="H103" s="1">
        <v>448</v>
      </c>
      <c r="I103" s="10">
        <f>H103+I33</f>
        <v>748</v>
      </c>
      <c r="J103" s="6" t="s">
        <v>606</v>
      </c>
      <c r="K103" s="6"/>
    </row>
    <row r="104">
      <c r="A104" s="4" t="s">
        <v>547</v>
      </c>
      <c r="B104" s="1">
        <v>1257</v>
      </c>
      <c r="C104" s="1">
        <v>2810</v>
      </c>
      <c r="D104" s="1">
        <v>4197</v>
      </c>
      <c r="E104" s="1">
        <v>5401</v>
      </c>
      <c r="F104" s="7">
        <f>E104</f>
        <v>5401</v>
      </c>
      <c r="G104" s="1">
        <v>1506</v>
      </c>
      <c r="H104" s="1">
        <v>3252</v>
      </c>
      <c r="I104" s="10">
        <f>H104+I34</f>
        <v>3252</v>
      </c>
      <c r="J104" s="6" t="s">
        <v>606</v>
      </c>
      <c r="K104" s="6"/>
    </row>
    <row r="105">
      <c r="A105" s="4" t="s">
        <v>548</v>
      </c>
      <c r="B105" s="1">
        <v>-1292</v>
      </c>
      <c r="C105" s="1">
        <v>-3060</v>
      </c>
      <c r="D105" s="1">
        <v>-4570</v>
      </c>
      <c r="E105" s="1">
        <v>-5893</v>
      </c>
      <c r="F105" s="7">
        <f>E105</f>
        <v>-5893</v>
      </c>
      <c r="G105" s="1">
        <v>-1650</v>
      </c>
      <c r="H105" s="1">
        <v>-3482</v>
      </c>
      <c r="I105" s="10">
        <f>H105+I35</f>
        <v>-3482</v>
      </c>
      <c r="J105" s="6" t="s">
        <v>606</v>
      </c>
      <c r="K105" s="6"/>
    </row>
    <row r="106">
      <c r="A106" s="4" t="s">
        <v>549</v>
      </c>
      <c r="B106" s="1">
        <v>15</v>
      </c>
      <c r="C106" s="1">
        <v>22</v>
      </c>
      <c r="D106" s="1">
        <v>49</v>
      </c>
      <c r="E106" s="1">
        <v>118</v>
      </c>
      <c r="F106" s="7">
        <f>E106</f>
        <v>118</v>
      </c>
      <c r="G106" s="1">
        <v>45</v>
      </c>
      <c r="H106" s="1">
        <v>58</v>
      </c>
      <c r="I106" s="10">
        <f>H106+I36</f>
        <v>58</v>
      </c>
      <c r="J106" s="6" t="s">
        <v>606</v>
      </c>
      <c r="K106" s="6"/>
    </row>
    <row r="107">
      <c r="A107" s="27" t="s">
        <v>550</v>
      </c>
      <c r="B107" s="5">
        <f>B99+B100+B101+B102+B103+B104+B105+B106</f>
        <v>-7724</v>
      </c>
      <c r="C107" s="5">
        <f>C99+C100+C101+C102+C103+C104+C105+C106</f>
        <v>-13545</v>
      </c>
      <c r="D107" s="5">
        <f>D99+D100+D101+D102+D103+D104+D105+D106</f>
        <v>-18653</v>
      </c>
      <c r="E107" s="5">
        <f>E99+E100+E101+E102+E103+E104+E105+E106</f>
        <v>-23865</v>
      </c>
      <c r="F107" s="5">
        <f>F99+F100+F101+F102+F103+F104+F105+F106</f>
        <v>-23865</v>
      </c>
      <c r="G107" s="5">
        <f>G99+G100+G101+G102+G103+G104+G105+G106</f>
        <v>-10821</v>
      </c>
      <c r="H107" s="5">
        <f>H99+H100+H101+H102+H103+H104+H105+H106</f>
        <v>-19113</v>
      </c>
      <c r="I107" s="2">
        <f>I99+I100+I101+I102+I103+I104+I105+I106</f>
        <v>-28613</v>
      </c>
      <c r="J107" s="6"/>
      <c r="K107" s="6"/>
    </row>
    <row r="108">
      <c r="A108" s="26" t="s">
        <v>551</v>
      </c>
      <c r="B108" s="3"/>
      <c r="C108" s="3"/>
      <c r="D108" s="3"/>
      <c r="E108" s="3"/>
      <c r="F108" s="3"/>
      <c r="G108" s="3"/>
      <c r="H108" s="3"/>
      <c r="I108" s="11"/>
      <c r="J108" s="6"/>
      <c r="K108" s="6"/>
    </row>
    <row r="109">
      <c r="A109" s="4" t="s">
        <v>552</v>
      </c>
      <c r="B109" s="1">
        <v>9840</v>
      </c>
      <c r="C109" s="1">
        <v>12996</v>
      </c>
      <c r="D109" s="1">
        <v>15246</v>
      </c>
      <c r="E109" s="1">
        <v>23394</v>
      </c>
      <c r="F109" s="7">
        <f>E109</f>
        <v>23394</v>
      </c>
      <c r="G109" s="1">
        <v>8307</v>
      </c>
      <c r="H109" s="1">
        <v>15566</v>
      </c>
      <c r="I109" s="10">
        <f>H109+I39</f>
        <v>22426.41</v>
      </c>
      <c r="J109" s="6" t="s">
        <v>606</v>
      </c>
      <c r="K109" s="6"/>
    </row>
    <row r="110">
      <c r="A110" s="4" t="s">
        <v>554</v>
      </c>
      <c r="B110" s="1">
        <v>-2852</v>
      </c>
      <c r="C110" s="1">
        <v>-5160</v>
      </c>
      <c r="D110" s="1">
        <v>-7546</v>
      </c>
      <c r="E110" s="1">
        <v>-10347</v>
      </c>
      <c r="F110" s="7">
        <f>E110</f>
        <v>-10347</v>
      </c>
      <c r="G110" s="1">
        <v>-3100</v>
      </c>
      <c r="H110" s="1">
        <v>-4032</v>
      </c>
      <c r="I110" s="10">
        <f>H110+I40</f>
        <v>-4032</v>
      </c>
      <c r="J110" s="6" t="s">
        <v>606</v>
      </c>
      <c r="K110" s="6"/>
    </row>
    <row r="111">
      <c r="A111" s="4" t="s">
        <v>555</v>
      </c>
      <c r="B111" s="7"/>
      <c r="C111" s="7"/>
      <c r="D111" s="1">
        <v>1065</v>
      </c>
      <c r="E111" s="1">
        <v>3276</v>
      </c>
      <c r="F111" s="7">
        <f>E111</f>
        <v>3276</v>
      </c>
      <c r="G111" s="7"/>
      <c r="H111" s="7"/>
      <c r="I111" s="10">
        <f>H111+I41</f>
        <v>0</v>
      </c>
      <c r="J111" s="6" t="s">
        <v>606</v>
      </c>
      <c r="K111" s="6"/>
    </row>
    <row r="112">
      <c r="A112" s="4" t="s">
        <v>556</v>
      </c>
      <c r="B112" s="7"/>
      <c r="C112" s="7"/>
      <c r="D112" s="1">
        <v>-166</v>
      </c>
      <c r="E112" s="1">
        <v>-516</v>
      </c>
      <c r="F112" s="7">
        <f>E112</f>
        <v>-516</v>
      </c>
      <c r="G112" s="7"/>
      <c r="H112" s="7"/>
      <c r="I112" s="10">
        <f>H112+I42</f>
        <v>0</v>
      </c>
      <c r="J112" s="6" t="s">
        <v>606</v>
      </c>
      <c r="K112" s="6"/>
    </row>
    <row r="113">
      <c r="A113" s="4" t="s">
        <v>557</v>
      </c>
      <c r="B113" s="1">
        <v>335</v>
      </c>
      <c r="C113" s="1">
        <v>2357</v>
      </c>
      <c r="D113" s="1">
        <v>2592</v>
      </c>
      <c r="E113" s="1">
        <v>285</v>
      </c>
      <c r="F113" s="7">
        <f>E113</f>
        <v>285</v>
      </c>
      <c r="G113" s="1">
        <v>3405</v>
      </c>
      <c r="H113" s="1">
        <v>-219</v>
      </c>
      <c r="I113" s="10">
        <f>H113+I43</f>
        <v>-219</v>
      </c>
      <c r="J113" s="6" t="s">
        <v>606</v>
      </c>
      <c r="K113" s="6"/>
    </row>
    <row r="114">
      <c r="A114" s="4" t="s">
        <v>558</v>
      </c>
      <c r="B114" s="1">
        <v>850</v>
      </c>
      <c r="C114" s="1">
        <v>1400</v>
      </c>
      <c r="D114" s="1">
        <v>1950</v>
      </c>
      <c r="E114" s="1">
        <v>2558</v>
      </c>
      <c r="F114" s="7">
        <f>E114</f>
        <v>2558</v>
      </c>
      <c r="G114" s="1">
        <v>650</v>
      </c>
      <c r="H114" s="1">
        <v>3650</v>
      </c>
      <c r="I114" s="10">
        <f>H114+I44</f>
        <v>3650</v>
      </c>
      <c r="J114" s="6" t="s">
        <v>606</v>
      </c>
      <c r="K114" s="6"/>
    </row>
    <row r="115">
      <c r="A115" s="4" t="s">
        <v>559</v>
      </c>
      <c r="B115" s="1">
        <v>-850</v>
      </c>
      <c r="C115" s="1">
        <v>-850</v>
      </c>
      <c r="D115" s="1">
        <v>-1067</v>
      </c>
      <c r="E115" s="1">
        <v>-2167</v>
      </c>
      <c r="F115" s="7">
        <f>E115</f>
        <v>-2167</v>
      </c>
      <c r="G115" s="1">
        <v>0</v>
      </c>
      <c r="H115" s="1">
        <v>0</v>
      </c>
      <c r="I115" s="10">
        <f>H115+I45</f>
        <v>0</v>
      </c>
      <c r="J115" s="6" t="s">
        <v>606</v>
      </c>
      <c r="K115" s="6"/>
    </row>
    <row r="116">
      <c r="A116" s="4" t="s">
        <v>560</v>
      </c>
      <c r="B116" s="1">
        <v>-45</v>
      </c>
      <c r="C116" s="1">
        <v>-129</v>
      </c>
      <c r="D116" s="1">
        <v>-128</v>
      </c>
      <c r="E116" s="1">
        <v>-131</v>
      </c>
      <c r="F116" s="7">
        <f>E116</f>
        <v>-131</v>
      </c>
      <c r="G116" s="1">
        <v>-2</v>
      </c>
      <c r="H116" s="1">
        <v>13</v>
      </c>
      <c r="I116" s="10">
        <f>H116+I46</f>
        <v>13</v>
      </c>
      <c r="J116" s="6" t="s">
        <v>606</v>
      </c>
      <c r="K116" s="6"/>
    </row>
    <row r="117">
      <c r="A117" s="4" t="s">
        <v>561</v>
      </c>
      <c r="B117" s="1">
        <v>11</v>
      </c>
      <c r="C117" s="1">
        <v>22</v>
      </c>
      <c r="D117" s="1">
        <v>2028</v>
      </c>
      <c r="E117" s="1">
        <v>2038</v>
      </c>
      <c r="F117" s="7">
        <f>E117</f>
        <v>2038</v>
      </c>
      <c r="G117" s="1">
        <v>23</v>
      </c>
      <c r="H117" s="1">
        <v>31</v>
      </c>
      <c r="I117" s="10">
        <f>H117+I47</f>
        <v>31</v>
      </c>
      <c r="J117" s="6" t="s">
        <v>606</v>
      </c>
      <c r="K117" s="6"/>
    </row>
    <row r="118">
      <c r="A118" s="4" t="s">
        <v>562</v>
      </c>
      <c r="B118" s="1">
        <v>-1166</v>
      </c>
      <c r="C118" s="1">
        <v>-2332</v>
      </c>
      <c r="D118" s="1">
        <v>-3499</v>
      </c>
      <c r="E118" s="1">
        <v>-4680</v>
      </c>
      <c r="F118" s="7">
        <f>E118</f>
        <v>-4680</v>
      </c>
      <c r="G118" s="1">
        <v>-1300</v>
      </c>
      <c r="H118" s="1">
        <v>-2599</v>
      </c>
      <c r="I118" s="10">
        <f>H118+I48</f>
        <v>-3899</v>
      </c>
      <c r="J118" s="6" t="s">
        <v>606</v>
      </c>
      <c r="K118" s="6"/>
    </row>
    <row r="119">
      <c r="A119" s="4" t="s">
        <v>563</v>
      </c>
      <c r="B119" s="1">
        <v>-20</v>
      </c>
      <c r="C119" s="1">
        <v>-144</v>
      </c>
      <c r="D119" s="1">
        <v>-499</v>
      </c>
      <c r="E119" s="1">
        <v>-731</v>
      </c>
      <c r="F119" s="7">
        <f>E119</f>
        <v>-731</v>
      </c>
      <c r="G119" s="1">
        <v>-304</v>
      </c>
      <c r="H119" s="1">
        <v>-353</v>
      </c>
      <c r="I119" s="10">
        <f>H119+I49</f>
        <v>-353</v>
      </c>
      <c r="J119" s="6" t="s">
        <v>606</v>
      </c>
      <c r="K119" s="6"/>
    </row>
    <row r="120">
      <c r="A120" s="27" t="s">
        <v>564</v>
      </c>
      <c r="B120" s="5">
        <f>B109+B110+B111+B112+B113+B114+B115+B116+B117+B118+B119</f>
        <v>6103</v>
      </c>
      <c r="C120" s="5">
        <f>C109+C110+C111+C112+C113+C114+C115+C116+C117+C118+C119</f>
        <v>8160</v>
      </c>
      <c r="D120" s="5">
        <f>D109+D110+D111+D112+D113+D114+D115+D116+D117+D118+D119</f>
        <v>9976</v>
      </c>
      <c r="E120" s="5">
        <f>E109+E110+E111+E112+E113+E114+E115+E116+E117+E118+E119</f>
        <v>12979</v>
      </c>
      <c r="F120" s="5">
        <f>F109+F110+F111+F112+F113+F114+F115+F116+F117+F118+F119</f>
        <v>12979</v>
      </c>
      <c r="G120" s="5">
        <f>G109+G110+G111+G112+G113+G114+G115+G116+G117+G118+G119</f>
        <v>7679</v>
      </c>
      <c r="H120" s="5">
        <f>H109+H110+H111+H112+H113+H114+H115+H116+H117+H118+H119</f>
        <v>12057</v>
      </c>
      <c r="I120" s="2">
        <f>I109+I110+I111+I112+I113+I114+I115+I116+I117+I118+I119</f>
        <v>17617.41</v>
      </c>
      <c r="J120" s="6"/>
      <c r="K120" s="6"/>
    </row>
    <row r="121">
      <c r="A121" s="4" t="s">
        <v>565</v>
      </c>
      <c r="B121" s="1">
        <v>0</v>
      </c>
      <c r="C121" s="1">
        <v>7</v>
      </c>
      <c r="D121" s="1">
        <v>3</v>
      </c>
      <c r="E121" s="1">
        <v>5</v>
      </c>
      <c r="F121" s="7">
        <f>E121</f>
        <v>5</v>
      </c>
      <c r="G121" s="1">
        <v>-3</v>
      </c>
      <c r="H121" s="1">
        <v>-4</v>
      </c>
      <c r="I121" s="10">
        <f>H121+I51</f>
        <v>-4</v>
      </c>
      <c r="J121" s="6" t="s">
        <v>606</v>
      </c>
      <c r="K121" s="6"/>
    </row>
    <row r="122">
      <c r="A122" s="27" t="s">
        <v>607</v>
      </c>
      <c r="B122" s="5">
        <f>B97+B107+B120+B121</f>
        <v>1148</v>
      </c>
      <c r="C122" s="5">
        <f>C97+C107+C120+C121</f>
        <v>580</v>
      </c>
      <c r="D122" s="5">
        <f>D97+D107+D120+D121</f>
        <v>1312</v>
      </c>
      <c r="E122" s="5">
        <f>E97+E107+E120+E121</f>
        <v>1604</v>
      </c>
      <c r="F122" s="5">
        <f>F97+F107+F120+F121</f>
        <v>1604</v>
      </c>
      <c r="G122" s="5">
        <f>G97+G107+G120+G121</f>
        <v>-531</v>
      </c>
      <c r="H122" s="5">
        <f>H97+H107+H120+H121</f>
        <v>216</v>
      </c>
      <c r="I122" s="2">
        <f>I97+I107+I120+I121</f>
        <v>216</v>
      </c>
      <c r="J122" s="6"/>
      <c r="K122" s="6"/>
    </row>
    <row r="123">
      <c r="A123" s="4" t="s">
        <v>608</v>
      </c>
      <c r="B123" s="1">
        <v>1402</v>
      </c>
      <c r="C123" s="1">
        <v>1402</v>
      </c>
      <c r="D123" s="1">
        <v>1402</v>
      </c>
      <c r="E123" s="1">
        <v>1402</v>
      </c>
      <c r="F123" s="7">
        <f>E123</f>
        <v>1402</v>
      </c>
      <c r="G123" s="1">
        <v>3006</v>
      </c>
      <c r="H123" s="1">
        <v>3006</v>
      </c>
      <c r="I123" s="10">
        <f>H123</f>
        <v>3006</v>
      </c>
      <c r="J123" s="6" t="s">
        <v>239</v>
      </c>
      <c r="K123" s="6"/>
    </row>
    <row r="124">
      <c r="A124" s="27" t="s">
        <v>609</v>
      </c>
      <c r="B124" s="5">
        <f>B123+B122</f>
        <v>2550</v>
      </c>
      <c r="C124" s="5">
        <f>C123+C122</f>
        <v>1982</v>
      </c>
      <c r="D124" s="5">
        <f>D123+D122</f>
        <v>2714</v>
      </c>
      <c r="E124" s="5">
        <f>E123+E122</f>
        <v>3006</v>
      </c>
      <c r="F124" s="5">
        <f>F123+F122</f>
        <v>3006</v>
      </c>
      <c r="G124" s="5">
        <f>G123+G122</f>
        <v>2475</v>
      </c>
      <c r="H124" s="5">
        <f>H123+H122</f>
        <v>3222</v>
      </c>
      <c r="I124" s="2">
        <f>I123+I122</f>
        <v>3222</v>
      </c>
      <c r="J124" s="6"/>
      <c r="K124" s="6"/>
    </row>
    <row r="125">
      <c r="A125" s="4" t="s">
        <v>610</v>
      </c>
      <c r="B125" s="1">
        <v>2550</v>
      </c>
      <c r="C125" s="1">
        <v>1982</v>
      </c>
      <c r="D125" s="1">
        <v>2714</v>
      </c>
      <c r="E125" s="1">
        <v>3006</v>
      </c>
      <c r="F125" s="7">
        <f>E125</f>
        <v>3006</v>
      </c>
      <c r="G125" s="1">
        <v>2475</v>
      </c>
      <c r="H125" s="1">
        <v>3222</v>
      </c>
      <c r="I125" s="10"/>
      <c r="J125" s="6" t="s">
        <v>239</v>
      </c>
      <c r="K125" s="6"/>
    </row>
    <row r="126">
      <c r="A126" s="4" t="s">
        <v>611</v>
      </c>
      <c r="B126" s="1">
        <v>2769</v>
      </c>
      <c r="C126" s="1">
        <v>5958</v>
      </c>
      <c r="D126" s="1">
        <v>9986</v>
      </c>
      <c r="E126" s="1">
        <v>12485</v>
      </c>
      <c r="F126" s="7">
        <f>E126</f>
        <v>12485</v>
      </c>
      <c r="G126" s="1">
        <v>2614</v>
      </c>
      <c r="H126" s="1">
        <v>7276</v>
      </c>
      <c r="I126" s="10"/>
      <c r="J126" s="6" t="s">
        <v>239</v>
      </c>
      <c r="K126" s="6"/>
    </row>
    <row r="127">
      <c r="A127" s="4" t="s">
        <v>612</v>
      </c>
      <c r="B127" s="1">
        <v>-7724</v>
      </c>
      <c r="C127" s="1">
        <v>-13545</v>
      </c>
      <c r="D127" s="1">
        <v>-18653</v>
      </c>
      <c r="E127" s="1">
        <v>-23865</v>
      </c>
      <c r="F127" s="7">
        <f>E127</f>
        <v>-23865</v>
      </c>
      <c r="G127" s="1">
        <v>-10821</v>
      </c>
      <c r="H127" s="1">
        <v>-19113</v>
      </c>
      <c r="I127" s="10"/>
      <c r="J127" s="6" t="s">
        <v>239</v>
      </c>
      <c r="K127" s="6"/>
    </row>
    <row r="128">
      <c r="A128" s="4" t="s">
        <v>613</v>
      </c>
      <c r="B128" s="1">
        <v>6103</v>
      </c>
      <c r="C128" s="1">
        <v>8160</v>
      </c>
      <c r="D128" s="1">
        <v>9976</v>
      </c>
      <c r="E128" s="1">
        <v>12979</v>
      </c>
      <c r="F128" s="7">
        <f>E128</f>
        <v>12979</v>
      </c>
      <c r="G128" s="1">
        <v>7679</v>
      </c>
      <c r="H128" s="1">
        <v>12057</v>
      </c>
      <c r="I128" s="10"/>
      <c r="J128" s="6" t="s">
        <v>239</v>
      </c>
      <c r="K128" s="6"/>
    </row>
    <row r="129">
      <c r="A129" s="4" t="s">
        <v>614</v>
      </c>
      <c r="B129" s="7">
        <f>ABS(B97-B126)+ABS(B107-B127)+ABS(B120-B128)+ABS(B124-B125)</f>
        <v>0</v>
      </c>
      <c r="C129" s="7">
        <f>ABS(C97-C126)+ABS(C107-C127)+ABS(C120-C128)+ABS(C124-C125)</f>
        <v>0</v>
      </c>
      <c r="D129" s="7">
        <f>ABS(D97-D126)+ABS(D107-D127)+ABS(D120-D128)+ABS(D124-D125)</f>
        <v>0</v>
      </c>
      <c r="E129" s="7">
        <f>ABS(E97-E126)+ABS(E107-E127)+ABS(E120-E128)+ABS(E124-E125)</f>
        <v>0</v>
      </c>
      <c r="F129" s="7">
        <f>E129</f>
        <v>0</v>
      </c>
      <c r="G129" s="7">
        <f>ABS(G97-G126)+ABS(G107-G127)+ABS(G120-G128)+ABS(G124-G125)</f>
        <v>0</v>
      </c>
      <c r="H129" s="7">
        <f>ABS(H97-H126)+ABS(H107-H127)+ABS(H120-H128)+ABS(H124-H125)</f>
        <v>0</v>
      </c>
      <c r="I129" s="10"/>
      <c r="J129" s="6"/>
      <c r="K129" s="6"/>
    </row>
    <row r="130">
      <c r="A130" s="3"/>
      <c r="B130" s="3"/>
      <c r="C130" s="3"/>
      <c r="D130" s="3"/>
      <c r="E130" s="3"/>
      <c r="F130" s="3"/>
      <c r="G130" s="3"/>
      <c r="H130" s="3"/>
      <c r="I130" s="11"/>
      <c r="J130" s="6"/>
      <c r="K130" s="6"/>
    </row>
    <row r="131">
      <c r="A131" s="3"/>
      <c r="B131" s="3"/>
      <c r="C131" s="3"/>
      <c r="D131" s="3"/>
      <c r="E131" s="3"/>
      <c r="F131" s="3"/>
      <c r="G131" s="3"/>
      <c r="H131" s="3"/>
      <c r="I131" s="11"/>
      <c r="J131" s="6"/>
      <c r="K131" s="6"/>
    </row>
    <row r="132">
      <c r="A132" s="3"/>
      <c r="B132" s="3"/>
      <c r="C132" s="3"/>
      <c r="D132" s="3"/>
      <c r="E132" s="3"/>
      <c r="F132" s="3"/>
      <c r="G132" s="3"/>
      <c r="H132" s="3"/>
      <c r="I132" s="11"/>
      <c r="J132" s="6"/>
      <c r="K132" s="6"/>
    </row>
  </sheetData>
</worksheet>
</file>

<file path=xl/worksheets/sheet8.xml><?xml version="1.0" encoding="utf-8"?>
<worksheet xmlns="http://schemas.openxmlformats.org/spreadsheetml/2006/main" xmlns:r="http://schemas.openxmlformats.org/officeDocument/2006/relationships">
  <dimension ref="A1:K37"/>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615</v>
      </c>
      <c r="B2" s="3"/>
      <c r="C2" s="3"/>
      <c r="D2" s="3"/>
      <c r="E2" s="3"/>
      <c r="F2" s="3"/>
      <c r="G2" s="3"/>
      <c r="H2" s="3"/>
      <c r="I2" s="3"/>
      <c r="J2" s="3"/>
      <c r="K2" s="3"/>
    </row>
    <row r="3">
      <c r="A3" s="37" t="s">
        <v>2</v>
      </c>
      <c r="B3" s="3"/>
      <c r="C3" s="3"/>
      <c r="D3" s="3"/>
      <c r="E3" s="3"/>
      <c r="F3" s="3"/>
      <c r="G3" s="3"/>
      <c r="H3" s="3"/>
      <c r="I3" s="3"/>
      <c r="J3" s="3"/>
      <c r="K3" s="3"/>
    </row>
    <row r="4">
      <c r="A4" s="12" t="s">
        <v>88</v>
      </c>
      <c r="B4" s="9" t="s">
        <v>89</v>
      </c>
      <c r="C4" s="9" t="s">
        <v>90</v>
      </c>
      <c r="D4" s="9" t="s">
        <v>91</v>
      </c>
      <c r="E4" s="9" t="s">
        <v>92</v>
      </c>
      <c r="F4" s="9" t="s">
        <v>93</v>
      </c>
      <c r="G4" s="9" t="s">
        <v>94</v>
      </c>
      <c r="H4" s="9" t="s">
        <v>95</v>
      </c>
      <c r="I4" s="9" t="s">
        <v>96</v>
      </c>
      <c r="J4" s="12" t="s">
        <v>4</v>
      </c>
      <c r="K4" s="3"/>
    </row>
    <row r="5">
      <c r="A5" s="28" t="s">
        <v>97</v>
      </c>
      <c r="B5" s="22">
        <f>DATE(2025,3,31)</f>
        <v>45747</v>
      </c>
      <c r="C5" s="22">
        <f>DATE(2025,6,30)</f>
        <v>45838</v>
      </c>
      <c r="D5" s="22">
        <f>DATE(2025,9,30)</f>
        <v>45930</v>
      </c>
      <c r="E5" s="22">
        <f>DATE(2025,12,31)</f>
        <v>46022</v>
      </c>
      <c r="F5" s="22">
        <f>DATE(2025,12,31)</f>
        <v>46022</v>
      </c>
      <c r="G5" s="22">
        <f>DATE(2026,3,31)</f>
        <v>46112</v>
      </c>
      <c r="H5" s="22">
        <f>DATE(2026,6,30)</f>
        <v>46203</v>
      </c>
      <c r="I5" s="22">
        <f>DATE(2026,9,30)</f>
        <v>46295</v>
      </c>
      <c r="J5" s="28"/>
      <c r="K5" s="3"/>
    </row>
    <row r="6">
      <c r="A6" s="33" t="s">
        <v>98</v>
      </c>
      <c r="B6" s="13">
        <f>B5-EOMONTH(B5,-3)</f>
        <v>90</v>
      </c>
      <c r="C6" s="13">
        <f>C5-EOMONTH(C5,-3)</f>
        <v>91</v>
      </c>
      <c r="D6" s="13">
        <f>D5-EOMONTH(D5,-3)</f>
        <v>92</v>
      </c>
      <c r="E6" s="13">
        <f>E5-EOMONTH(E5,-3)</f>
        <v>92</v>
      </c>
      <c r="F6" s="13">
        <f>F5-EOMONTH(F5,-12)</f>
        <v>365</v>
      </c>
      <c r="G6" s="13">
        <f>G5-EOMONTH(G5,-3)</f>
        <v>90</v>
      </c>
      <c r="H6" s="13">
        <f>H5-EOMONTH(H5,-3)</f>
        <v>91</v>
      </c>
      <c r="I6" s="13">
        <f>I5-EOMONTH(I5,-3)</f>
        <v>92</v>
      </c>
      <c r="J6" s="33"/>
      <c r="K6" s="3"/>
    </row>
    <row r="7">
      <c r="A7" s="3"/>
      <c r="B7" s="3"/>
      <c r="C7" s="3"/>
      <c r="D7" s="3"/>
      <c r="E7" s="3"/>
      <c r="F7" s="3"/>
      <c r="G7" s="3"/>
      <c r="H7" s="3"/>
      <c r="I7" s="11"/>
      <c r="J7" s="3"/>
      <c r="K7" s="3"/>
    </row>
    <row r="8">
      <c r="A8" s="26" t="s">
        <v>616</v>
      </c>
      <c r="B8" s="3"/>
      <c r="C8" s="3"/>
      <c r="D8" s="3"/>
      <c r="E8" s="3"/>
      <c r="F8" s="3"/>
      <c r="G8" s="3"/>
      <c r="H8" s="3"/>
      <c r="I8" s="11"/>
      <c r="J8" s="6"/>
      <c r="K8" s="6"/>
    </row>
    <row r="9">
      <c r="A9" s="4" t="s">
        <v>617</v>
      </c>
      <c r="B9" s="1">
        <v>2055.5</v>
      </c>
      <c r="C9" s="1">
        <v>2056.7</v>
      </c>
      <c r="D9" s="1">
        <v>2064.6</v>
      </c>
      <c r="E9" s="7">
        <f>(F6*F9-B6*B9-C6*C9-D6*D9)/E6</f>
        <v>2080.919565217392</v>
      </c>
      <c r="F9" s="1">
        <v>2064.5</v>
      </c>
      <c r="G9" s="1">
        <v>2082.5</v>
      </c>
      <c r="H9" s="1">
        <v>2083.5</v>
      </c>
      <c r="I9" s="10">
        <f>H9+I10</f>
        <v>2084</v>
      </c>
      <c r="J9" s="6" t="s">
        <v>618</v>
      </c>
      <c r="K9" s="6"/>
    </row>
    <row r="10">
      <c r="A10" s="4" t="s">
        <v>619</v>
      </c>
      <c r="B10" s="7"/>
      <c r="C10" s="7"/>
      <c r="D10" s="7"/>
      <c r="E10" s="7"/>
      <c r="F10" s="7"/>
      <c r="G10" s="7"/>
      <c r="H10" s="7"/>
      <c r="I10" s="38">
        <v>0.5</v>
      </c>
      <c r="J10" s="6" t="s">
        <v>620</v>
      </c>
      <c r="K10" s="6"/>
    </row>
    <row r="11">
      <c r="A11" s="4" t="s">
        <v>621</v>
      </c>
      <c r="B11" s="7" t="s">
        <v>34</v>
      </c>
      <c r="C11" s="7" t="s">
        <v>34</v>
      </c>
      <c r="D11" s="7" t="s">
        <v>34</v>
      </c>
      <c r="E11" s="7" t="s">
        <v>34</v>
      </c>
      <c r="F11" s="7" t="s">
        <v>34</v>
      </c>
      <c r="G11" s="7">
        <f>IF(OR(ISBLANK(G9),ISBLANK(B9)),"n/a",IFERROR(G9-B9,"n/a"))</f>
        <v>27</v>
      </c>
      <c r="H11" s="7">
        <f>IF(OR(ISBLANK(H9),ISBLANK(C9)),"n/a",IFERROR(H9-C9,"n/a"))</f>
        <v>26.800000000000182</v>
      </c>
      <c r="I11" s="10">
        <f>IF(OR(ISBLANK(I9),ISBLANK(D9)),"n/a",IFERROR(I9-D9,"n/a"))</f>
        <v>19.40000000000009</v>
      </c>
      <c r="J11" s="6"/>
      <c r="K11" s="6"/>
    </row>
    <row r="12">
      <c r="A12" s="4" t="s">
        <v>622</v>
      </c>
      <c r="B12" s="7" t="s">
        <v>34</v>
      </c>
      <c r="C12" s="7">
        <f>IF(OR(ISBLANK(C9),ISBLANK(B9)),"n/a",IFERROR(C9-B9,"n/a"))</f>
        <v>1.199999999999818</v>
      </c>
      <c r="D12" s="7">
        <f>IF(OR(ISBLANK(D9),ISBLANK(C9)),"n/a",IFERROR(D9-C9,"n/a"))</f>
        <v>7.900000000000091</v>
      </c>
      <c r="E12" s="7">
        <f>IF(OR(ISBLANK(E9),ISBLANK(D9)),"n/a",IFERROR(E9-D9,"n/a"))</f>
        <v>16.31956521739221</v>
      </c>
      <c r="F12" s="7" t="s">
        <v>34</v>
      </c>
      <c r="G12" s="7">
        <f>IF(OR(ISBLANK(G9),ISBLANK(E9)),"n/a",IFERROR(G9-E9,"n/a"))</f>
        <v>1.580434782607881</v>
      </c>
      <c r="H12" s="7">
        <f>IF(OR(ISBLANK(H9),ISBLANK(G9)),"n/a",IFERROR(H9-G9,"n/a"))</f>
        <v>1</v>
      </c>
      <c r="I12" s="10">
        <f>IF(OR(ISBLANK(I9),ISBLANK(H9)),"n/a",IFERROR(I9-H9,"n/a"))</f>
        <v>0.5</v>
      </c>
      <c r="J12" s="6"/>
      <c r="K12" s="6"/>
    </row>
    <row r="13">
      <c r="A13" s="27" t="s">
        <v>623</v>
      </c>
      <c r="B13" s="20">
        <v>2061</v>
      </c>
      <c r="C13" s="20">
        <v>2061.3</v>
      </c>
      <c r="D13" s="20">
        <v>2070.6</v>
      </c>
      <c r="E13" s="20">
        <v>2089</v>
      </c>
      <c r="F13" s="20">
        <v>2071</v>
      </c>
      <c r="G13" s="20">
        <v>2092.9</v>
      </c>
      <c r="H13" s="20">
        <v>2093.4</v>
      </c>
      <c r="I13" s="2">
        <f>H13+I14</f>
        <v>2094</v>
      </c>
      <c r="J13" s="6" t="s">
        <v>624</v>
      </c>
      <c r="K13" s="6"/>
    </row>
    <row r="14">
      <c r="A14" s="4" t="s">
        <v>625</v>
      </c>
      <c r="B14" s="7"/>
      <c r="C14" s="7"/>
      <c r="D14" s="7"/>
      <c r="E14" s="7"/>
      <c r="F14" s="7"/>
      <c r="G14" s="7"/>
      <c r="H14" s="7"/>
      <c r="I14" s="38">
        <v>0.6</v>
      </c>
      <c r="J14" s="6" t="s">
        <v>626</v>
      </c>
      <c r="K14" s="6"/>
    </row>
    <row r="15">
      <c r="A15" s="4" t="s">
        <v>627</v>
      </c>
      <c r="B15" s="7">
        <f>B13-B9</f>
        <v>5.5</v>
      </c>
      <c r="C15" s="7">
        <f>C13-C9</f>
        <v>4.600000000000364</v>
      </c>
      <c r="D15" s="7">
        <f>D13-D9</f>
        <v>6</v>
      </c>
      <c r="E15" s="7">
        <f>E13-E9</f>
        <v>8.080434782607881</v>
      </c>
      <c r="F15" s="7">
        <f>F13-F9</f>
        <v>6.5</v>
      </c>
      <c r="G15" s="7">
        <f>G13-G9</f>
        <v>10.400000000000091</v>
      </c>
      <c r="H15" s="7">
        <f>H13-H9</f>
        <v>9.900000000000091</v>
      </c>
      <c r="I15" s="10">
        <f>I13-I9</f>
        <v>10</v>
      </c>
      <c r="J15" s="6"/>
      <c r="K15" s="6"/>
    </row>
    <row r="16">
      <c r="A16" s="4" t="s">
        <v>628</v>
      </c>
      <c r="B16" s="7" t="s">
        <v>34</v>
      </c>
      <c r="C16" s="7" t="s">
        <v>34</v>
      </c>
      <c r="D16" s="7" t="s">
        <v>34</v>
      </c>
      <c r="E16" s="7" t="s">
        <v>34</v>
      </c>
      <c r="F16" s="7" t="s">
        <v>34</v>
      </c>
      <c r="G16" s="7">
        <f>IF(OR(ISBLANK(G13),ISBLANK(B13)),"n/a",IFERROR(G13-B13,"n/a"))</f>
        <v>31.90000000000009</v>
      </c>
      <c r="H16" s="7">
        <f>IF(OR(ISBLANK(H13),ISBLANK(C13)),"n/a",IFERROR(H13-C13,"n/a"))</f>
        <v>32.09999999999991</v>
      </c>
      <c r="I16" s="10">
        <f>IF(OR(ISBLANK(I13),ISBLANK(D13)),"n/a",IFERROR(I13-D13,"n/a"))</f>
        <v>23.40000000000009</v>
      </c>
      <c r="J16" s="6"/>
      <c r="K16" s="6"/>
    </row>
    <row r="17">
      <c r="A17" s="4" t="s">
        <v>629</v>
      </c>
      <c r="B17" s="7" t="s">
        <v>34</v>
      </c>
      <c r="C17" s="7">
        <f>IF(OR(ISBLANK(C13),ISBLANK(B13)),"n/a",IFERROR(C13-B13,"n/a"))</f>
        <v>0.3000000000001819</v>
      </c>
      <c r="D17" s="7">
        <f>IF(OR(ISBLANK(D13),ISBLANK(C13)),"n/a",IFERROR(D13-C13,"n/a"))</f>
        <v>9.299999999999727</v>
      </c>
      <c r="E17" s="7">
        <f>IF(OR(ISBLANK(E13),ISBLANK(D13)),"n/a",IFERROR(E13-D13,"n/a"))</f>
        <v>18.40000000000009</v>
      </c>
      <c r="F17" s="7" t="s">
        <v>34</v>
      </c>
      <c r="G17" s="7">
        <f>IF(OR(ISBLANK(G13),ISBLANK(E13)),"n/a",IFERROR(G13-E13,"n/a"))</f>
        <v>3.900000000000091</v>
      </c>
      <c r="H17" s="7">
        <f>IF(OR(ISBLANK(H13),ISBLANK(G13)),"n/a",IFERROR(H13-G13,"n/a"))</f>
        <v>0.5</v>
      </c>
      <c r="I17" s="10">
        <f>IF(OR(ISBLANK(I13),ISBLANK(H13)),"n/a",IFERROR(I13-H13,"n/a"))</f>
        <v>0.599999999999909</v>
      </c>
      <c r="J17" s="6"/>
      <c r="K17" s="6"/>
    </row>
    <row r="18">
      <c r="A18" s="17" t="s">
        <v>630</v>
      </c>
      <c r="B18" s="16" t="s">
        <v>34</v>
      </c>
      <c r="C18" s="16" t="s">
        <v>34</v>
      </c>
      <c r="D18" s="16" t="s">
        <v>34</v>
      </c>
      <c r="E18" s="16" t="s">
        <v>34</v>
      </c>
      <c r="F18" s="16" t="s">
        <v>34</v>
      </c>
      <c r="G18" s="16">
        <f>IF(OR(ISBLANK(G13),ISBLANK(B13)),"n/a",IFERROR(G13/B13-1,"n/a"))</f>
        <v>0.015477923338185429</v>
      </c>
      <c r="H18" s="16">
        <f>IF(OR(ISBLANK(H13),ISBLANK(C13)),"n/a",IFERROR(H13/C13-1,"n/a"))</f>
        <v>0.01557269684179885</v>
      </c>
      <c r="I18" s="15">
        <f>IF(OR(ISBLANK(I13),ISBLANK(D13)),"n/a",IFERROR(I13/D13-1,"n/a"))</f>
        <v>0.011301072152999136</v>
      </c>
      <c r="J18" s="6"/>
      <c r="K18" s="6"/>
    </row>
    <row r="19">
      <c r="A19" s="3"/>
      <c r="B19" s="3"/>
      <c r="C19" s="3"/>
      <c r="D19" s="3"/>
      <c r="E19" s="3"/>
      <c r="F19" s="3"/>
      <c r="G19" s="3"/>
      <c r="H19" s="3"/>
      <c r="I19" s="11"/>
      <c r="J19" s="6"/>
      <c r="K19" s="6"/>
    </row>
    <row r="20">
      <c r="A20" s="26" t="s">
        <v>631</v>
      </c>
      <c r="B20" s="3"/>
      <c r="C20" s="3"/>
      <c r="D20" s="3"/>
      <c r="E20" s="3"/>
      <c r="F20" s="3"/>
      <c r="G20" s="3"/>
      <c r="H20" s="3"/>
      <c r="I20" s="11"/>
      <c r="J20" s="6"/>
      <c r="K20" s="6"/>
    </row>
    <row r="21">
      <c r="A21" s="4" t="s">
        <v>632</v>
      </c>
      <c r="B21" s="1">
        <v>2058.631107</v>
      </c>
      <c r="C21" s="1">
        <v>2059.292588</v>
      </c>
      <c r="D21" s="1">
        <v>2082.609684</v>
      </c>
      <c r="E21" s="7" t="s">
        <v>34</v>
      </c>
      <c r="F21" s="7" t="str">
        <f>E21</f>
        <v>n/a</v>
      </c>
      <c r="G21" s="1">
        <v>2085.341456</v>
      </c>
      <c r="H21" s="1">
        <v>2085.803189</v>
      </c>
      <c r="I21" s="10">
        <f>H21+I22</f>
        <v>2086.303189</v>
      </c>
      <c r="J21" s="6" t="s">
        <v>633</v>
      </c>
      <c r="K21" s="6"/>
    </row>
    <row r="22">
      <c r="A22" s="4" t="s">
        <v>634</v>
      </c>
      <c r="B22" s="7"/>
      <c r="C22" s="7"/>
      <c r="D22" s="7"/>
      <c r="E22" s="7"/>
      <c r="F22" s="7"/>
      <c r="G22" s="7"/>
      <c r="H22" s="7"/>
      <c r="I22" s="38">
        <v>0.5</v>
      </c>
      <c r="J22" s="6" t="s">
        <v>635</v>
      </c>
      <c r="K22" s="6"/>
    </row>
    <row r="23">
      <c r="A23" s="4" t="s">
        <v>636</v>
      </c>
      <c r="B23" s="7" t="s">
        <v>34</v>
      </c>
      <c r="C23" s="7" t="s">
        <v>34</v>
      </c>
      <c r="D23" s="7" t="s">
        <v>34</v>
      </c>
      <c r="E23" s="7" t="s">
        <v>34</v>
      </c>
      <c r="F23" s="7" t="s">
        <v>34</v>
      </c>
      <c r="G23" s="7">
        <f>IF(OR(ISBLANK(G21),ISBLANK(B21)),"n/a",IFERROR(G21-B21,"n/a"))</f>
        <v>26.71034899999995</v>
      </c>
      <c r="H23" s="7">
        <f>IF(OR(ISBLANK(H21),ISBLANK(C21)),"n/a",IFERROR(H21-C21,"n/a"))</f>
        <v>26.510601000000406</v>
      </c>
      <c r="I23" s="10">
        <f>IF(OR(ISBLANK(I21),ISBLANK(D21)),"n/a",IFERROR(I21-D21,"n/a"))</f>
        <v>3.6935050000001866</v>
      </c>
      <c r="J23" s="6"/>
      <c r="K23" s="6"/>
    </row>
    <row r="24">
      <c r="A24" s="4" t="s">
        <v>637</v>
      </c>
      <c r="B24" s="7" t="s">
        <v>34</v>
      </c>
      <c r="C24" s="7">
        <f>C21-B21</f>
        <v>0.6614809999996396</v>
      </c>
      <c r="D24" s="7">
        <f>D21-C21</f>
        <v>23.31709600000022</v>
      </c>
      <c r="E24" s="7" t="s">
        <v>34</v>
      </c>
      <c r="F24" s="7" t="s">
        <v>34</v>
      </c>
      <c r="G24" s="7" t="s">
        <v>34</v>
      </c>
      <c r="H24" s="7">
        <f>H21-G21</f>
        <v>0.46173300000009476</v>
      </c>
      <c r="I24" s="10">
        <f>I21-H21</f>
        <v>0.5</v>
      </c>
      <c r="J24" s="6" t="s">
        <v>638</v>
      </c>
      <c r="K24" s="6"/>
    </row>
    <row r="25">
      <c r="A25" s="3"/>
      <c r="B25" s="3"/>
      <c r="C25" s="3"/>
      <c r="D25" s="3"/>
      <c r="E25" s="3"/>
      <c r="F25" s="3"/>
      <c r="G25" s="3"/>
      <c r="H25" s="3"/>
      <c r="I25" s="11"/>
      <c r="J25" s="6"/>
      <c r="K25" s="6"/>
    </row>
    <row r="26">
      <c r="A26" s="26" t="s">
        <v>639</v>
      </c>
      <c r="B26" s="3"/>
      <c r="C26" s="3"/>
      <c r="D26" s="3"/>
      <c r="E26" s="3"/>
      <c r="F26" s="3"/>
      <c r="G26" s="3"/>
      <c r="H26" s="3"/>
      <c r="I26" s="11"/>
      <c r="J26" s="6"/>
      <c r="K26" s="6"/>
    </row>
    <row r="27">
      <c r="A27" s="4" t="s">
        <v>640</v>
      </c>
      <c r="B27" s="19">
        <f>'Cash Flow Statement'!B47</f>
        <v>11</v>
      </c>
      <c r="C27" s="19">
        <f>'Cash Flow Statement'!C47</f>
        <v>11</v>
      </c>
      <c r="D27" s="19">
        <f>'Cash Flow Statement'!D47</f>
        <v>2006</v>
      </c>
      <c r="E27" s="19">
        <f>'Cash Flow Statement'!E47</f>
        <v>10</v>
      </c>
      <c r="F27" s="19">
        <f>'Cash Flow Statement'!F47</f>
        <v>2038</v>
      </c>
      <c r="G27" s="19">
        <f>'Cash Flow Statement'!G47</f>
        <v>23</v>
      </c>
      <c r="H27" s="19">
        <f>'Cash Flow Statement'!H47</f>
        <v>8</v>
      </c>
      <c r="I27" s="14">
        <f>'Cash Flow Statement'!I47</f>
        <v>0</v>
      </c>
      <c r="J27" s="6" t="s">
        <v>641</v>
      </c>
      <c r="K27" s="6"/>
    </row>
    <row r="28">
      <c r="A28" s="4" t="s">
        <v>642</v>
      </c>
      <c r="B28" s="23" t="s">
        <v>643</v>
      </c>
      <c r="C28" s="23" t="s">
        <v>643</v>
      </c>
      <c r="D28" s="23" t="s">
        <v>643</v>
      </c>
      <c r="E28" s="23" t="s">
        <v>643</v>
      </c>
      <c r="F28" s="23" t="s">
        <v>643</v>
      </c>
      <c r="G28" s="23" t="s">
        <v>643</v>
      </c>
      <c r="H28" s="23" t="s">
        <v>643</v>
      </c>
      <c r="I28" s="39" t="s">
        <v>643</v>
      </c>
      <c r="J28" s="6" t="s">
        <v>644</v>
      </c>
      <c r="K28" s="6"/>
    </row>
    <row r="29">
      <c r="A29" s="4" t="s">
        <v>645</v>
      </c>
      <c r="B29" s="7"/>
      <c r="C29" s="7"/>
      <c r="D29" s="7"/>
      <c r="E29" s="7"/>
      <c r="F29" s="7"/>
      <c r="G29" s="1">
        <v>2300</v>
      </c>
      <c r="H29" s="7"/>
      <c r="I29" s="10"/>
      <c r="J29" s="6" t="s">
        <v>646</v>
      </c>
      <c r="K29" s="6"/>
    </row>
    <row r="30">
      <c r="A30" s="4" t="s">
        <v>647</v>
      </c>
      <c r="B30" s="18"/>
      <c r="C30" s="18"/>
      <c r="D30" s="18"/>
      <c r="E30" s="18"/>
      <c r="F30" s="18"/>
      <c r="G30" s="24">
        <v>91.99</v>
      </c>
      <c r="H30" s="18"/>
      <c r="I30" s="25"/>
      <c r="J30" s="6" t="s">
        <v>648</v>
      </c>
      <c r="K30" s="6"/>
    </row>
    <row r="31">
      <c r="A31" s="4" t="s">
        <v>649</v>
      </c>
      <c r="B31" s="18"/>
      <c r="C31" s="18"/>
      <c r="D31" s="18"/>
      <c r="E31" s="18"/>
      <c r="F31" s="18"/>
      <c r="G31" s="24">
        <v>115</v>
      </c>
      <c r="H31" s="18"/>
      <c r="I31" s="25"/>
      <c r="J31" s="6" t="s">
        <v>648</v>
      </c>
      <c r="K31" s="6"/>
    </row>
    <row r="32">
      <c r="A32" s="3"/>
      <c r="B32" s="3"/>
      <c r="C32" s="3"/>
      <c r="D32" s="3"/>
      <c r="E32" s="3"/>
      <c r="F32" s="3"/>
      <c r="G32" s="3"/>
      <c r="H32" s="3"/>
      <c r="I32" s="11"/>
      <c r="J32" s="6"/>
      <c r="K32" s="6"/>
    </row>
    <row r="33">
      <c r="A33" s="26" t="s">
        <v>650</v>
      </c>
      <c r="B33" s="3"/>
      <c r="C33" s="3"/>
      <c r="D33" s="3"/>
      <c r="E33" s="3"/>
      <c r="F33" s="3"/>
      <c r="G33" s="3"/>
      <c r="H33" s="3"/>
      <c r="I33" s="11"/>
      <c r="J33" s="6"/>
      <c r="K33" s="6"/>
    </row>
    <row r="34">
      <c r="A34" s="27" t="s">
        <v>651</v>
      </c>
      <c r="B34" s="5"/>
      <c r="C34" s="5"/>
      <c r="D34" s="5"/>
      <c r="E34" s="5"/>
      <c r="F34" s="5"/>
      <c r="G34" s="5"/>
      <c r="H34" s="5"/>
      <c r="I34" s="2">
        <f>I13</f>
        <v>2094</v>
      </c>
      <c r="J34" s="6" t="s">
        <v>652</v>
      </c>
      <c r="K34" s="6"/>
    </row>
    <row r="35">
      <c r="A35" s="3"/>
      <c r="B35" s="3"/>
      <c r="C35" s="3"/>
      <c r="D35" s="3"/>
      <c r="E35" s="3"/>
      <c r="F35" s="3"/>
      <c r="G35" s="3"/>
      <c r="H35" s="3"/>
      <c r="I35" s="11"/>
      <c r="J35" s="6"/>
      <c r="K35" s="6"/>
    </row>
    <row r="36">
      <c r="A36" s="3"/>
      <c r="B36" s="3"/>
      <c r="C36" s="3"/>
      <c r="D36" s="3"/>
      <c r="E36" s="3"/>
      <c r="F36" s="3"/>
      <c r="G36" s="3"/>
      <c r="H36" s="3"/>
      <c r="I36" s="11"/>
      <c r="J36" s="6"/>
      <c r="K36" s="6"/>
    </row>
    <row r="37">
      <c r="A37" s="3"/>
      <c r="B37" s="3"/>
      <c r="C37" s="3"/>
      <c r="D37" s="3"/>
      <c r="E37" s="3"/>
      <c r="F37" s="3"/>
      <c r="G37" s="3"/>
      <c r="H37" s="3"/>
      <c r="I37" s="11"/>
      <c r="J37" s="6"/>
      <c r="K37" s="6"/>
    </row>
  </sheetData>
</worksheet>
</file>

<file path=xl/worksheets/sheet9.xml><?xml version="1.0" encoding="utf-8"?>
<worksheet xmlns="http://schemas.openxmlformats.org/spreadsheetml/2006/main" xmlns:r="http://schemas.openxmlformats.org/officeDocument/2006/relationships">
  <dimension ref="A1:K28"/>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653</v>
      </c>
      <c r="B2" s="3"/>
      <c r="C2" s="3"/>
      <c r="D2" s="3"/>
      <c r="E2" s="3"/>
      <c r="F2" s="3"/>
      <c r="G2" s="3"/>
      <c r="H2" s="3"/>
      <c r="I2" s="3"/>
      <c r="J2" s="3"/>
      <c r="K2" s="3"/>
    </row>
    <row r="3">
      <c r="A3" s="37" t="s">
        <v>2</v>
      </c>
      <c r="B3" s="3"/>
      <c r="C3" s="3"/>
      <c r="D3" s="3"/>
      <c r="E3" s="3"/>
      <c r="F3" s="3"/>
      <c r="G3" s="3"/>
      <c r="H3" s="3"/>
      <c r="I3" s="3"/>
      <c r="J3" s="3"/>
      <c r="K3" s="3"/>
    </row>
    <row r="4">
      <c r="A4" s="12" t="s">
        <v>654</v>
      </c>
      <c r="B4" s="9"/>
      <c r="C4" s="9"/>
      <c r="D4" s="9"/>
      <c r="E4" s="9"/>
      <c r="F4" s="9"/>
      <c r="G4" s="9"/>
      <c r="H4" s="9"/>
      <c r="I4" s="9"/>
      <c r="J4" s="12" t="s">
        <v>4</v>
      </c>
      <c r="K4" s="3"/>
    </row>
    <row r="5">
      <c r="A5" s="28"/>
      <c r="B5" s="22"/>
      <c r="C5" s="22"/>
      <c r="D5" s="22"/>
      <c r="E5" s="22"/>
      <c r="F5" s="22"/>
      <c r="G5" s="22"/>
      <c r="H5" s="22"/>
      <c r="I5" s="22"/>
      <c r="J5" s="28"/>
      <c r="K5" s="3"/>
    </row>
    <row r="6">
      <c r="A6" s="33"/>
      <c r="B6" s="13"/>
      <c r="C6" s="13"/>
      <c r="D6" s="13"/>
      <c r="E6" s="13"/>
      <c r="F6" s="13"/>
      <c r="G6" s="13"/>
      <c r="H6" s="13"/>
      <c r="I6" s="13"/>
      <c r="J6" s="33"/>
      <c r="K6" s="3"/>
    </row>
    <row r="7">
      <c r="A7" s="3"/>
      <c r="B7" s="3"/>
      <c r="C7" s="3"/>
      <c r="D7" s="3"/>
      <c r="E7" s="3"/>
      <c r="F7" s="3"/>
      <c r="G7" s="3"/>
      <c r="H7" s="3"/>
      <c r="I7" s="3"/>
      <c r="J7" s="3"/>
      <c r="K7" s="3"/>
    </row>
    <row r="8" ht="33">
      <c r="A8" s="35" t="s">
        <v>655</v>
      </c>
      <c r="B8" s="29" t="s">
        <v>656</v>
      </c>
      <c r="C8" s="29" t="s">
        <v>88</v>
      </c>
      <c r="D8" s="29" t="s">
        <v>657</v>
      </c>
      <c r="E8" s="29" t="s">
        <v>658</v>
      </c>
      <c r="F8" s="29" t="s">
        <v>659</v>
      </c>
      <c r="G8" s="29" t="s">
        <v>660</v>
      </c>
      <c r="H8" s="29" t="s">
        <v>661</v>
      </c>
      <c r="I8" s="29" t="s">
        <v>662</v>
      </c>
      <c r="J8" s="41"/>
      <c r="K8" s="6"/>
    </row>
    <row r="9">
      <c r="A9" s="4" t="s">
        <v>663</v>
      </c>
      <c r="B9" s="31">
        <f>DATE(2025,10,28)</f>
        <v>45958</v>
      </c>
      <c r="C9" s="23" t="s">
        <v>664</v>
      </c>
      <c r="D9" s="24">
        <v>3.45</v>
      </c>
      <c r="E9" s="24">
        <v>3.7</v>
      </c>
      <c r="F9" s="18">
        <f>IF(ISNUMBER(E9),(D9+E9)/2,D9)</f>
        <v>3.575</v>
      </c>
      <c r="G9" s="36">
        <f>'Income Statement'!F106</f>
        <v>3.7098020280057944</v>
      </c>
      <c r="H9" s="23" t="str">
        <f>IF(ISNUMBER(G9),IF(G9&gt;IF(ISNUMBER(E9),E9,D9),"Beat (&gt; high)",IF(G9&gt;=F9,"Beat (≥ mid)",IF(G9&gt;=D9,"Miss (&lt; mid)","Miss (&lt; low)"))),"n/a")</f>
        <v>Beat (&gt; high)</v>
      </c>
      <c r="I9" s="23" t="s">
        <v>665</v>
      </c>
      <c r="J9" s="6"/>
      <c r="K9" s="6"/>
    </row>
    <row r="10">
      <c r="A10" s="4" t="s">
        <v>666</v>
      </c>
      <c r="B10" s="31">
        <f>DATE(2026,1,2)</f>
        <v>46024</v>
      </c>
      <c r="C10" s="23" t="s">
        <v>664</v>
      </c>
      <c r="D10" s="24">
        <v>3.62</v>
      </c>
      <c r="E10" s="24">
        <v>3.7</v>
      </c>
      <c r="F10" s="18">
        <f>IF(ISNUMBER(E10),(D10+E10)/2,D10)</f>
        <v>3.66</v>
      </c>
      <c r="G10" s="36">
        <f>'Income Statement'!F106</f>
        <v>3.7098020280057944</v>
      </c>
      <c r="H10" s="23" t="str">
        <f>IF(ISNUMBER(G10),IF(G10&gt;IF(ISNUMBER(E10),E10,D10),"Beat (&gt; high)",IF(G10&gt;=F10,"Beat (≥ mid)",IF(G10&gt;=D10,"Miss (&lt; mid)","Miss (&lt; low)"))),"n/a")</f>
        <v>Beat (&gt; high)</v>
      </c>
      <c r="I10" s="23" t="s">
        <v>667</v>
      </c>
      <c r="J10" s="6"/>
      <c r="K10" s="6"/>
    </row>
    <row r="11">
      <c r="A11" s="4" t="s">
        <v>663</v>
      </c>
      <c r="B11" s="31">
        <f>DATE(2025,10,28)</f>
        <v>45958</v>
      </c>
      <c r="C11" s="23" t="s">
        <v>668</v>
      </c>
      <c r="D11" s="24">
        <v>3.63</v>
      </c>
      <c r="E11" s="24">
        <v>4</v>
      </c>
      <c r="F11" s="18">
        <f>IF(ISNUMBER(E11),(D11+E11)/2,D11)</f>
        <v>3.815</v>
      </c>
      <c r="G11" s="18" t="s">
        <v>669</v>
      </c>
      <c r="H11" s="23" t="str">
        <f>IF(ISNUMBER(G11),IF(G11&gt;IF(ISNUMBER(E11),E11,D11),"Beat (&gt; high)",IF(G11&gt;=F11,"Beat (≥ mid)",IF(G11&gt;=D11,"Miss (&lt; mid)","Miss (&lt; low)"))),"n/a")</f>
        <v>n/a</v>
      </c>
      <c r="I11" s="23" t="s">
        <v>665</v>
      </c>
      <c r="J11" s="6"/>
      <c r="K11" s="6"/>
    </row>
    <row r="12">
      <c r="A12" s="4" t="s">
        <v>666</v>
      </c>
      <c r="B12" s="31">
        <f>DATE(2026,1,2)</f>
        <v>46024</v>
      </c>
      <c r="C12" s="23" t="s">
        <v>668</v>
      </c>
      <c r="D12" s="24">
        <v>3.92</v>
      </c>
      <c r="E12" s="24">
        <v>4.02</v>
      </c>
      <c r="F12" s="18">
        <f>IF(ISNUMBER(E12),(D12+E12)/2,D12)</f>
        <v>3.9699999999999998</v>
      </c>
      <c r="G12" s="18" t="s">
        <v>669</v>
      </c>
      <c r="H12" s="23" t="str">
        <f>IF(ISNUMBER(G12),IF(G12&gt;IF(ISNUMBER(E12),E12,D12),"Beat (&gt; high)",IF(G12&gt;=F12,"Beat (≥ mid)",IF(G12&gt;=D12,"Miss (&lt; mid)","Miss (&lt; low)"))),"n/a")</f>
        <v>n/a</v>
      </c>
      <c r="I12" s="23" t="s">
        <v>667</v>
      </c>
      <c r="J12" s="6"/>
      <c r="K12" s="6"/>
    </row>
    <row r="13">
      <c r="A13" s="4" t="s">
        <v>670</v>
      </c>
      <c r="B13" s="31">
        <f>DATE(2026,4,23)</f>
        <v>46135</v>
      </c>
      <c r="C13" s="23" t="s">
        <v>668</v>
      </c>
      <c r="D13" s="24">
        <v>3.92</v>
      </c>
      <c r="E13" s="24">
        <v>4.02</v>
      </c>
      <c r="F13" s="18">
        <f>IF(ISNUMBER(E13),(D13+E13)/2,D13)</f>
        <v>3.9699999999999998</v>
      </c>
      <c r="G13" s="18" t="s">
        <v>669</v>
      </c>
      <c r="H13" s="23" t="str">
        <f>IF(ISNUMBER(G13),IF(G13&gt;IF(ISNUMBER(E13),E13,D13),"Beat (&gt; high)",IF(G13&gt;=F13,"Beat (≥ mid)",IF(G13&gt;=D13,"Miss (&lt; mid)","Miss (&lt; low)"))),"n/a")</f>
        <v>n/a</v>
      </c>
      <c r="I13" s="23" t="s">
        <v>671</v>
      </c>
      <c r="J13" s="6"/>
      <c r="K13" s="6"/>
    </row>
    <row r="14">
      <c r="A14" s="4" t="s">
        <v>670</v>
      </c>
      <c r="B14" s="31">
        <f>DATE(2026,7,24)</f>
        <v>46227</v>
      </c>
      <c r="C14" s="23" t="s">
        <v>668</v>
      </c>
      <c r="D14" s="24">
        <v>3.92</v>
      </c>
      <c r="E14" s="24">
        <v>4.02</v>
      </c>
      <c r="F14" s="18">
        <f>IF(ISNUMBER(E14),(D14+E14)/2,D14)</f>
        <v>3.9699999999999998</v>
      </c>
      <c r="G14" s="18" t="s">
        <v>669</v>
      </c>
      <c r="H14" s="23" t="str">
        <f>IF(ISNUMBER(G14),IF(G14&gt;IF(ISNUMBER(E14),E14,D14),"Beat (&gt; high)",IF(G14&gt;=F14,"Beat (≥ mid)",IF(G14&gt;=D14,"Miss (&lt; mid)","Miss (&lt; low)"))),"n/a")</f>
        <v>n/a</v>
      </c>
      <c r="I14" s="23" t="s">
        <v>672</v>
      </c>
      <c r="J14" s="6"/>
      <c r="K14" s="6"/>
    </row>
    <row r="15">
      <c r="A15" s="4" t="s">
        <v>670</v>
      </c>
      <c r="B15" s="31">
        <f>DATE(2026,9,14)</f>
        <v>46279</v>
      </c>
      <c r="C15" s="23" t="s">
        <v>668</v>
      </c>
      <c r="D15" s="24">
        <v>3.92</v>
      </c>
      <c r="E15" s="24">
        <v>4.02</v>
      </c>
      <c r="F15" s="18">
        <f>IF(ISNUMBER(E15),(D15+E15)/2,D15)</f>
        <v>3.9699999999999998</v>
      </c>
      <c r="G15" s="18" t="s">
        <v>669</v>
      </c>
      <c r="H15" s="23" t="str">
        <f>IF(ISNUMBER(G15),IF(G15&gt;IF(ISNUMBER(E15),E15,D15),"Beat (&gt; high)",IF(G15&gt;=F15,"Beat (≥ mid)",IF(G15&gt;=D15,"Miss (&lt; mid)","Miss (&lt; low)"))),"n/a")</f>
        <v>n/a</v>
      </c>
      <c r="I15" s="23" t="s">
        <v>673</v>
      </c>
      <c r="J15" s="6"/>
      <c r="K15" s="6"/>
    </row>
    <row r="16">
      <c r="A16" s="4" t="s">
        <v>674</v>
      </c>
      <c r="B16" s="31">
        <f>DATE(2025,10,28)</f>
        <v>45958</v>
      </c>
      <c r="C16" s="23" t="s">
        <v>664</v>
      </c>
      <c r="D16" s="1">
        <v>9300</v>
      </c>
      <c r="E16" s="1">
        <v>9800</v>
      </c>
      <c r="F16" s="7">
        <f>IF(ISNUMBER(E16),(D16+E16)/2,D16)</f>
        <v>9550</v>
      </c>
      <c r="G16" s="19">
        <f>-'Cash Flow Statement'!F29</f>
        <v>8719</v>
      </c>
      <c r="H16" s="66" t="str">
        <f>IF(ISNUMBER(G16),IF(G16&gt;E16,"Above range",IF(G16&gt;=D16,"Within range","Below range")),"n/a")</f>
        <v>Below range</v>
      </c>
      <c r="I16" s="23" t="s">
        <v>675</v>
      </c>
      <c r="J16" s="6" t="s">
        <v>676</v>
      </c>
      <c r="K16" s="6"/>
    </row>
    <row r="17">
      <c r="A17" s="4" t="s">
        <v>674</v>
      </c>
      <c r="B17" s="31">
        <f>DATE(2026,4,23)</f>
        <v>46135</v>
      </c>
      <c r="C17" s="23" t="s">
        <v>668</v>
      </c>
      <c r="D17" s="1">
        <v>12000</v>
      </c>
      <c r="E17" s="1">
        <v>13000</v>
      </c>
      <c r="F17" s="7">
        <f>IF(ISNUMBER(E17),(D17+E17)/2,D17)</f>
        <v>12500</v>
      </c>
      <c r="G17" s="7" t="s">
        <v>669</v>
      </c>
      <c r="H17" s="66" t="str">
        <f>IF(ISNUMBER(G17),IF(G17&gt;E17,"Above range",IF(G17&gt;=D17,"Within range","Below range")),"n/a")</f>
        <v>n/a</v>
      </c>
      <c r="I17" s="23" t="s">
        <v>677</v>
      </c>
      <c r="J17" s="6"/>
      <c r="K17" s="6"/>
    </row>
    <row r="18">
      <c r="A18" s="4" t="s">
        <v>678</v>
      </c>
      <c r="B18" s="31">
        <f>DATE(2026,1,27)</f>
        <v>46049</v>
      </c>
      <c r="C18" s="23" t="s">
        <v>679</v>
      </c>
      <c r="D18" s="34">
        <v>0.08</v>
      </c>
      <c r="E18" s="32" t="s">
        <v>34</v>
      </c>
      <c r="F18" s="32">
        <f>IF(ISNUMBER(E18),(D18+E18)/2,D18)</f>
        <v>0.08</v>
      </c>
      <c r="G18" s="32" t="s">
        <v>669</v>
      </c>
      <c r="H18" s="23" t="str">
        <f>IF(ISNUMBER(G18),IF(G18&gt;IF(ISNUMBER(E18),E18,D18),"Beat (&gt; high)",IF(G18&gt;=F18,"Beat (≥ mid)",IF(G18&gt;=D18,"Miss (&lt; mid)","Miss (&lt; low)"))),"n/a")</f>
        <v>n/a</v>
      </c>
      <c r="I18" s="23" t="s">
        <v>680</v>
      </c>
      <c r="J18" s="6"/>
      <c r="K18" s="6"/>
    </row>
    <row r="19">
      <c r="A19" s="4" t="s">
        <v>681</v>
      </c>
      <c r="B19" s="31">
        <f>DATE(2026,1,27)</f>
        <v>46049</v>
      </c>
      <c r="C19" s="23" t="s">
        <v>682</v>
      </c>
      <c r="D19" s="34">
        <v>0.1</v>
      </c>
      <c r="E19" s="34">
        <v>0.1</v>
      </c>
      <c r="F19" s="32">
        <f>IF(ISNUMBER(E19),(D19+E19)/2,D19)</f>
        <v>0.1</v>
      </c>
      <c r="G19" s="32" t="s">
        <v>669</v>
      </c>
      <c r="H19" s="23" t="str">
        <f>IF(ISNUMBER(G19),IF(G19&gt;IF(ISNUMBER(E19),E19,D19),"Beat (&gt; high)",IF(G19&gt;=F19,"Beat (≥ mid)",IF(G19&gt;=D19,"Miss (&lt; mid)","Miss (&lt; low)"))),"n/a")</f>
        <v>n/a</v>
      </c>
      <c r="I19" s="23" t="s">
        <v>680</v>
      </c>
      <c r="J19" s="6"/>
      <c r="K19" s="6"/>
    </row>
    <row r="20">
      <c r="A20" s="3"/>
      <c r="B20" s="3"/>
      <c r="C20" s="3"/>
      <c r="D20" s="3"/>
      <c r="E20" s="3"/>
      <c r="F20" s="3"/>
      <c r="G20" s="3"/>
      <c r="H20" s="3"/>
      <c r="I20" s="3"/>
      <c r="J20" s="6"/>
      <c r="K20" s="6"/>
    </row>
    <row r="21">
      <c r="A21" s="4" t="s">
        <v>683</v>
      </c>
      <c r="B21" s="18"/>
      <c r="C21" s="18"/>
      <c r="D21" s="18"/>
      <c r="E21" s="18"/>
      <c r="F21" s="36">
        <f>('Income Statement'!G85+'Income Statement'!H85)/(('Share Count'!G13*'Share Count'!G6+'Share Count'!H13*'Share Count'!H6)/('Share Count'!G6+'Share Count'!H6))</f>
        <v>2.236818627652824</v>
      </c>
      <c r="G21" s="18"/>
      <c r="H21" s="18"/>
      <c r="I21" s="18"/>
      <c r="J21" s="6" t="s">
        <v>684</v>
      </c>
      <c r="K21" s="6"/>
    </row>
    <row r="22">
      <c r="A22" s="4" t="s">
        <v>685</v>
      </c>
      <c r="B22" s="18"/>
      <c r="C22" s="18"/>
      <c r="D22" s="18"/>
      <c r="E22" s="18"/>
      <c r="F22" s="18">
        <f>F15-F21</f>
        <v>1.7331813723471758</v>
      </c>
      <c r="G22" s="18"/>
      <c r="H22" s="18"/>
      <c r="I22" s="18"/>
      <c r="J22" s="6" t="s">
        <v>686</v>
      </c>
      <c r="K22" s="6"/>
    </row>
    <row r="23">
      <c r="A23" s="4" t="s">
        <v>687</v>
      </c>
      <c r="B23" s="18"/>
      <c r="C23" s="18"/>
      <c r="D23" s="18"/>
      <c r="E23" s="18"/>
      <c r="F23" s="18">
        <f>E15-F21</f>
        <v>1.7831813723471757</v>
      </c>
      <c r="G23" s="18"/>
      <c r="H23" s="18"/>
      <c r="I23" s="18"/>
      <c r="J23" s="6" t="s">
        <v>688</v>
      </c>
      <c r="K23" s="6"/>
    </row>
    <row r="24">
      <c r="A24" s="4" t="s">
        <v>689</v>
      </c>
      <c r="B24" s="18"/>
      <c r="C24" s="18"/>
      <c r="D24" s="18"/>
      <c r="E24" s="18"/>
      <c r="F24" s="36">
        <f>F23-'Income Statement'!I106</f>
        <v>0.6053876760721042</v>
      </c>
      <c r="G24" s="18"/>
      <c r="H24" s="18"/>
      <c r="I24" s="18"/>
      <c r="J24" s="6" t="s">
        <v>690</v>
      </c>
      <c r="K24" s="6"/>
    </row>
    <row r="25">
      <c r="A25" s="3" t="s">
        <v>691</v>
      </c>
      <c r="B25" s="3"/>
      <c r="C25" s="3"/>
      <c r="D25" s="3"/>
      <c r="E25" s="3"/>
      <c r="F25" s="3"/>
      <c r="G25" s="3"/>
      <c r="H25" s="3"/>
      <c r="I25" s="3"/>
      <c r="J25" s="6"/>
      <c r="K25" s="6"/>
    </row>
    <row r="26">
      <c r="A26" s="3"/>
      <c r="B26" s="3"/>
      <c r="C26" s="3"/>
      <c r="D26" s="3"/>
      <c r="E26" s="3"/>
      <c r="F26" s="3"/>
      <c r="G26" s="3"/>
      <c r="H26" s="3"/>
      <c r="I26" s="3"/>
      <c r="J26" s="6"/>
      <c r="K26" s="6"/>
    </row>
    <row r="27">
      <c r="A27" s="3"/>
      <c r="B27" s="3"/>
      <c r="C27" s="3"/>
      <c r="D27" s="3"/>
      <c r="E27" s="3"/>
      <c r="F27" s="3"/>
      <c r="G27" s="3"/>
      <c r="H27" s="3"/>
      <c r="I27" s="3"/>
      <c r="J27" s="6"/>
      <c r="K27" s="6"/>
    </row>
    <row r="28">
      <c r="A28" s="3"/>
      <c r="B28" s="3"/>
      <c r="C28" s="3"/>
      <c r="D28" s="3"/>
      <c r="E28" s="3"/>
      <c r="F28" s="3"/>
      <c r="G28" s="3"/>
      <c r="H28" s="3"/>
      <c r="I28" s="3"/>
      <c r="J28" s="6"/>
      <c r="K28" s="6"/>
    </row>
  </sheetData>
</worksheet>
</file>

<file path=xl/worksheets/sheet10.xml><?xml version="1.0" encoding="utf-8"?>
<worksheet xmlns="http://schemas.openxmlformats.org/spreadsheetml/2006/main" xmlns:r="http://schemas.openxmlformats.org/officeDocument/2006/relationships">
  <dimension ref="A1:L50"/>
  <sheetViews>
    <sheetView showGridLines="0" workbookViewId="0"/>
  </sheetViews>
  <sheetFormatPr defaultColWidth="8.42578125" defaultRowHeight="15"/>
  <cols>
    <col min="1" max="1" width="66" customWidth="1"/>
    <col min="2" max="9" width="12" customWidth="1"/>
    <col min="10" max="10" width="70" customWidth="1"/>
    <col min="11" max="11" width="50" customWidth="1"/>
  </cols>
  <sheetData>
    <row r="1">
      <c r="A1" s="21" t="s">
        <v>0</v>
      </c>
      <c r="B1" s="3"/>
      <c r="C1" s="3"/>
      <c r="D1" s="3"/>
      <c r="E1" s="3"/>
      <c r="F1" s="3"/>
      <c r="G1" s="3"/>
      <c r="H1" s="3"/>
      <c r="I1" s="3"/>
      <c r="J1" s="3"/>
      <c r="K1" s="3"/>
      <c r="L1" s="3"/>
    </row>
    <row r="2">
      <c r="A2" s="26" t="s">
        <v>692</v>
      </c>
      <c r="B2" s="3"/>
      <c r="C2" s="3"/>
      <c r="D2" s="3"/>
      <c r="E2" s="3"/>
      <c r="F2" s="3"/>
      <c r="G2" s="3"/>
      <c r="H2" s="3"/>
      <c r="I2" s="3"/>
      <c r="J2" s="3"/>
      <c r="K2" s="3"/>
      <c r="L2" s="3"/>
    </row>
    <row r="3">
      <c r="A3" s="37" t="s">
        <v>2</v>
      </c>
      <c r="B3" s="3"/>
      <c r="C3" s="3"/>
      <c r="D3" s="3"/>
      <c r="E3" s="3"/>
      <c r="F3" s="3"/>
      <c r="G3" s="3"/>
      <c r="H3" s="3"/>
      <c r="I3" s="3"/>
      <c r="J3" s="3"/>
      <c r="K3" s="3"/>
      <c r="L3" s="3"/>
    </row>
    <row r="4">
      <c r="A4" s="12" t="s">
        <v>654</v>
      </c>
      <c r="B4" s="9"/>
      <c r="C4" s="9"/>
      <c r="D4" s="9"/>
      <c r="E4" s="9"/>
      <c r="F4" s="9"/>
      <c r="G4" s="9"/>
      <c r="H4" s="9"/>
      <c r="I4" s="9"/>
      <c r="J4" s="12" t="s">
        <v>4</v>
      </c>
      <c r="K4" s="3"/>
      <c r="L4" s="3"/>
    </row>
    <row r="5">
      <c r="A5" s="28"/>
      <c r="B5" s="22"/>
      <c r="C5" s="22"/>
      <c r="D5" s="22"/>
      <c r="E5" s="22"/>
      <c r="F5" s="22"/>
      <c r="G5" s="22"/>
      <c r="H5" s="22"/>
      <c r="I5" s="22"/>
      <c r="J5" s="28"/>
      <c r="K5" s="3"/>
      <c r="L5" s="3"/>
    </row>
    <row r="6">
      <c r="A6" s="33"/>
      <c r="B6" s="13"/>
      <c r="C6" s="13"/>
      <c r="D6" s="13"/>
      <c r="E6" s="13"/>
      <c r="F6" s="13"/>
      <c r="G6" s="13"/>
      <c r="H6" s="13"/>
      <c r="I6" s="13"/>
      <c r="J6" s="33"/>
      <c r="K6" s="3"/>
      <c r="L6" s="3"/>
    </row>
    <row r="7">
      <c r="A7" s="3"/>
      <c r="B7" s="3"/>
      <c r="C7" s="3"/>
      <c r="D7" s="3"/>
      <c r="E7" s="3"/>
      <c r="F7" s="3"/>
      <c r="G7" s="3"/>
      <c r="H7" s="3"/>
      <c r="I7" s="3"/>
      <c r="J7" s="3"/>
      <c r="K7" s="3"/>
      <c r="L7" s="3"/>
    </row>
    <row r="8" ht="33">
      <c r="A8" s="35" t="s">
        <v>693</v>
      </c>
      <c r="B8" s="29" t="s">
        <v>694</v>
      </c>
      <c r="C8" s="29" t="s">
        <v>695</v>
      </c>
      <c r="D8" s="29" t="s">
        <v>696</v>
      </c>
      <c r="E8" s="29"/>
      <c r="F8" s="29"/>
      <c r="G8" s="29"/>
      <c r="H8" s="29"/>
      <c r="I8" s="29"/>
      <c r="J8" s="41" t="s">
        <v>697</v>
      </c>
      <c r="K8" s="41" t="s">
        <v>698</v>
      </c>
      <c r="L8" s="41"/>
    </row>
    <row r="9">
      <c r="A9" s="4" t="s">
        <v>699</v>
      </c>
      <c r="B9" s="23" t="s">
        <v>128</v>
      </c>
      <c r="C9" s="31">
        <f>DATE(2026,10,18)</f>
        <v>46313</v>
      </c>
      <c r="D9" s="52" t="str">
        <f>IF(C9&lt;=INT($C$43),"yes","NO")</f>
        <v>yes</v>
      </c>
      <c r="E9" s="3"/>
      <c r="F9" s="3"/>
      <c r="G9" s="3"/>
      <c r="H9" s="3"/>
      <c r="I9" s="3"/>
      <c r="J9" s="71" t="s">
        <v>700</v>
      </c>
      <c r="K9" s="6" t="s">
        <v>701</v>
      </c>
      <c r="L9" s="6"/>
    </row>
    <row r="10">
      <c r="A10" s="4" t="s">
        <v>702</v>
      </c>
      <c r="B10" s="23" t="s">
        <v>703</v>
      </c>
      <c r="C10" s="31">
        <f>DATE(2026,10,18)</f>
        <v>46313</v>
      </c>
      <c r="D10" s="52" t="str">
        <f>IF(C10&lt;=INT($C$43),"yes","NO")</f>
        <v>yes</v>
      </c>
      <c r="E10" s="3"/>
      <c r="F10" s="3"/>
      <c r="G10" s="3"/>
      <c r="H10" s="3"/>
      <c r="I10" s="3"/>
      <c r="J10" s="71" t="s">
        <v>704</v>
      </c>
      <c r="K10" s="6" t="s">
        <v>705</v>
      </c>
      <c r="L10" s="6"/>
    </row>
    <row r="11" ht="25.5">
      <c r="A11" s="4" t="s">
        <v>706</v>
      </c>
      <c r="B11" s="23" t="s">
        <v>707</v>
      </c>
      <c r="C11" s="31">
        <f>DATE(2025,4,23)</f>
        <v>45770</v>
      </c>
      <c r="D11" s="52" t="str">
        <f>IF(C11&lt;=INT($C$43),"yes","NO")</f>
        <v>yes</v>
      </c>
      <c r="E11" s="3"/>
      <c r="F11" s="3"/>
      <c r="G11" s="3"/>
      <c r="H11" s="3"/>
      <c r="I11" s="3"/>
      <c r="J11" s="71" t="s">
        <v>708</v>
      </c>
      <c r="K11" s="6" t="s">
        <v>709</v>
      </c>
      <c r="L11" s="6"/>
    </row>
    <row r="12" ht="25.5">
      <c r="A12" s="4" t="s">
        <v>710</v>
      </c>
      <c r="B12" s="23" t="s">
        <v>711</v>
      </c>
      <c r="C12" s="31">
        <f>DATE(2025,7,23)</f>
        <v>45861</v>
      </c>
      <c r="D12" s="52" t="str">
        <f>IF(C12&lt;=INT($C$43),"yes","NO")</f>
        <v>yes</v>
      </c>
      <c r="E12" s="3"/>
      <c r="F12" s="3"/>
      <c r="G12" s="3"/>
      <c r="H12" s="3"/>
      <c r="I12" s="3"/>
      <c r="J12" s="71" t="s">
        <v>712</v>
      </c>
      <c r="K12" s="6" t="s">
        <v>713</v>
      </c>
      <c r="L12" s="6"/>
    </row>
    <row r="13" ht="25.5">
      <c r="A13" s="4" t="s">
        <v>714</v>
      </c>
      <c r="B13" s="23" t="s">
        <v>715</v>
      </c>
      <c r="C13" s="31">
        <f>DATE(2025,10,28)</f>
        <v>45958</v>
      </c>
      <c r="D13" s="52" t="str">
        <f>IF(C13&lt;=INT($C$43),"yes","NO")</f>
        <v>yes</v>
      </c>
      <c r="E13" s="3"/>
      <c r="F13" s="3"/>
      <c r="G13" s="3"/>
      <c r="H13" s="3"/>
      <c r="I13" s="3"/>
      <c r="J13" s="71" t="s">
        <v>716</v>
      </c>
      <c r="K13" s="6" t="s">
        <v>717</v>
      </c>
      <c r="L13" s="6"/>
    </row>
    <row r="14" ht="25.5">
      <c r="A14" s="4" t="s">
        <v>718</v>
      </c>
      <c r="B14" s="23" t="s">
        <v>719</v>
      </c>
      <c r="C14" s="31">
        <f>DATE(2026,1,27)</f>
        <v>46049</v>
      </c>
      <c r="D14" s="52" t="str">
        <f>IF(C14&lt;=INT($C$43),"yes","NO")</f>
        <v>yes</v>
      </c>
      <c r="E14" s="3"/>
      <c r="F14" s="3"/>
      <c r="G14" s="3"/>
      <c r="H14" s="3"/>
      <c r="I14" s="3"/>
      <c r="J14" s="71" t="s">
        <v>720</v>
      </c>
      <c r="K14" s="6" t="s">
        <v>721</v>
      </c>
      <c r="L14" s="6"/>
    </row>
    <row r="15" ht="25.5">
      <c r="A15" s="4" t="s">
        <v>722</v>
      </c>
      <c r="B15" s="23" t="s">
        <v>671</v>
      </c>
      <c r="C15" s="31">
        <f>DATE(2026,4,23)</f>
        <v>46135</v>
      </c>
      <c r="D15" s="52" t="str">
        <f>IF(C15&lt;=INT($C$43),"yes","NO")</f>
        <v>yes</v>
      </c>
      <c r="E15" s="3"/>
      <c r="F15" s="3"/>
      <c r="G15" s="3"/>
      <c r="H15" s="3"/>
      <c r="I15" s="3"/>
      <c r="J15" s="71" t="s">
        <v>723</v>
      </c>
      <c r="K15" s="6" t="s">
        <v>724</v>
      </c>
      <c r="L15" s="6"/>
    </row>
    <row r="16" ht="25.5">
      <c r="A16" s="4" t="s">
        <v>725</v>
      </c>
      <c r="B16" s="23" t="s">
        <v>672</v>
      </c>
      <c r="C16" s="31">
        <f>DATE(2026,7,24)</f>
        <v>46227</v>
      </c>
      <c r="D16" s="52" t="str">
        <f>IF(C16&lt;=INT($C$43),"yes","NO")</f>
        <v>yes</v>
      </c>
      <c r="E16" s="3"/>
      <c r="F16" s="3"/>
      <c r="G16" s="3"/>
      <c r="H16" s="3"/>
      <c r="I16" s="3"/>
      <c r="J16" s="71" t="s">
        <v>726</v>
      </c>
      <c r="K16" s="6" t="s">
        <v>727</v>
      </c>
      <c r="L16" s="6"/>
    </row>
    <row r="17" ht="25.5">
      <c r="A17" s="4" t="s">
        <v>728</v>
      </c>
      <c r="B17" s="23" t="s">
        <v>729</v>
      </c>
      <c r="C17" s="31">
        <f>DATE(2025,10,28)</f>
        <v>45958</v>
      </c>
      <c r="D17" s="52" t="str">
        <f>IF(C17&lt;=INT($C$43),"yes","NO")</f>
        <v>yes</v>
      </c>
      <c r="E17" s="3"/>
      <c r="F17" s="3"/>
      <c r="G17" s="3"/>
      <c r="H17" s="3"/>
      <c r="I17" s="3"/>
      <c r="J17" s="71" t="s">
        <v>730</v>
      </c>
      <c r="K17" s="6" t="s">
        <v>731</v>
      </c>
      <c r="L17" s="6"/>
    </row>
    <row r="18" ht="25.5">
      <c r="A18" s="4" t="s">
        <v>732</v>
      </c>
      <c r="B18" s="23" t="s">
        <v>345</v>
      </c>
      <c r="C18" s="31">
        <f>DATE(2026,7,24)</f>
        <v>46227</v>
      </c>
      <c r="D18" s="52" t="str">
        <f>IF(C18&lt;=INT($C$43),"yes","NO")</f>
        <v>yes</v>
      </c>
      <c r="E18" s="3"/>
      <c r="F18" s="3"/>
      <c r="G18" s="3"/>
      <c r="H18" s="3"/>
      <c r="I18" s="3"/>
      <c r="J18" s="71" t="s">
        <v>733</v>
      </c>
      <c r="K18" s="6" t="s">
        <v>734</v>
      </c>
      <c r="L18" s="6"/>
    </row>
    <row r="19" ht="25.5">
      <c r="A19" s="4" t="s">
        <v>735</v>
      </c>
      <c r="B19" s="23" t="s">
        <v>736</v>
      </c>
      <c r="C19" s="31">
        <f>DATE(2025,4,23)</f>
        <v>45770</v>
      </c>
      <c r="D19" s="52" t="str">
        <f>IF(C19&lt;=INT($C$43),"yes","NO")</f>
        <v>yes</v>
      </c>
      <c r="E19" s="3"/>
      <c r="F19" s="3"/>
      <c r="G19" s="3"/>
      <c r="H19" s="3"/>
      <c r="I19" s="3"/>
      <c r="J19" s="71" t="s">
        <v>737</v>
      </c>
      <c r="K19" s="6" t="s">
        <v>738</v>
      </c>
      <c r="L19" s="6"/>
    </row>
    <row r="20" ht="36">
      <c r="A20" s="4" t="s">
        <v>739</v>
      </c>
      <c r="B20" s="23" t="s">
        <v>740</v>
      </c>
      <c r="C20" s="31">
        <f>DATE(2025,10,28)</f>
        <v>45958</v>
      </c>
      <c r="D20" s="52" t="str">
        <f>IF(C20&lt;=INT($C$43),"yes","NO")</f>
        <v>yes</v>
      </c>
      <c r="E20" s="3"/>
      <c r="F20" s="3"/>
      <c r="G20" s="3"/>
      <c r="H20" s="3"/>
      <c r="I20" s="3"/>
      <c r="J20" s="71" t="s">
        <v>741</v>
      </c>
      <c r="K20" s="6" t="s">
        <v>742</v>
      </c>
      <c r="L20" s="6"/>
    </row>
    <row r="21" ht="36">
      <c r="A21" s="4" t="s">
        <v>743</v>
      </c>
      <c r="B21" s="23" t="s">
        <v>744</v>
      </c>
      <c r="C21" s="31">
        <f>DATE(2026,1,27)</f>
        <v>46049</v>
      </c>
      <c r="D21" s="52" t="str">
        <f>IF(C21&lt;=INT($C$43),"yes","NO")</f>
        <v>yes</v>
      </c>
      <c r="E21" s="3"/>
      <c r="F21" s="3"/>
      <c r="G21" s="3"/>
      <c r="H21" s="3"/>
      <c r="I21" s="3"/>
      <c r="J21" s="71" t="s">
        <v>745</v>
      </c>
      <c r="K21" s="6" t="s">
        <v>746</v>
      </c>
      <c r="L21" s="6"/>
    </row>
    <row r="22" ht="36">
      <c r="A22" s="4" t="s">
        <v>747</v>
      </c>
      <c r="B22" s="23" t="s">
        <v>748</v>
      </c>
      <c r="C22" s="31">
        <f>DATE(2026,7,24)</f>
        <v>46227</v>
      </c>
      <c r="D22" s="52" t="str">
        <f>IF(C22&lt;=INT($C$43),"yes","NO")</f>
        <v>yes</v>
      </c>
      <c r="E22" s="3"/>
      <c r="F22" s="3"/>
      <c r="G22" s="3"/>
      <c r="H22" s="3"/>
      <c r="I22" s="3"/>
      <c r="J22" s="71" t="s">
        <v>749</v>
      </c>
      <c r="K22" s="6" t="s">
        <v>750</v>
      </c>
      <c r="L22" s="6"/>
    </row>
    <row r="23" ht="36">
      <c r="A23" s="4" t="s">
        <v>751</v>
      </c>
      <c r="B23" s="23" t="s">
        <v>752</v>
      </c>
      <c r="C23" s="31">
        <f>DATE(2026,7,24)</f>
        <v>46227</v>
      </c>
      <c r="D23" s="52" t="str">
        <f>IF(C23&lt;=INT($C$43),"yes","NO")</f>
        <v>yes</v>
      </c>
      <c r="E23" s="3"/>
      <c r="F23" s="3"/>
      <c r="G23" s="3"/>
      <c r="H23" s="3"/>
      <c r="I23" s="3"/>
      <c r="J23" s="71" t="s">
        <v>753</v>
      </c>
      <c r="K23" s="6" t="s">
        <v>754</v>
      </c>
      <c r="L23" s="6"/>
    </row>
    <row r="24" ht="36">
      <c r="A24" s="4" t="s">
        <v>755</v>
      </c>
      <c r="B24" s="23" t="s">
        <v>665</v>
      </c>
      <c r="C24" s="31">
        <f>DATE(2025,10,28)</f>
        <v>45958</v>
      </c>
      <c r="D24" s="52" t="str">
        <f>IF(C24&lt;=INT($C$43),"yes","NO")</f>
        <v>yes</v>
      </c>
      <c r="E24" s="3"/>
      <c r="F24" s="3"/>
      <c r="G24" s="3"/>
      <c r="H24" s="3"/>
      <c r="I24" s="3"/>
      <c r="J24" s="71" t="s">
        <v>756</v>
      </c>
      <c r="K24" s="6" t="s">
        <v>757</v>
      </c>
      <c r="L24" s="6"/>
    </row>
    <row r="25" ht="25.5">
      <c r="A25" s="4" t="s">
        <v>758</v>
      </c>
      <c r="B25" s="23" t="s">
        <v>759</v>
      </c>
      <c r="C25" s="31">
        <f>DATE(2026,4,23)</f>
        <v>46135</v>
      </c>
      <c r="D25" s="52" t="str">
        <f>IF(C25&lt;=INT($C$43),"yes","NO")</f>
        <v>yes</v>
      </c>
      <c r="E25" s="3"/>
      <c r="F25" s="3"/>
      <c r="G25" s="3"/>
      <c r="H25" s="3"/>
      <c r="I25" s="3"/>
      <c r="J25" s="71" t="s">
        <v>760</v>
      </c>
      <c r="K25" s="6" t="s">
        <v>761</v>
      </c>
      <c r="L25" s="6"/>
    </row>
    <row r="26" ht="25.5">
      <c r="A26" s="4" t="s">
        <v>762</v>
      </c>
      <c r="B26" s="23" t="s">
        <v>763</v>
      </c>
      <c r="C26" s="31">
        <f>DATE(2026,4,23)</f>
        <v>46135</v>
      </c>
      <c r="D26" s="52" t="str">
        <f>IF(C26&lt;=INT($C$43),"yes","NO")</f>
        <v>yes</v>
      </c>
      <c r="E26" s="3"/>
      <c r="F26" s="3"/>
      <c r="G26" s="3"/>
      <c r="H26" s="3"/>
      <c r="I26" s="3"/>
      <c r="J26" s="71" t="s">
        <v>764</v>
      </c>
      <c r="K26" s="6" t="s">
        <v>765</v>
      </c>
      <c r="L26" s="6"/>
    </row>
    <row r="27" ht="25.5">
      <c r="A27" s="4" t="s">
        <v>766</v>
      </c>
      <c r="B27" s="23" t="s">
        <v>667</v>
      </c>
      <c r="C27" s="31">
        <f>DATE(2026,1,2)</f>
        <v>46024</v>
      </c>
      <c r="D27" s="52" t="str">
        <f>IF(C27&lt;=INT($C$43),"yes","NO")</f>
        <v>yes</v>
      </c>
      <c r="E27" s="3"/>
      <c r="F27" s="3"/>
      <c r="G27" s="3"/>
      <c r="H27" s="3"/>
      <c r="I27" s="3"/>
      <c r="J27" s="71" t="s">
        <v>767</v>
      </c>
      <c r="K27" s="6" t="s">
        <v>653</v>
      </c>
      <c r="L27" s="6"/>
    </row>
    <row r="28" ht="25.5">
      <c r="A28" s="4" t="s">
        <v>768</v>
      </c>
      <c r="B28" s="23" t="s">
        <v>769</v>
      </c>
      <c r="C28" s="31">
        <f>DATE(2026,10,7)</f>
        <v>46302</v>
      </c>
      <c r="D28" s="52" t="str">
        <f>IF(C28&lt;=INT($C$43),"yes","NO")</f>
        <v>yes</v>
      </c>
      <c r="E28" s="3"/>
      <c r="F28" s="3"/>
      <c r="G28" s="3"/>
      <c r="H28" s="3"/>
      <c r="I28" s="3"/>
      <c r="J28" s="71" t="s">
        <v>770</v>
      </c>
      <c r="K28" s="6" t="s">
        <v>771</v>
      </c>
      <c r="L28" s="6"/>
    </row>
    <row r="29" ht="25.5">
      <c r="A29" s="4" t="s">
        <v>772</v>
      </c>
      <c r="B29" s="23" t="s">
        <v>673</v>
      </c>
      <c r="C29" s="31">
        <f>DATE(2026,9,14)</f>
        <v>46279</v>
      </c>
      <c r="D29" s="52" t="str">
        <f>IF(C29&lt;=INT($C$43),"yes","NO")</f>
        <v>yes</v>
      </c>
      <c r="E29" s="3"/>
      <c r="F29" s="3"/>
      <c r="G29" s="3"/>
      <c r="H29" s="3"/>
      <c r="I29" s="3"/>
      <c r="J29" s="71" t="s">
        <v>773</v>
      </c>
      <c r="K29" s="6" t="s">
        <v>774</v>
      </c>
      <c r="L29" s="6"/>
    </row>
    <row r="30" ht="25.5">
      <c r="A30" s="4" t="s">
        <v>775</v>
      </c>
      <c r="B30" s="23" t="s">
        <v>776</v>
      </c>
      <c r="C30" s="31">
        <f>DATE(2026,9,10)</f>
        <v>46275</v>
      </c>
      <c r="D30" s="52" t="str">
        <f>IF(C30&lt;=INT($C$43),"yes","NO")</f>
        <v>yes</v>
      </c>
      <c r="E30" s="3"/>
      <c r="F30" s="3"/>
      <c r="G30" s="3"/>
      <c r="H30" s="3"/>
      <c r="I30" s="3"/>
      <c r="J30" s="71" t="s">
        <v>777</v>
      </c>
      <c r="K30" s="6" t="s">
        <v>778</v>
      </c>
      <c r="L30" s="6"/>
    </row>
    <row r="31">
      <c r="A31" s="4" t="s">
        <v>779</v>
      </c>
      <c r="B31" s="23" t="s">
        <v>780</v>
      </c>
      <c r="C31" s="31">
        <f>DATE(2026,8,5)</f>
        <v>46239</v>
      </c>
      <c r="D31" s="52" t="str">
        <f>IF(C31&lt;=INT($C$43),"yes","NO")</f>
        <v>yes</v>
      </c>
      <c r="E31" s="3"/>
      <c r="F31" s="3"/>
      <c r="G31" s="3"/>
      <c r="H31" s="3"/>
      <c r="I31" s="3"/>
      <c r="J31" s="71" t="s">
        <v>781</v>
      </c>
      <c r="K31" s="6" t="s">
        <v>778</v>
      </c>
      <c r="L31" s="6"/>
    </row>
    <row r="32" ht="25.5">
      <c r="A32" s="4" t="s">
        <v>782</v>
      </c>
      <c r="B32" s="23" t="s">
        <v>783</v>
      </c>
      <c r="C32" s="31">
        <f>DATE(2026,10,8)</f>
        <v>46303</v>
      </c>
      <c r="D32" s="52" t="str">
        <f>IF(C32&lt;=INT($C$43),"yes","NO")</f>
        <v>yes</v>
      </c>
      <c r="E32" s="3"/>
      <c r="F32" s="3"/>
      <c r="G32" s="3"/>
      <c r="H32" s="3"/>
      <c r="I32" s="3"/>
      <c r="J32" s="71" t="s">
        <v>784</v>
      </c>
      <c r="K32" s="6" t="s">
        <v>778</v>
      </c>
      <c r="L32" s="6"/>
    </row>
    <row r="33" ht="36">
      <c r="A33" s="4" t="s">
        <v>785</v>
      </c>
      <c r="B33" s="23" t="s">
        <v>786</v>
      </c>
      <c r="C33" s="31">
        <f>DATE(2026,10,16)</f>
        <v>46311</v>
      </c>
      <c r="D33" s="52" t="str">
        <f>IF(C33&lt;=INT($C$43),"yes","NO")</f>
        <v>yes</v>
      </c>
      <c r="E33" s="3"/>
      <c r="F33" s="3"/>
      <c r="G33" s="3"/>
      <c r="H33" s="3"/>
      <c r="I33" s="3"/>
      <c r="J33" s="71" t="s">
        <v>787</v>
      </c>
      <c r="K33" s="6" t="s">
        <v>788</v>
      </c>
      <c r="L33" s="6"/>
    </row>
    <row r="34" ht="25.5">
      <c r="A34" s="4" t="s">
        <v>789</v>
      </c>
      <c r="B34" s="23" t="s">
        <v>790</v>
      </c>
      <c r="C34" s="31">
        <f>DATE(2026,9,30)</f>
        <v>46295</v>
      </c>
      <c r="D34" s="52" t="str">
        <f>IF(C34&lt;=INT($C$43),"yes","NO")</f>
        <v>yes</v>
      </c>
      <c r="E34" s="3"/>
      <c r="F34" s="3"/>
      <c r="G34" s="3"/>
      <c r="H34" s="3"/>
      <c r="I34" s="3"/>
      <c r="J34" s="71" t="s">
        <v>791</v>
      </c>
      <c r="K34" s="6" t="s">
        <v>792</v>
      </c>
      <c r="L34" s="6"/>
    </row>
    <row r="35" ht="25.5">
      <c r="A35" s="4" t="s">
        <v>793</v>
      </c>
      <c r="B35" s="23" t="s">
        <v>794</v>
      </c>
      <c r="C35" s="31">
        <f>DATE(2026,10,14)</f>
        <v>46309</v>
      </c>
      <c r="D35" s="52" t="str">
        <f>IF(C35&lt;=INT($C$43),"yes","NO")</f>
        <v>yes</v>
      </c>
      <c r="E35" s="3"/>
      <c r="F35" s="3"/>
      <c r="G35" s="3"/>
      <c r="H35" s="3"/>
      <c r="I35" s="3"/>
      <c r="J35" s="71" t="s">
        <v>795</v>
      </c>
      <c r="K35" s="6" t="s">
        <v>796</v>
      </c>
      <c r="L35" s="6"/>
    </row>
    <row r="36" ht="25.5">
      <c r="A36" s="4" t="s">
        <v>797</v>
      </c>
      <c r="B36" s="23" t="s">
        <v>798</v>
      </c>
      <c r="C36" s="31">
        <f>DATE(2026,10,16)</f>
        <v>46311</v>
      </c>
      <c r="D36" s="52" t="str">
        <f>IF(C36&lt;=INT($C$43),"yes","NO")</f>
        <v>yes</v>
      </c>
      <c r="E36" s="3"/>
      <c r="F36" s="3"/>
      <c r="G36" s="3"/>
      <c r="H36" s="3"/>
      <c r="I36" s="3"/>
      <c r="J36" s="71" t="s">
        <v>799</v>
      </c>
      <c r="K36" s="6" t="s">
        <v>800</v>
      </c>
      <c r="L36" s="6"/>
    </row>
    <row r="37">
      <c r="A37" s="4" t="s">
        <v>801</v>
      </c>
      <c r="B37" s="23" t="s">
        <v>802</v>
      </c>
      <c r="C37" s="31">
        <f>DATE(2026,10,13)</f>
        <v>46308</v>
      </c>
      <c r="D37" s="52" t="str">
        <f>IF(C37&lt;=INT($C$43),"yes","NO")</f>
        <v>yes</v>
      </c>
      <c r="E37" s="3"/>
      <c r="F37" s="3"/>
      <c r="G37" s="3"/>
      <c r="H37" s="3"/>
      <c r="I37" s="3"/>
      <c r="J37" s="71" t="s">
        <v>803</v>
      </c>
      <c r="K37" s="6" t="s">
        <v>800</v>
      </c>
      <c r="L37" s="6"/>
    </row>
    <row r="38">
      <c r="A38" s="4" t="s">
        <v>804</v>
      </c>
      <c r="B38" s="23" t="s">
        <v>805</v>
      </c>
      <c r="C38" s="31">
        <f>DATE(2026,10,16)</f>
        <v>46311</v>
      </c>
      <c r="D38" s="52" t="str">
        <f>IF(C38&lt;=INT($C$43),"yes","NO")</f>
        <v>yes</v>
      </c>
      <c r="E38" s="3"/>
      <c r="F38" s="3"/>
      <c r="G38" s="3"/>
      <c r="H38" s="3"/>
      <c r="I38" s="3"/>
      <c r="J38" s="71" t="s">
        <v>806</v>
      </c>
      <c r="K38" s="6" t="s">
        <v>807</v>
      </c>
      <c r="L38" s="6"/>
    </row>
    <row r="39" ht="25.5">
      <c r="A39" s="4" t="s">
        <v>808</v>
      </c>
      <c r="B39" s="23" t="s">
        <v>809</v>
      </c>
      <c r="C39" s="31">
        <f>DATE(2026,10,16)</f>
        <v>46311</v>
      </c>
      <c r="D39" s="52" t="str">
        <f>IF(C39&lt;=INT($C$43),"yes","NO")</f>
        <v>yes</v>
      </c>
      <c r="E39" s="3"/>
      <c r="F39" s="3"/>
      <c r="G39" s="3"/>
      <c r="H39" s="3"/>
      <c r="I39" s="3"/>
      <c r="J39" s="71" t="s">
        <v>810</v>
      </c>
      <c r="K39" s="6" t="s">
        <v>811</v>
      </c>
      <c r="L39" s="6"/>
    </row>
    <row r="40" ht="25.5">
      <c r="A40" s="4" t="s">
        <v>812</v>
      </c>
      <c r="B40" s="23" t="s">
        <v>648</v>
      </c>
      <c r="C40" s="31">
        <f>DATE(2026,3,3)</f>
        <v>46084</v>
      </c>
      <c r="D40" s="52" t="str">
        <f>IF(C40&lt;=INT($C$43),"yes","NO")</f>
        <v>yes</v>
      </c>
      <c r="E40" s="3"/>
      <c r="F40" s="3"/>
      <c r="G40" s="3"/>
      <c r="H40" s="3"/>
      <c r="I40" s="3"/>
      <c r="J40" s="71" t="s">
        <v>813</v>
      </c>
      <c r="K40" s="6" t="s">
        <v>814</v>
      </c>
      <c r="L40" s="6"/>
    </row>
    <row r="41" ht="36">
      <c r="A41" s="4" t="s">
        <v>815</v>
      </c>
      <c r="B41" s="23" t="s">
        <v>816</v>
      </c>
      <c r="C41" s="31">
        <f>DATE(2026,1,27)</f>
        <v>46049</v>
      </c>
      <c r="D41" s="52" t="str">
        <f>IF(C41&lt;=INT($C$43),"yes","NO")</f>
        <v>yes</v>
      </c>
      <c r="E41" s="3"/>
      <c r="F41" s="3"/>
      <c r="G41" s="3"/>
      <c r="H41" s="3"/>
      <c r="I41" s="3"/>
      <c r="J41" s="71" t="s">
        <v>817</v>
      </c>
      <c r="K41" s="6" t="s">
        <v>818</v>
      </c>
      <c r="L41" s="6"/>
    </row>
    <row r="42" ht="25.5">
      <c r="A42" s="4" t="s">
        <v>819</v>
      </c>
      <c r="B42" s="23" t="s">
        <v>820</v>
      </c>
      <c r="C42" s="31">
        <f>DATE(2026,2,13)</f>
        <v>46066</v>
      </c>
      <c r="D42" s="52" t="str">
        <f>IF(C42&lt;=INT($C$43),"yes","NO")</f>
        <v>yes</v>
      </c>
      <c r="E42" s="3"/>
      <c r="F42" s="3"/>
      <c r="G42" s="3"/>
      <c r="H42" s="3"/>
      <c r="I42" s="3"/>
      <c r="J42" s="71" t="s">
        <v>821</v>
      </c>
      <c r="K42" s="6" t="s">
        <v>822</v>
      </c>
      <c r="L42" s="6"/>
    </row>
    <row r="43">
      <c r="A43" s="3" t="s">
        <v>823</v>
      </c>
      <c r="B43" s="3"/>
      <c r="C43" s="68">
        <f>DATE(2026,10,18)+TIME(21,34,46)+0.214427/86400</f>
        <v>46313.89914600031</v>
      </c>
      <c r="D43" s="3"/>
      <c r="E43" s="3"/>
      <c r="F43" s="3"/>
      <c r="G43" s="3"/>
      <c r="H43" s="3"/>
      <c r="I43" s="3"/>
      <c r="J43" s="6"/>
      <c r="K43" s="67" t="s">
        <v>824</v>
      </c>
      <c r="L43" s="6"/>
    </row>
    <row r="44">
      <c r="A44" s="3" t="s">
        <v>825</v>
      </c>
      <c r="B44" s="3"/>
      <c r="C44" s="3"/>
      <c r="D44" s="3"/>
      <c r="E44" s="3"/>
      <c r="F44" s="3"/>
      <c r="G44" s="3"/>
      <c r="H44" s="3"/>
      <c r="I44" s="3"/>
      <c r="J44" s="6"/>
      <c r="K44" s="6"/>
      <c r="L44" s="6"/>
    </row>
    <row r="45">
      <c r="A45" s="3" t="s">
        <v>826</v>
      </c>
      <c r="B45" s="3"/>
      <c r="C45" s="3"/>
      <c r="D45" s="3"/>
      <c r="E45" s="3"/>
      <c r="F45" s="3"/>
      <c r="G45" s="3"/>
      <c r="H45" s="3"/>
      <c r="I45" s="3"/>
      <c r="J45" s="6"/>
      <c r="K45" s="6"/>
      <c r="L45" s="6"/>
    </row>
    <row r="46">
      <c r="A46" s="3" t="s">
        <v>827</v>
      </c>
      <c r="B46" s="3"/>
      <c r="C46" s="3"/>
      <c r="D46" s="3"/>
      <c r="E46" s="3"/>
      <c r="F46" s="3"/>
      <c r="G46" s="3"/>
      <c r="H46" s="3"/>
      <c r="I46" s="3"/>
      <c r="J46" s="6"/>
      <c r="K46" s="6"/>
      <c r="L46" s="6"/>
    </row>
    <row r="47">
      <c r="A47" s="3" t="s">
        <v>828</v>
      </c>
      <c r="B47" s="3"/>
      <c r="C47" s="3"/>
      <c r="D47" s="3"/>
      <c r="E47" s="3"/>
      <c r="F47" s="3"/>
      <c r="G47" s="3"/>
      <c r="H47" s="3"/>
      <c r="I47" s="3"/>
      <c r="J47" s="6"/>
      <c r="K47" s="6"/>
      <c r="L47" s="6"/>
    </row>
    <row r="48">
      <c r="A48" s="3" t="s">
        <v>829</v>
      </c>
      <c r="B48" s="3"/>
      <c r="C48" s="3"/>
      <c r="D48" s="3"/>
      <c r="E48" s="3"/>
      <c r="F48" s="3"/>
      <c r="G48" s="3"/>
      <c r="H48" s="3"/>
      <c r="I48" s="3"/>
      <c r="J48" s="6"/>
      <c r="K48" s="6"/>
      <c r="L48" s="6"/>
    </row>
    <row r="49">
      <c r="A49" s="3"/>
      <c r="B49" s="3"/>
      <c r="C49" s="3"/>
      <c r="D49" s="3"/>
      <c r="E49" s="3"/>
      <c r="F49" s="3"/>
      <c r="G49" s="3"/>
      <c r="H49" s="3"/>
      <c r="I49" s="3"/>
      <c r="J49" s="6"/>
      <c r="K49" s="6"/>
      <c r="L49" s="6"/>
    </row>
    <row r="50">
      <c r="A50" s="3"/>
      <c r="B50" s="3"/>
      <c r="C50" s="3"/>
      <c r="D50" s="3"/>
      <c r="E50" s="3"/>
      <c r="F50" s="3"/>
      <c r="G50" s="3"/>
      <c r="H50" s="3"/>
      <c r="I50" s="3"/>
      <c r="J50" s="6"/>
      <c r="K50" s="6"/>
      <c r="L50" s="6"/>
    </row>
  </sheetData>
</worksheet>
</file>

<file path=xl/worksheets/sheet11.xml><?xml version="1.0" encoding="utf-8"?>
<worksheet xmlns="http://schemas.openxmlformats.org/spreadsheetml/2006/main" xmlns:r="http://schemas.openxmlformats.org/officeDocument/2006/relationships">
  <dimension ref="A1:K119"/>
  <sheetViews>
    <sheetView showGridLines="0" workbookViewId="0"/>
  </sheetViews>
  <sheetFormatPr defaultColWidth="8.42578125" defaultRowHeight="15"/>
  <cols>
    <col min="1" max="1" width="34" customWidth="1"/>
    <col min="2" max="9" width="12" customWidth="1"/>
    <col min="10" max="10" width="60" customWidth="1"/>
  </cols>
  <sheetData>
    <row r="1">
      <c r="A1" s="21" t="s">
        <v>0</v>
      </c>
      <c r="B1" s="3"/>
      <c r="C1" s="3"/>
      <c r="D1" s="3"/>
      <c r="E1" s="3"/>
      <c r="F1" s="3"/>
      <c r="G1" s="3"/>
      <c r="H1" s="3"/>
      <c r="I1" s="3"/>
      <c r="J1" s="3"/>
      <c r="K1" s="3"/>
    </row>
    <row r="2">
      <c r="A2" s="26" t="s">
        <v>830</v>
      </c>
      <c r="B2" s="3"/>
      <c r="C2" s="3"/>
      <c r="D2" s="3"/>
      <c r="E2" s="3"/>
      <c r="F2" s="3"/>
      <c r="G2" s="3"/>
      <c r="H2" s="3"/>
      <c r="I2" s="3"/>
      <c r="J2" s="3"/>
      <c r="K2" s="3"/>
    </row>
    <row r="3">
      <c r="A3" s="37" t="s">
        <v>2</v>
      </c>
      <c r="B3" s="3"/>
      <c r="C3" s="3"/>
      <c r="D3" s="3"/>
      <c r="E3" s="3"/>
      <c r="F3" s="3"/>
      <c r="G3" s="3"/>
      <c r="H3" s="3"/>
      <c r="I3" s="3"/>
      <c r="J3" s="3"/>
      <c r="K3" s="3"/>
    </row>
    <row r="4">
      <c r="A4" s="12" t="s">
        <v>831</v>
      </c>
      <c r="B4" s="9"/>
      <c r="C4" s="9"/>
      <c r="D4" s="9"/>
      <c r="E4" s="9"/>
      <c r="F4" s="9"/>
      <c r="G4" s="9"/>
      <c r="H4" s="9"/>
      <c r="I4" s="9"/>
      <c r="J4" s="12" t="s">
        <v>4</v>
      </c>
      <c r="K4" s="3"/>
    </row>
    <row r="5">
      <c r="A5" s="28"/>
      <c r="B5" s="22"/>
      <c r="C5" s="22"/>
      <c r="D5" s="22"/>
      <c r="E5" s="22"/>
      <c r="F5" s="22"/>
      <c r="G5" s="22"/>
      <c r="H5" s="22"/>
      <c r="I5" s="22"/>
      <c r="J5" s="28"/>
      <c r="K5" s="3"/>
    </row>
    <row r="6">
      <c r="A6" s="33"/>
      <c r="B6" s="13"/>
      <c r="C6" s="13"/>
      <c r="D6" s="13"/>
      <c r="E6" s="13"/>
      <c r="F6" s="13"/>
      <c r="G6" s="13"/>
      <c r="H6" s="13"/>
      <c r="I6" s="13"/>
      <c r="J6" s="33"/>
      <c r="K6" s="3"/>
    </row>
    <row r="7">
      <c r="A7" s="3"/>
      <c r="B7" s="3"/>
      <c r="C7" s="3"/>
      <c r="D7" s="3"/>
      <c r="E7" s="3"/>
      <c r="F7" s="3"/>
      <c r="G7" s="3"/>
      <c r="H7" s="3"/>
      <c r="I7" s="3"/>
      <c r="J7" s="3"/>
      <c r="K7" s="3"/>
    </row>
    <row r="8">
      <c r="A8" s="26" t="s">
        <v>832</v>
      </c>
      <c r="B8" s="3"/>
      <c r="C8" s="3"/>
      <c r="D8" s="3"/>
      <c r="E8" s="3"/>
      <c r="F8" s="3"/>
      <c r="G8" s="3"/>
      <c r="H8" s="3"/>
      <c r="I8" s="3"/>
      <c r="J8" s="6"/>
      <c r="K8" s="6"/>
    </row>
    <row r="9">
      <c r="A9" s="4" t="s">
        <v>833</v>
      </c>
      <c r="B9" s="53" t="s">
        <v>9</v>
      </c>
      <c r="C9" s="3"/>
      <c r="D9" s="3"/>
      <c r="E9" s="3"/>
      <c r="F9" s="3"/>
      <c r="G9" s="3"/>
      <c r="H9" s="3"/>
      <c r="I9" s="3"/>
      <c r="J9" s="6"/>
      <c r="K9" s="6"/>
    </row>
    <row r="10">
      <c r="A10" s="4" t="s">
        <v>834</v>
      </c>
      <c r="B10" s="53" t="s">
        <v>7</v>
      </c>
      <c r="C10" s="3"/>
      <c r="D10" s="3"/>
      <c r="E10" s="3"/>
      <c r="F10" s="3"/>
      <c r="G10" s="3"/>
      <c r="H10" s="3"/>
      <c r="I10" s="3"/>
      <c r="J10" s="6"/>
      <c r="K10" s="6"/>
    </row>
    <row r="11">
      <c r="A11" s="4" t="s">
        <v>835</v>
      </c>
      <c r="B11" s="53" t="s">
        <v>836</v>
      </c>
      <c r="C11" s="3"/>
      <c r="D11" s="3"/>
      <c r="E11" s="3"/>
      <c r="F11" s="3"/>
      <c r="G11" s="3"/>
      <c r="H11" s="3"/>
      <c r="I11" s="3"/>
      <c r="J11" s="6"/>
      <c r="K11" s="6"/>
    </row>
    <row r="12">
      <c r="A12" s="4" t="s">
        <v>837</v>
      </c>
      <c r="B12" s="53" t="s">
        <v>838</v>
      </c>
      <c r="C12" s="3"/>
      <c r="D12" s="3"/>
      <c r="E12" s="3"/>
      <c r="F12" s="3"/>
      <c r="G12" s="3"/>
      <c r="H12" s="3"/>
      <c r="I12" s="3"/>
      <c r="J12" s="6"/>
      <c r="K12" s="6"/>
    </row>
    <row r="13">
      <c r="A13" s="4" t="s">
        <v>839</v>
      </c>
      <c r="B13" s="53" t="s">
        <v>840</v>
      </c>
      <c r="C13" s="3"/>
      <c r="D13" s="3"/>
      <c r="E13" s="3"/>
      <c r="F13" s="3"/>
      <c r="G13" s="3"/>
      <c r="H13" s="3"/>
      <c r="I13" s="3"/>
      <c r="J13" s="6"/>
      <c r="K13" s="6"/>
    </row>
    <row r="14">
      <c r="A14" s="4" t="s">
        <v>841</v>
      </c>
      <c r="B14" s="53" t="s">
        <v>842</v>
      </c>
      <c r="C14" s="3"/>
      <c r="D14" s="3"/>
      <c r="E14" s="3"/>
      <c r="F14" s="3"/>
      <c r="G14" s="3"/>
      <c r="H14" s="3"/>
      <c r="I14" s="3"/>
      <c r="J14" s="6"/>
      <c r="K14" s="6"/>
    </row>
    <row r="15">
      <c r="A15" s="4" t="s">
        <v>843</v>
      </c>
      <c r="B15" s="53" t="s">
        <v>844</v>
      </c>
      <c r="C15" s="3"/>
      <c r="D15" s="3"/>
      <c r="E15" s="3"/>
      <c r="F15" s="3"/>
      <c r="G15" s="3"/>
      <c r="H15" s="3"/>
      <c r="I15" s="3"/>
      <c r="J15" s="6"/>
      <c r="K15" s="6"/>
    </row>
    <row r="16">
      <c r="A16" s="4" t="s">
        <v>845</v>
      </c>
      <c r="B16" s="53" t="s">
        <v>846</v>
      </c>
      <c r="C16" s="3"/>
      <c r="D16" s="3"/>
      <c r="E16" s="3"/>
      <c r="F16" s="3"/>
      <c r="G16" s="3"/>
      <c r="H16" s="3"/>
      <c r="I16" s="3"/>
      <c r="J16" s="6"/>
      <c r="K16" s="6"/>
    </row>
    <row r="17">
      <c r="A17" s="4" t="s">
        <v>847</v>
      </c>
      <c r="B17" s="53" t="s">
        <v>848</v>
      </c>
      <c r="C17" s="3"/>
      <c r="D17" s="3"/>
      <c r="E17" s="3"/>
      <c r="F17" s="3"/>
      <c r="G17" s="3"/>
      <c r="H17" s="3"/>
      <c r="I17" s="3"/>
      <c r="J17" s="6"/>
      <c r="K17" s="6"/>
    </row>
    <row r="18">
      <c r="A18" s="4" t="s">
        <v>849</v>
      </c>
      <c r="B18" s="53" t="s">
        <v>850</v>
      </c>
      <c r="C18" s="3"/>
      <c r="D18" s="3"/>
      <c r="E18" s="3"/>
      <c r="F18" s="3"/>
      <c r="G18" s="3"/>
      <c r="H18" s="3"/>
      <c r="I18" s="3"/>
      <c r="J18" s="6"/>
      <c r="K18" s="6"/>
    </row>
    <row r="19">
      <c r="A19" s="4" t="s">
        <v>851</v>
      </c>
      <c r="B19" s="53" t="s">
        <v>852</v>
      </c>
      <c r="C19" s="3"/>
      <c r="D19" s="3"/>
      <c r="E19" s="3"/>
      <c r="F19" s="3"/>
      <c r="G19" s="3"/>
      <c r="H19" s="3"/>
      <c r="I19" s="3"/>
      <c r="J19" s="6"/>
      <c r="K19" s="6"/>
    </row>
    <row r="20">
      <c r="A20" s="4" t="s">
        <v>853</v>
      </c>
      <c r="B20" s="53" t="s">
        <v>852</v>
      </c>
      <c r="C20" s="3"/>
      <c r="D20" s="3"/>
      <c r="E20" s="3"/>
      <c r="F20" s="3"/>
      <c r="G20" s="3"/>
      <c r="H20" s="3"/>
      <c r="I20" s="3"/>
      <c r="J20" s="6"/>
      <c r="K20" s="6"/>
    </row>
    <row r="21">
      <c r="A21" s="4" t="s">
        <v>854</v>
      </c>
      <c r="B21" s="53"/>
      <c r="C21" s="3"/>
      <c r="D21" s="3"/>
      <c r="E21" s="3"/>
      <c r="F21" s="3"/>
      <c r="G21" s="3"/>
      <c r="H21" s="3"/>
      <c r="I21" s="3"/>
      <c r="J21" s="6" t="s">
        <v>855</v>
      </c>
      <c r="K21" s="6"/>
    </row>
    <row r="22">
      <c r="A22" s="4" t="s">
        <v>856</v>
      </c>
      <c r="B22" s="53" t="s">
        <v>857</v>
      </c>
      <c r="C22" s="3"/>
      <c r="D22" s="3"/>
      <c r="E22" s="3"/>
      <c r="F22" s="3"/>
      <c r="G22" s="3"/>
      <c r="H22" s="3"/>
      <c r="I22" s="3"/>
      <c r="J22" s="6"/>
      <c r="K22" s="6"/>
    </row>
    <row r="23">
      <c r="A23" s="4" t="s">
        <v>858</v>
      </c>
      <c r="B23" s="53" t="s">
        <v>859</v>
      </c>
      <c r="C23" s="3"/>
      <c r="D23" s="3"/>
      <c r="E23" s="3"/>
      <c r="F23" s="3"/>
      <c r="G23" s="3"/>
      <c r="H23" s="3"/>
      <c r="I23" s="3"/>
      <c r="J23" s="6"/>
      <c r="K23" s="6"/>
    </row>
    <row r="24">
      <c r="A24" s="4" t="s">
        <v>860</v>
      </c>
      <c r="B24" s="53" t="s">
        <v>861</v>
      </c>
      <c r="C24" s="3"/>
      <c r="D24" s="3"/>
      <c r="E24" s="3"/>
      <c r="F24" s="3"/>
      <c r="G24" s="3"/>
      <c r="H24" s="3"/>
      <c r="I24" s="3"/>
      <c r="J24" s="6"/>
      <c r="K24" s="6"/>
    </row>
    <row r="25">
      <c r="A25" s="4" t="s">
        <v>862</v>
      </c>
      <c r="B25" s="53" t="s">
        <v>863</v>
      </c>
      <c r="C25" s="3"/>
      <c r="D25" s="3"/>
      <c r="E25" s="3"/>
      <c r="F25" s="3"/>
      <c r="G25" s="3"/>
      <c r="H25" s="3"/>
      <c r="I25" s="3"/>
      <c r="J25" s="6"/>
      <c r="K25" s="6"/>
    </row>
    <row r="26">
      <c r="A26" s="4" t="s">
        <v>864</v>
      </c>
      <c r="B26" s="53" t="s">
        <v>865</v>
      </c>
      <c r="C26" s="3"/>
      <c r="D26" s="3"/>
      <c r="E26" s="3"/>
      <c r="F26" s="3"/>
      <c r="G26" s="3"/>
      <c r="H26" s="3"/>
      <c r="I26" s="3"/>
      <c r="J26" s="6"/>
      <c r="K26" s="6"/>
    </row>
    <row r="27">
      <c r="A27" s="4" t="s">
        <v>866</v>
      </c>
      <c r="B27" s="53" t="s">
        <v>852</v>
      </c>
      <c r="C27" s="3"/>
      <c r="D27" s="3"/>
      <c r="E27" s="3"/>
      <c r="F27" s="3"/>
      <c r="G27" s="3"/>
      <c r="H27" s="3"/>
      <c r="I27" s="3"/>
      <c r="J27" s="6"/>
      <c r="K27" s="6"/>
    </row>
    <row r="28">
      <c r="A28" s="4" t="s">
        <v>867</v>
      </c>
      <c r="B28" s="53"/>
      <c r="C28" s="3"/>
      <c r="D28" s="3"/>
      <c r="E28" s="3"/>
      <c r="F28" s="3"/>
      <c r="G28" s="3"/>
      <c r="H28" s="3"/>
      <c r="I28" s="3"/>
      <c r="J28" s="6" t="s">
        <v>855</v>
      </c>
      <c r="K28" s="6"/>
    </row>
    <row r="29">
      <c r="A29" s="4" t="s">
        <v>868</v>
      </c>
      <c r="B29" s="53"/>
      <c r="C29" s="3"/>
      <c r="D29" s="3"/>
      <c r="E29" s="3"/>
      <c r="F29" s="3"/>
      <c r="G29" s="3"/>
      <c r="H29" s="3"/>
      <c r="I29" s="3"/>
      <c r="J29" s="6" t="s">
        <v>855</v>
      </c>
      <c r="K29" s="6"/>
    </row>
    <row r="30">
      <c r="A30" s="4" t="s">
        <v>869</v>
      </c>
      <c r="B30" s="53"/>
      <c r="C30" s="3"/>
      <c r="D30" s="3"/>
      <c r="E30" s="3"/>
      <c r="F30" s="3"/>
      <c r="G30" s="3"/>
      <c r="H30" s="3"/>
      <c r="I30" s="3"/>
      <c r="J30" s="6" t="s">
        <v>855</v>
      </c>
      <c r="K30" s="6"/>
    </row>
    <row r="31">
      <c r="A31" s="4" t="s">
        <v>870</v>
      </c>
      <c r="B31" s="53" t="s">
        <v>857</v>
      </c>
      <c r="C31" s="3"/>
      <c r="D31" s="3"/>
      <c r="E31" s="3"/>
      <c r="F31" s="3"/>
      <c r="G31" s="3"/>
      <c r="H31" s="3"/>
      <c r="I31" s="3"/>
      <c r="J31" s="6"/>
      <c r="K31" s="6"/>
    </row>
    <row r="32">
      <c r="A32" s="4" t="s">
        <v>871</v>
      </c>
      <c r="B32" s="53" t="s">
        <v>872</v>
      </c>
      <c r="C32" s="3"/>
      <c r="D32" s="3"/>
      <c r="E32" s="3"/>
      <c r="F32" s="3"/>
      <c r="G32" s="3"/>
      <c r="H32" s="3"/>
      <c r="I32" s="3"/>
      <c r="J32" s="6"/>
      <c r="K32" s="6"/>
    </row>
    <row r="33">
      <c r="A33" s="4" t="s">
        <v>873</v>
      </c>
      <c r="B33" s="53" t="s">
        <v>874</v>
      </c>
      <c r="C33" s="3"/>
      <c r="D33" s="3"/>
      <c r="E33" s="3"/>
      <c r="F33" s="3"/>
      <c r="G33" s="3"/>
      <c r="H33" s="3"/>
      <c r="I33" s="3"/>
      <c r="J33" s="6"/>
      <c r="K33" s="6"/>
    </row>
    <row r="34">
      <c r="A34" s="4" t="s">
        <v>875</v>
      </c>
      <c r="B34" s="53" t="s">
        <v>876</v>
      </c>
      <c r="C34" s="3"/>
      <c r="D34" s="3"/>
      <c r="E34" s="3"/>
      <c r="F34" s="3"/>
      <c r="G34" s="3"/>
      <c r="H34" s="3"/>
      <c r="I34" s="3"/>
      <c r="J34" s="6"/>
      <c r="K34" s="6"/>
    </row>
    <row r="35">
      <c r="A35" s="4" t="s">
        <v>877</v>
      </c>
      <c r="B35" s="53" t="s">
        <v>878</v>
      </c>
      <c r="C35" s="3"/>
      <c r="D35" s="3"/>
      <c r="E35" s="3"/>
      <c r="F35" s="3"/>
      <c r="G35" s="3"/>
      <c r="H35" s="3"/>
      <c r="I35" s="3"/>
      <c r="J35" s="6"/>
      <c r="K35" s="6"/>
    </row>
    <row r="36">
      <c r="A36" s="4" t="s">
        <v>879</v>
      </c>
      <c r="B36" s="53" t="s">
        <v>880</v>
      </c>
      <c r="C36" s="3"/>
      <c r="D36" s="3"/>
      <c r="E36" s="3"/>
      <c r="F36" s="3"/>
      <c r="G36" s="3"/>
      <c r="H36" s="3"/>
      <c r="I36" s="3"/>
      <c r="J36" s="6"/>
      <c r="K36" s="6"/>
    </row>
    <row r="37">
      <c r="A37" s="4" t="s">
        <v>881</v>
      </c>
      <c r="B37" s="53"/>
      <c r="C37" s="3"/>
      <c r="D37" s="3"/>
      <c r="E37" s="3"/>
      <c r="F37" s="3"/>
      <c r="G37" s="3"/>
      <c r="H37" s="3"/>
      <c r="I37" s="3"/>
      <c r="J37" s="6" t="s">
        <v>855</v>
      </c>
      <c r="K37" s="6"/>
    </row>
    <row r="38">
      <c r="A38" s="4" t="s">
        <v>882</v>
      </c>
      <c r="B38" s="53"/>
      <c r="C38" s="3"/>
      <c r="D38" s="3"/>
      <c r="E38" s="3"/>
      <c r="F38" s="3"/>
      <c r="G38" s="3"/>
      <c r="H38" s="3"/>
      <c r="I38" s="3"/>
      <c r="J38" s="6" t="s">
        <v>855</v>
      </c>
      <c r="K38" s="6"/>
    </row>
    <row r="39">
      <c r="A39" s="4" t="s">
        <v>883</v>
      </c>
      <c r="B39" s="53"/>
      <c r="C39" s="3"/>
      <c r="D39" s="3"/>
      <c r="E39" s="3"/>
      <c r="F39" s="3"/>
      <c r="G39" s="3"/>
      <c r="H39" s="3"/>
      <c r="I39" s="3"/>
      <c r="J39" s="6" t="s">
        <v>855</v>
      </c>
      <c r="K39" s="6"/>
    </row>
    <row r="40">
      <c r="A40" s="4" t="s">
        <v>884</v>
      </c>
      <c r="B40" s="53" t="s">
        <v>885</v>
      </c>
      <c r="C40" s="3"/>
      <c r="D40" s="3"/>
      <c r="E40" s="3"/>
      <c r="F40" s="3"/>
      <c r="G40" s="3"/>
      <c r="H40" s="3"/>
      <c r="I40" s="3"/>
      <c r="J40" s="6"/>
      <c r="K40" s="6"/>
    </row>
    <row r="41">
      <c r="A41" s="4" t="s">
        <v>886</v>
      </c>
      <c r="B41" s="53" t="s">
        <v>887</v>
      </c>
      <c r="C41" s="3"/>
      <c r="D41" s="3"/>
      <c r="E41" s="3"/>
      <c r="F41" s="3"/>
      <c r="G41" s="3"/>
      <c r="H41" s="3"/>
      <c r="I41" s="3"/>
      <c r="J41" s="6"/>
      <c r="K41" s="6"/>
    </row>
    <row r="42">
      <c r="A42" s="4" t="s">
        <v>888</v>
      </c>
      <c r="B42" s="53" t="s">
        <v>889</v>
      </c>
      <c r="C42" s="3"/>
      <c r="D42" s="3"/>
      <c r="E42" s="3"/>
      <c r="F42" s="3"/>
      <c r="G42" s="3"/>
      <c r="H42" s="3"/>
      <c r="I42" s="3"/>
      <c r="J42" s="6"/>
      <c r="K42" s="6"/>
    </row>
    <row r="43">
      <c r="A43" s="4" t="s">
        <v>890</v>
      </c>
      <c r="B43" s="53" t="s">
        <v>891</v>
      </c>
      <c r="C43" s="3"/>
      <c r="D43" s="3"/>
      <c r="E43" s="3"/>
      <c r="F43" s="3"/>
      <c r="G43" s="3"/>
      <c r="H43" s="3"/>
      <c r="I43" s="3"/>
      <c r="J43" s="6"/>
      <c r="K43" s="6"/>
    </row>
    <row r="44">
      <c r="A44" s="4" t="s">
        <v>892</v>
      </c>
      <c r="B44" s="53" t="s">
        <v>893</v>
      </c>
      <c r="C44" s="3"/>
      <c r="D44" s="3"/>
      <c r="E44" s="3"/>
      <c r="F44" s="3"/>
      <c r="G44" s="3"/>
      <c r="H44" s="3"/>
      <c r="I44" s="3"/>
      <c r="J44" s="6"/>
      <c r="K44" s="6"/>
    </row>
    <row r="45">
      <c r="A45" s="4" t="s">
        <v>894</v>
      </c>
      <c r="B45" s="53" t="s">
        <v>895</v>
      </c>
      <c r="C45" s="3"/>
      <c r="D45" s="3"/>
      <c r="E45" s="3"/>
      <c r="F45" s="3"/>
      <c r="G45" s="3"/>
      <c r="H45" s="3"/>
      <c r="I45" s="3"/>
      <c r="J45" s="6"/>
      <c r="K45" s="6"/>
    </row>
    <row r="46">
      <c r="A46" s="4" t="s">
        <v>896</v>
      </c>
      <c r="B46" s="53"/>
      <c r="C46" s="3"/>
      <c r="D46" s="3"/>
      <c r="E46" s="3"/>
      <c r="F46" s="3"/>
      <c r="G46" s="3"/>
      <c r="H46" s="3"/>
      <c r="I46" s="3"/>
      <c r="J46" s="6" t="s">
        <v>855</v>
      </c>
      <c r="K46" s="6"/>
    </row>
    <row r="47">
      <c r="A47" s="4" t="s">
        <v>897</v>
      </c>
      <c r="B47" s="53"/>
      <c r="C47" s="3"/>
      <c r="D47" s="3"/>
      <c r="E47" s="3"/>
      <c r="F47" s="3"/>
      <c r="G47" s="3"/>
      <c r="H47" s="3"/>
      <c r="I47" s="3"/>
      <c r="J47" s="6" t="s">
        <v>855</v>
      </c>
      <c r="K47" s="6"/>
    </row>
    <row r="48">
      <c r="A48" s="4" t="s">
        <v>898</v>
      </c>
      <c r="B48" s="53"/>
      <c r="C48" s="3"/>
      <c r="D48" s="3"/>
      <c r="E48" s="3"/>
      <c r="F48" s="3"/>
      <c r="G48" s="3"/>
      <c r="H48" s="3"/>
      <c r="I48" s="3"/>
      <c r="J48" s="6" t="s">
        <v>855</v>
      </c>
      <c r="K48" s="6"/>
    </row>
    <row r="49">
      <c r="A49" s="4" t="s">
        <v>899</v>
      </c>
      <c r="B49" s="53" t="s">
        <v>900</v>
      </c>
      <c r="C49" s="3"/>
      <c r="D49" s="3"/>
      <c r="E49" s="3"/>
      <c r="F49" s="3"/>
      <c r="G49" s="3"/>
      <c r="H49" s="3"/>
      <c r="I49" s="3"/>
      <c r="J49" s="6"/>
      <c r="K49" s="6"/>
    </row>
    <row r="50">
      <c r="A50" s="4" t="s">
        <v>901</v>
      </c>
      <c r="B50" s="53" t="s">
        <v>902</v>
      </c>
      <c r="C50" s="3"/>
      <c r="D50" s="3"/>
      <c r="E50" s="3"/>
      <c r="F50" s="3"/>
      <c r="G50" s="3"/>
      <c r="H50" s="3"/>
      <c r="I50" s="3"/>
      <c r="J50" s="6"/>
      <c r="K50" s="6"/>
    </row>
    <row r="51">
      <c r="A51" s="4" t="s">
        <v>903</v>
      </c>
      <c r="B51" s="53" t="s">
        <v>904</v>
      </c>
      <c r="C51" s="3"/>
      <c r="D51" s="3"/>
      <c r="E51" s="3"/>
      <c r="F51" s="3"/>
      <c r="G51" s="3"/>
      <c r="H51" s="3"/>
      <c r="I51" s="3"/>
      <c r="J51" s="6"/>
      <c r="K51" s="6"/>
    </row>
    <row r="52">
      <c r="A52" s="4" t="s">
        <v>905</v>
      </c>
      <c r="B52" s="53" t="s">
        <v>906</v>
      </c>
      <c r="C52" s="3"/>
      <c r="D52" s="3"/>
      <c r="E52" s="3"/>
      <c r="F52" s="3"/>
      <c r="G52" s="3"/>
      <c r="H52" s="3"/>
      <c r="I52" s="3"/>
      <c r="J52" s="6"/>
      <c r="K52" s="6"/>
    </row>
    <row r="53">
      <c r="A53" s="4" t="s">
        <v>907</v>
      </c>
      <c r="B53" s="53" t="s">
        <v>908</v>
      </c>
      <c r="C53" s="3"/>
      <c r="D53" s="3"/>
      <c r="E53" s="3"/>
      <c r="F53" s="3"/>
      <c r="G53" s="3"/>
      <c r="H53" s="3"/>
      <c r="I53" s="3"/>
      <c r="J53" s="6"/>
      <c r="K53" s="6"/>
    </row>
    <row r="54">
      <c r="A54" s="4" t="s">
        <v>909</v>
      </c>
      <c r="B54" s="53" t="s">
        <v>910</v>
      </c>
      <c r="C54" s="3"/>
      <c r="D54" s="3"/>
      <c r="E54" s="3"/>
      <c r="F54" s="3"/>
      <c r="G54" s="3"/>
      <c r="H54" s="3"/>
      <c r="I54" s="3"/>
      <c r="J54" s="6"/>
      <c r="K54" s="6"/>
    </row>
    <row r="55">
      <c r="A55" s="4" t="s">
        <v>911</v>
      </c>
      <c r="B55" s="53"/>
      <c r="C55" s="3"/>
      <c r="D55" s="3"/>
      <c r="E55" s="3"/>
      <c r="F55" s="3"/>
      <c r="G55" s="3"/>
      <c r="H55" s="3"/>
      <c r="I55" s="3"/>
      <c r="J55" s="6" t="s">
        <v>855</v>
      </c>
      <c r="K55" s="6"/>
    </row>
    <row r="56">
      <c r="A56" s="4" t="s">
        <v>912</v>
      </c>
      <c r="B56" s="53"/>
      <c r="C56" s="3"/>
      <c r="D56" s="3"/>
      <c r="E56" s="3"/>
      <c r="F56" s="3"/>
      <c r="G56" s="3"/>
      <c r="H56" s="3"/>
      <c r="I56" s="3"/>
      <c r="J56" s="6" t="s">
        <v>855</v>
      </c>
      <c r="K56" s="6"/>
    </row>
    <row r="57">
      <c r="A57" s="4" t="s">
        <v>913</v>
      </c>
      <c r="B57" s="53" t="s">
        <v>914</v>
      </c>
      <c r="C57" s="3"/>
      <c r="D57" s="3"/>
      <c r="E57" s="3"/>
      <c r="F57" s="3"/>
      <c r="G57" s="3"/>
      <c r="H57" s="3"/>
      <c r="I57" s="3"/>
      <c r="J57" s="6"/>
      <c r="K57" s="6"/>
    </row>
    <row r="58">
      <c r="A58" s="4" t="s">
        <v>915</v>
      </c>
      <c r="B58" s="53"/>
      <c r="C58" s="3"/>
      <c r="D58" s="3"/>
      <c r="E58" s="3"/>
      <c r="F58" s="3"/>
      <c r="G58" s="3"/>
      <c r="H58" s="3"/>
      <c r="I58" s="3"/>
      <c r="J58" s="6" t="s">
        <v>855</v>
      </c>
      <c r="K58" s="6"/>
    </row>
    <row r="59">
      <c r="A59" s="4" t="s">
        <v>916</v>
      </c>
      <c r="B59" s="53"/>
      <c r="C59" s="3"/>
      <c r="D59" s="3"/>
      <c r="E59" s="3"/>
      <c r="F59" s="3"/>
      <c r="G59" s="3"/>
      <c r="H59" s="3"/>
      <c r="I59" s="3"/>
      <c r="J59" s="6" t="s">
        <v>855</v>
      </c>
      <c r="K59" s="6"/>
    </row>
    <row r="60">
      <c r="A60" s="4" t="s">
        <v>917</v>
      </c>
      <c r="B60" s="53"/>
      <c r="C60" s="3"/>
      <c r="D60" s="3"/>
      <c r="E60" s="3"/>
      <c r="F60" s="3"/>
      <c r="G60" s="3"/>
      <c r="H60" s="3"/>
      <c r="I60" s="3"/>
      <c r="J60" s="6" t="s">
        <v>855</v>
      </c>
      <c r="K60" s="6"/>
    </row>
    <row r="61">
      <c r="A61" s="4" t="s">
        <v>918</v>
      </c>
      <c r="B61" s="53" t="s">
        <v>919</v>
      </c>
      <c r="C61" s="3"/>
      <c r="D61" s="3"/>
      <c r="E61" s="3"/>
      <c r="F61" s="3"/>
      <c r="G61" s="3"/>
      <c r="H61" s="3"/>
      <c r="I61" s="3"/>
      <c r="J61" s="6"/>
      <c r="K61" s="6"/>
    </row>
    <row r="62">
      <c r="A62" s="4" t="s">
        <v>920</v>
      </c>
      <c r="B62" s="53"/>
      <c r="C62" s="3"/>
      <c r="D62" s="3"/>
      <c r="E62" s="3"/>
      <c r="F62" s="3"/>
      <c r="G62" s="3"/>
      <c r="H62" s="3"/>
      <c r="I62" s="3"/>
      <c r="J62" s="6" t="s">
        <v>855</v>
      </c>
      <c r="K62" s="6"/>
    </row>
    <row r="63">
      <c r="A63" s="4" t="s">
        <v>921</v>
      </c>
      <c r="B63" s="53"/>
      <c r="C63" s="3"/>
      <c r="D63" s="3"/>
      <c r="E63" s="3"/>
      <c r="F63" s="3"/>
      <c r="G63" s="3"/>
      <c r="H63" s="3"/>
      <c r="I63" s="3"/>
      <c r="J63" s="6" t="s">
        <v>855</v>
      </c>
      <c r="K63" s="6"/>
    </row>
    <row r="64">
      <c r="A64" s="4" t="s">
        <v>922</v>
      </c>
      <c r="B64" s="53"/>
      <c r="C64" s="3"/>
      <c r="D64" s="3"/>
      <c r="E64" s="3"/>
      <c r="F64" s="3"/>
      <c r="G64" s="3"/>
      <c r="H64" s="3"/>
      <c r="I64" s="3"/>
      <c r="J64" s="6" t="s">
        <v>855</v>
      </c>
      <c r="K64" s="6"/>
    </row>
    <row r="65">
      <c r="A65" s="4" t="s">
        <v>923</v>
      </c>
      <c r="B65" s="53" t="s">
        <v>924</v>
      </c>
      <c r="C65" s="3"/>
      <c r="D65" s="3"/>
      <c r="E65" s="3"/>
      <c r="F65" s="3"/>
      <c r="G65" s="3"/>
      <c r="H65" s="3"/>
      <c r="I65" s="3"/>
      <c r="J65" s="6"/>
      <c r="K65" s="6"/>
    </row>
    <row r="66">
      <c r="A66" s="4" t="s">
        <v>925</v>
      </c>
      <c r="B66" s="53" t="s">
        <v>926</v>
      </c>
      <c r="C66" s="3"/>
      <c r="D66" s="3"/>
      <c r="E66" s="3"/>
      <c r="F66" s="3"/>
      <c r="G66" s="3"/>
      <c r="H66" s="3"/>
      <c r="I66" s="3"/>
      <c r="J66" s="6"/>
      <c r="K66" s="6"/>
    </row>
    <row r="67">
      <c r="A67" s="4" t="s">
        <v>927</v>
      </c>
      <c r="B67" s="53" t="s">
        <v>928</v>
      </c>
      <c r="C67" s="3"/>
      <c r="D67" s="3"/>
      <c r="E67" s="3"/>
      <c r="F67" s="3"/>
      <c r="G67" s="3"/>
      <c r="H67" s="3"/>
      <c r="I67" s="3"/>
      <c r="J67" s="6"/>
      <c r="K67" s="6"/>
    </row>
    <row r="68">
      <c r="A68" s="4" t="s">
        <v>929</v>
      </c>
      <c r="B68" s="53" t="s">
        <v>930</v>
      </c>
      <c r="C68" s="3"/>
      <c r="D68" s="3"/>
      <c r="E68" s="3"/>
      <c r="F68" s="3"/>
      <c r="G68" s="3"/>
      <c r="H68" s="3"/>
      <c r="I68" s="3"/>
      <c r="J68" s="6"/>
      <c r="K68" s="6"/>
    </row>
    <row r="69">
      <c r="A69" s="4" t="s">
        <v>931</v>
      </c>
      <c r="B69" s="53" t="s">
        <v>932</v>
      </c>
      <c r="C69" s="3"/>
      <c r="D69" s="3"/>
      <c r="E69" s="3"/>
      <c r="F69" s="3"/>
      <c r="G69" s="3"/>
      <c r="H69" s="3"/>
      <c r="I69" s="3"/>
      <c r="J69" s="6"/>
      <c r="K69" s="6"/>
    </row>
    <row r="70">
      <c r="A70" s="4" t="s">
        <v>933</v>
      </c>
      <c r="B70" s="53" t="s">
        <v>934</v>
      </c>
      <c r="C70" s="3"/>
      <c r="D70" s="3"/>
      <c r="E70" s="3"/>
      <c r="F70" s="3"/>
      <c r="G70" s="3"/>
      <c r="H70" s="3"/>
      <c r="I70" s="3"/>
      <c r="J70" s="6"/>
      <c r="K70" s="6"/>
    </row>
    <row r="71">
      <c r="A71" s="4" t="s">
        <v>935</v>
      </c>
      <c r="B71" s="53" t="s">
        <v>936</v>
      </c>
      <c r="C71" s="3"/>
      <c r="D71" s="3"/>
      <c r="E71" s="3"/>
      <c r="F71" s="3"/>
      <c r="G71" s="3"/>
      <c r="H71" s="3"/>
      <c r="I71" s="3"/>
      <c r="J71" s="6"/>
      <c r="K71" s="6"/>
    </row>
    <row r="72">
      <c r="A72" s="4" t="s">
        <v>937</v>
      </c>
      <c r="B72" s="53" t="s">
        <v>938</v>
      </c>
      <c r="C72" s="3"/>
      <c r="D72" s="3"/>
      <c r="E72" s="3"/>
      <c r="F72" s="3"/>
      <c r="G72" s="3"/>
      <c r="H72" s="3"/>
      <c r="I72" s="3"/>
      <c r="J72" s="6"/>
      <c r="K72" s="6"/>
    </row>
    <row r="73">
      <c r="A73" s="4" t="s">
        <v>939</v>
      </c>
      <c r="B73" s="53" t="s">
        <v>940</v>
      </c>
      <c r="C73" s="3"/>
      <c r="D73" s="3"/>
      <c r="E73" s="3"/>
      <c r="F73" s="3"/>
      <c r="G73" s="3"/>
      <c r="H73" s="3"/>
      <c r="I73" s="3"/>
      <c r="J73" s="6"/>
      <c r="K73" s="6"/>
    </row>
    <row r="74">
      <c r="A74" s="4" t="s">
        <v>941</v>
      </c>
      <c r="B74" s="53" t="s">
        <v>942</v>
      </c>
      <c r="C74" s="3"/>
      <c r="D74" s="3"/>
      <c r="E74" s="3"/>
      <c r="F74" s="3"/>
      <c r="G74" s="3"/>
      <c r="H74" s="3"/>
      <c r="I74" s="3"/>
      <c r="J74" s="6"/>
      <c r="K74" s="6"/>
    </row>
    <row r="75">
      <c r="A75" s="4" t="s">
        <v>943</v>
      </c>
      <c r="B75" s="53" t="s">
        <v>944</v>
      </c>
      <c r="C75" s="3"/>
      <c r="D75" s="3"/>
      <c r="E75" s="3"/>
      <c r="F75" s="3"/>
      <c r="G75" s="3"/>
      <c r="H75" s="3"/>
      <c r="I75" s="3"/>
      <c r="J75" s="6"/>
      <c r="K75" s="6"/>
    </row>
    <row r="76">
      <c r="A76" s="4" t="s">
        <v>945</v>
      </c>
      <c r="B76" s="53" t="s">
        <v>946</v>
      </c>
      <c r="C76" s="3"/>
      <c r="D76" s="3"/>
      <c r="E76" s="3"/>
      <c r="F76" s="3"/>
      <c r="G76" s="3"/>
      <c r="H76" s="3"/>
      <c r="I76" s="3"/>
      <c r="J76" s="6"/>
      <c r="K76" s="6"/>
    </row>
    <row r="77">
      <c r="A77" s="3"/>
      <c r="B77" s="3"/>
      <c r="C77" s="3"/>
      <c r="D77" s="3"/>
      <c r="E77" s="3"/>
      <c r="F77" s="3"/>
      <c r="G77" s="3"/>
      <c r="H77" s="3"/>
      <c r="I77" s="3"/>
      <c r="J77" s="6"/>
      <c r="K77" s="6"/>
    </row>
    <row r="78">
      <c r="A78" s="26" t="s">
        <v>947</v>
      </c>
      <c r="B78" s="3"/>
      <c r="C78" s="3"/>
      <c r="D78" s="3"/>
      <c r="E78" s="3"/>
      <c r="F78" s="3"/>
      <c r="G78" s="3"/>
      <c r="H78" s="3"/>
      <c r="I78" s="3"/>
      <c r="J78" s="6"/>
      <c r="K78" s="6"/>
    </row>
    <row r="79">
      <c r="A79" s="4" t="s">
        <v>948</v>
      </c>
      <c r="B79" s="53" t="s">
        <v>949</v>
      </c>
      <c r="C79" s="3"/>
      <c r="D79" s="3"/>
      <c r="E79" s="3"/>
      <c r="F79" s="3"/>
      <c r="G79" s="3"/>
      <c r="H79" s="3"/>
      <c r="I79" s="3"/>
      <c r="J79" s="6"/>
      <c r="K79" s="6"/>
    </row>
    <row r="80">
      <c r="A80" s="4" t="s">
        <v>833</v>
      </c>
      <c r="B80" s="53" t="s">
        <v>9</v>
      </c>
      <c r="C80" s="3"/>
      <c r="D80" s="3"/>
      <c r="E80" s="3"/>
      <c r="F80" s="3"/>
      <c r="G80" s="3"/>
      <c r="H80" s="3"/>
      <c r="I80" s="3"/>
      <c r="J80" s="6"/>
      <c r="K80" s="6"/>
    </row>
    <row r="81">
      <c r="A81" s="4" t="s">
        <v>950</v>
      </c>
      <c r="B81" s="53" t="s">
        <v>7</v>
      </c>
      <c r="C81" s="3"/>
      <c r="D81" s="3"/>
      <c r="E81" s="3"/>
      <c r="F81" s="3"/>
      <c r="G81" s="3"/>
      <c r="H81" s="3"/>
      <c r="I81" s="3"/>
      <c r="J81" s="6"/>
      <c r="K81" s="6"/>
    </row>
    <row r="82">
      <c r="A82" s="4" t="s">
        <v>951</v>
      </c>
      <c r="B82" s="53" t="s">
        <v>844</v>
      </c>
      <c r="C82" s="3"/>
      <c r="D82" s="3"/>
      <c r="E82" s="3"/>
      <c r="F82" s="3"/>
      <c r="G82" s="3"/>
      <c r="H82" s="3"/>
      <c r="I82" s="3"/>
      <c r="J82" s="6"/>
      <c r="K82" s="6"/>
    </row>
    <row r="83">
      <c r="A83" s="4" t="s">
        <v>952</v>
      </c>
      <c r="B83" s="53" t="s">
        <v>846</v>
      </c>
      <c r="C83" s="3"/>
      <c r="D83" s="3"/>
      <c r="E83" s="3"/>
      <c r="F83" s="3"/>
      <c r="G83" s="3"/>
      <c r="H83" s="3"/>
      <c r="I83" s="3"/>
      <c r="J83" s="6"/>
      <c r="K83" s="6"/>
    </row>
    <row r="84">
      <c r="A84" s="4" t="s">
        <v>953</v>
      </c>
      <c r="B84" s="53" t="s">
        <v>944</v>
      </c>
      <c r="C84" s="3"/>
      <c r="D84" s="3"/>
      <c r="E84" s="3"/>
      <c r="F84" s="3"/>
      <c r="G84" s="3"/>
      <c r="H84" s="3"/>
      <c r="I84" s="3"/>
      <c r="J84" s="6"/>
      <c r="K84" s="6"/>
    </row>
    <row r="85">
      <c r="A85" s="4" t="s">
        <v>954</v>
      </c>
      <c r="B85" s="53" t="s">
        <v>852</v>
      </c>
      <c r="C85" s="3"/>
      <c r="D85" s="3"/>
      <c r="E85" s="3"/>
      <c r="F85" s="3"/>
      <c r="G85" s="3"/>
      <c r="H85" s="3"/>
      <c r="I85" s="3"/>
      <c r="J85" s="6"/>
      <c r="K85" s="6"/>
    </row>
    <row r="86">
      <c r="A86" s="4" t="s">
        <v>955</v>
      </c>
      <c r="B86" s="53" t="s">
        <v>857</v>
      </c>
      <c r="C86" s="3"/>
      <c r="D86" s="3"/>
      <c r="E86" s="3"/>
      <c r="F86" s="3"/>
      <c r="G86" s="3"/>
      <c r="H86" s="3"/>
      <c r="I86" s="3"/>
      <c r="J86" s="6"/>
      <c r="K86" s="6"/>
    </row>
    <row r="87">
      <c r="A87" s="4" t="s">
        <v>849</v>
      </c>
      <c r="B87" s="53" t="s">
        <v>956</v>
      </c>
      <c r="C87" s="3"/>
      <c r="D87" s="3"/>
      <c r="E87" s="3"/>
      <c r="F87" s="3"/>
      <c r="G87" s="3"/>
      <c r="H87" s="3"/>
      <c r="I87" s="3"/>
      <c r="J87" s="6"/>
      <c r="K87" s="6"/>
    </row>
    <row r="88">
      <c r="A88" s="4" t="s">
        <v>957</v>
      </c>
      <c r="B88" s="53" t="s">
        <v>885</v>
      </c>
      <c r="C88" s="3"/>
      <c r="D88" s="3"/>
      <c r="E88" s="3"/>
      <c r="F88" s="3"/>
      <c r="G88" s="3"/>
      <c r="H88" s="3"/>
      <c r="I88" s="3"/>
      <c r="J88" s="6"/>
      <c r="K88" s="6"/>
    </row>
    <row r="89">
      <c r="A89" s="4" t="s">
        <v>958</v>
      </c>
      <c r="B89" s="53" t="s">
        <v>840</v>
      </c>
      <c r="C89" s="3"/>
      <c r="D89" s="3"/>
      <c r="E89" s="3"/>
      <c r="F89" s="3"/>
      <c r="G89" s="3"/>
      <c r="H89" s="3"/>
      <c r="I89" s="3"/>
      <c r="J89" s="6"/>
      <c r="K89" s="6"/>
    </row>
    <row r="90">
      <c r="A90" s="4" t="s">
        <v>959</v>
      </c>
      <c r="B90" s="53" t="s">
        <v>960</v>
      </c>
      <c r="C90" s="3"/>
      <c r="D90" s="3"/>
      <c r="E90" s="3"/>
      <c r="F90" s="3"/>
      <c r="G90" s="3"/>
      <c r="H90" s="3"/>
      <c r="I90" s="3"/>
      <c r="J90" s="6"/>
      <c r="K90" s="6"/>
    </row>
    <row r="91">
      <c r="A91" s="4" t="s">
        <v>961</v>
      </c>
      <c r="B91" s="53" t="s">
        <v>962</v>
      </c>
      <c r="C91" s="3"/>
      <c r="D91" s="3"/>
      <c r="E91" s="3"/>
      <c r="F91" s="3"/>
      <c r="G91" s="3"/>
      <c r="H91" s="3"/>
      <c r="I91" s="3"/>
      <c r="J91" s="6"/>
      <c r="K91" s="6"/>
    </row>
    <row r="92">
      <c r="A92" s="4" t="s">
        <v>963</v>
      </c>
      <c r="B92" s="53" t="s">
        <v>840</v>
      </c>
      <c r="C92" s="3"/>
      <c r="D92" s="3"/>
      <c r="E92" s="3"/>
      <c r="F92" s="3"/>
      <c r="G92" s="3"/>
      <c r="H92" s="3"/>
      <c r="I92" s="3"/>
      <c r="J92" s="6"/>
      <c r="K92" s="6"/>
    </row>
    <row r="93">
      <c r="A93" s="4" t="s">
        <v>964</v>
      </c>
      <c r="B93" s="53" t="s">
        <v>840</v>
      </c>
      <c r="C93" s="3"/>
      <c r="D93" s="3"/>
      <c r="E93" s="3"/>
      <c r="F93" s="3"/>
      <c r="G93" s="3"/>
      <c r="H93" s="3"/>
      <c r="I93" s="3"/>
      <c r="J93" s="6"/>
      <c r="K93" s="6"/>
    </row>
    <row r="94">
      <c r="A94" s="4" t="s">
        <v>965</v>
      </c>
      <c r="B94" s="53" t="s">
        <v>966</v>
      </c>
      <c r="C94" s="3"/>
      <c r="D94" s="3"/>
      <c r="E94" s="3"/>
      <c r="F94" s="3"/>
      <c r="G94" s="3"/>
      <c r="H94" s="3"/>
      <c r="I94" s="3"/>
      <c r="J94" s="6"/>
      <c r="K94" s="6"/>
    </row>
    <row r="95">
      <c r="A95" s="4" t="s">
        <v>967</v>
      </c>
      <c r="B95" s="53" t="s">
        <v>840</v>
      </c>
      <c r="C95" s="3"/>
      <c r="D95" s="3"/>
      <c r="E95" s="3"/>
      <c r="F95" s="3"/>
      <c r="G95" s="3"/>
      <c r="H95" s="3"/>
      <c r="I95" s="3"/>
      <c r="J95" s="6"/>
      <c r="K95" s="6"/>
    </row>
    <row r="96">
      <c r="A96" s="4" t="s">
        <v>968</v>
      </c>
      <c r="B96" s="53" t="s">
        <v>969</v>
      </c>
      <c r="C96" s="3"/>
      <c r="D96" s="3"/>
      <c r="E96" s="3"/>
      <c r="F96" s="3"/>
      <c r="G96" s="3"/>
      <c r="H96" s="3"/>
      <c r="I96" s="3"/>
      <c r="J96" s="6"/>
      <c r="K96" s="6"/>
    </row>
    <row r="97">
      <c r="A97" s="3"/>
      <c r="B97" s="3"/>
      <c r="C97" s="3"/>
      <c r="D97" s="3"/>
      <c r="E97" s="3"/>
      <c r="F97" s="3"/>
      <c r="G97" s="3"/>
      <c r="H97" s="3"/>
      <c r="I97" s="3"/>
      <c r="J97" s="6"/>
      <c r="K97" s="6"/>
    </row>
    <row r="98">
      <c r="A98" s="26" t="s">
        <v>970</v>
      </c>
      <c r="B98" s="3"/>
      <c r="C98" s="3"/>
      <c r="D98" s="3"/>
      <c r="E98" s="3"/>
      <c r="F98" s="3"/>
      <c r="G98" s="3"/>
      <c r="H98" s="3"/>
      <c r="I98" s="3"/>
      <c r="J98" s="6"/>
      <c r="K98" s="6"/>
    </row>
    <row r="99" ht="33">
      <c r="A99" s="72" t="s">
        <v>971</v>
      </c>
      <c r="B99" s="29" t="s">
        <v>972</v>
      </c>
      <c r="C99" s="29" t="s">
        <v>973</v>
      </c>
      <c r="D99" s="29" t="s">
        <v>974</v>
      </c>
      <c r="E99" s="29" t="s">
        <v>975</v>
      </c>
      <c r="F99" s="29"/>
      <c r="G99" s="29" t="s">
        <v>976</v>
      </c>
      <c r="H99" s="29" t="s">
        <v>977</v>
      </c>
      <c r="I99" s="29"/>
      <c r="J99" s="41"/>
      <c r="K99" s="6"/>
    </row>
    <row r="100">
      <c r="A100" s="4" t="s">
        <v>952</v>
      </c>
      <c r="B100" s="23" t="s">
        <v>978</v>
      </c>
      <c r="C100" s="23" t="s">
        <v>979</v>
      </c>
      <c r="D100" s="23" t="s">
        <v>980</v>
      </c>
      <c r="E100" s="23" t="s">
        <v>981</v>
      </c>
      <c r="F100" s="23"/>
      <c r="G100" s="23" t="s">
        <v>982</v>
      </c>
      <c r="H100" s="23" t="s">
        <v>983</v>
      </c>
      <c r="I100" s="23"/>
      <c r="J100" s="6" t="s">
        <v>128</v>
      </c>
      <c r="K100" s="6"/>
    </row>
    <row r="101">
      <c r="A101" s="4" t="s">
        <v>984</v>
      </c>
      <c r="B101" s="23" t="s">
        <v>985</v>
      </c>
      <c r="C101" s="23" t="s">
        <v>986</v>
      </c>
      <c r="D101" s="23" t="s">
        <v>987</v>
      </c>
      <c r="E101" s="23" t="s">
        <v>988</v>
      </c>
      <c r="F101" s="23"/>
      <c r="G101" s="23" t="s">
        <v>989</v>
      </c>
      <c r="H101" s="23" t="s">
        <v>990</v>
      </c>
      <c r="I101" s="23"/>
      <c r="J101" s="6" t="s">
        <v>128</v>
      </c>
      <c r="K101" s="6"/>
    </row>
    <row r="102">
      <c r="A102" s="4" t="s">
        <v>991</v>
      </c>
      <c r="B102" s="24">
        <v>0.98</v>
      </c>
      <c r="C102" s="24">
        <v>1.01</v>
      </c>
      <c r="D102" s="24">
        <v>1.02</v>
      </c>
      <c r="E102" s="24">
        <v>0.53</v>
      </c>
      <c r="F102" s="18"/>
      <c r="G102" s="24">
        <v>1.03</v>
      </c>
      <c r="H102" s="24">
        <v>1.11</v>
      </c>
      <c r="I102" s="18"/>
      <c r="J102" s="6" t="s">
        <v>128</v>
      </c>
      <c r="K102" s="6"/>
    </row>
    <row r="103">
      <c r="A103" s="4" t="s">
        <v>992</v>
      </c>
      <c r="B103" s="24">
        <v>0.99</v>
      </c>
      <c r="C103" s="24">
        <v>1.05</v>
      </c>
      <c r="D103" s="24">
        <v>1.13</v>
      </c>
      <c r="E103" s="24">
        <v>0.54</v>
      </c>
      <c r="F103" s="18"/>
      <c r="G103" s="24">
        <v>1.09</v>
      </c>
      <c r="H103" s="24">
        <v>1.15</v>
      </c>
      <c r="I103" s="18"/>
      <c r="J103" s="6" t="s">
        <v>128</v>
      </c>
      <c r="K103" s="6"/>
    </row>
    <row r="104">
      <c r="A104" s="4" t="s">
        <v>993</v>
      </c>
      <c r="B104" s="24">
        <v>0.97</v>
      </c>
      <c r="C104" s="24">
        <v>1.03</v>
      </c>
      <c r="D104" s="24">
        <v>1.14</v>
      </c>
      <c r="E104" s="24">
        <v>0.77</v>
      </c>
      <c r="F104" s="18"/>
      <c r="G104" s="24">
        <v>0.96</v>
      </c>
      <c r="H104" s="24">
        <v>1.09</v>
      </c>
      <c r="I104" s="18"/>
      <c r="J104" s="6" t="s">
        <v>128</v>
      </c>
      <c r="K104" s="6"/>
    </row>
    <row r="105">
      <c r="A105" s="4" t="s">
        <v>994</v>
      </c>
      <c r="B105" s="24">
        <v>0.4</v>
      </c>
      <c r="C105" s="24">
        <v>0.98</v>
      </c>
      <c r="D105" s="24">
        <v>1.18</v>
      </c>
      <c r="E105" s="24">
        <v>0.73</v>
      </c>
      <c r="F105" s="18"/>
      <c r="G105" s="24">
        <v>1.04</v>
      </c>
      <c r="H105" s="24">
        <v>1.5</v>
      </c>
      <c r="I105" s="18"/>
      <c r="J105" s="6" t="s">
        <v>128</v>
      </c>
      <c r="K105" s="6"/>
    </row>
    <row r="106">
      <c r="A106" s="4" t="s">
        <v>995</v>
      </c>
      <c r="B106" s="1">
        <v>6631.23</v>
      </c>
      <c r="C106" s="1">
        <v>7501.93</v>
      </c>
      <c r="D106" s="1">
        <v>8169.6</v>
      </c>
      <c r="E106" s="1">
        <v>6793.94</v>
      </c>
      <c r="F106" s="7"/>
      <c r="G106" s="1">
        <v>7111.35</v>
      </c>
      <c r="H106" s="1">
        <v>8167.71</v>
      </c>
      <c r="I106" s="7"/>
      <c r="J106" s="6" t="s">
        <v>128</v>
      </c>
      <c r="K106" s="6"/>
    </row>
    <row r="107">
      <c r="A107" s="4" t="s">
        <v>996</v>
      </c>
      <c r="B107" s="1">
        <v>6247</v>
      </c>
      <c r="C107" s="1">
        <v>6700</v>
      </c>
      <c r="D107" s="1">
        <v>7966</v>
      </c>
      <c r="E107" s="1">
        <v>6500</v>
      </c>
      <c r="F107" s="7"/>
      <c r="G107" s="1">
        <v>6701</v>
      </c>
      <c r="H107" s="1">
        <v>7534</v>
      </c>
      <c r="I107" s="7"/>
      <c r="J107" s="6" t="s">
        <v>128</v>
      </c>
      <c r="K107" s="6"/>
    </row>
    <row r="108">
      <c r="A108" s="3"/>
      <c r="B108" s="3"/>
      <c r="C108" s="3"/>
      <c r="D108" s="3"/>
      <c r="E108" s="3"/>
      <c r="F108" s="3"/>
      <c r="G108" s="3"/>
      <c r="H108" s="3"/>
      <c r="I108" s="3"/>
      <c r="J108" s="6"/>
      <c r="K108" s="6"/>
    </row>
    <row r="109">
      <c r="A109" s="26" t="s">
        <v>997</v>
      </c>
      <c r="B109" s="3"/>
      <c r="C109" s="3"/>
      <c r="D109" s="3"/>
      <c r="E109" s="3"/>
      <c r="F109" s="3"/>
      <c r="G109" s="3"/>
      <c r="H109" s="3"/>
      <c r="I109" s="3"/>
      <c r="J109" s="6"/>
      <c r="K109" s="6"/>
    </row>
    <row r="110">
      <c r="A110" s="4" t="s">
        <v>998</v>
      </c>
      <c r="B110" s="18">
        <f>B103-B102</f>
        <v>0.010000000000000009</v>
      </c>
      <c r="C110" s="18">
        <f>C103-C102</f>
        <v>0.040000000000000036</v>
      </c>
      <c r="D110" s="18">
        <f>D103-D102</f>
        <v>0.10999999999999988</v>
      </c>
      <c r="E110" s="18">
        <f>E103-E102</f>
        <v>0.010000000000000009</v>
      </c>
      <c r="F110" s="18"/>
      <c r="G110" s="18">
        <f>G103-G102</f>
        <v>0.06000000000000005</v>
      </c>
      <c r="H110" s="18">
        <f>H103-H102</f>
        <v>0.039999999999999813</v>
      </c>
      <c r="I110" s="18"/>
      <c r="J110" s="6"/>
      <c r="K110" s="6"/>
    </row>
    <row r="111">
      <c r="A111" s="4" t="s">
        <v>999</v>
      </c>
      <c r="B111" s="8">
        <f>IF(B103&gt;B102,1,0)</f>
        <v>1</v>
      </c>
      <c r="C111" s="8">
        <f>IF(C103&gt;C102,1,0)</f>
        <v>1</v>
      </c>
      <c r="D111" s="8">
        <f>IF(D103&gt;D102,1,0)</f>
        <v>1</v>
      </c>
      <c r="E111" s="8">
        <f>IF(E103&gt;E102,1,0)</f>
        <v>1</v>
      </c>
      <c r="F111" s="8"/>
      <c r="G111" s="8">
        <f>IF(G103&gt;G102,1,0)</f>
        <v>1</v>
      </c>
      <c r="H111" s="8">
        <f>IF(H103&gt;H102,1,0)</f>
        <v>1</v>
      </c>
      <c r="I111" s="8"/>
      <c r="J111" s="6"/>
      <c r="K111" s="6"/>
    </row>
    <row r="112">
      <c r="A112" s="17" t="s">
        <v>1000</v>
      </c>
      <c r="B112" s="16">
        <f>B107/B106-1</f>
        <v>-0.057942493323259736</v>
      </c>
      <c r="C112" s="16">
        <f>C107/C106-1</f>
        <v>-0.10689649196939988</v>
      </c>
      <c r="D112" s="16">
        <f>D107/D106-1</f>
        <v>-0.02492166079122604</v>
      </c>
      <c r="E112" s="16">
        <f>E107/E106-1</f>
        <v>-0.04326502736262017</v>
      </c>
      <c r="F112" s="16"/>
      <c r="G112" s="16">
        <f>G107/G106-1</f>
        <v>-0.05770353027203001</v>
      </c>
      <c r="H112" s="16">
        <f>H107/H106-1</f>
        <v>-0.07758723069256868</v>
      </c>
      <c r="I112" s="16"/>
      <c r="J112" s="6" t="s">
        <v>1001</v>
      </c>
      <c r="K112" s="6"/>
    </row>
    <row r="113">
      <c r="A113" s="4" t="s">
        <v>1002</v>
      </c>
      <c r="B113" s="8">
        <f>SUM(B111:H111)</f>
        <v>6</v>
      </c>
      <c r="C113" s="8"/>
      <c r="D113" s="8"/>
      <c r="E113" s="8"/>
      <c r="F113" s="8"/>
      <c r="G113" s="8"/>
      <c r="H113" s="8"/>
      <c r="I113" s="8"/>
      <c r="J113" s="6"/>
      <c r="K113" s="6"/>
    </row>
    <row r="114">
      <c r="A114" s="4" t="s">
        <v>1003</v>
      </c>
      <c r="B114" s="8">
        <f>COUNT(B103:H103)</f>
        <v>6</v>
      </c>
      <c r="C114" s="8"/>
      <c r="D114" s="8"/>
      <c r="E114" s="8"/>
      <c r="F114" s="8"/>
      <c r="G114" s="8"/>
      <c r="H114" s="8"/>
      <c r="I114" s="8"/>
      <c r="J114" s="6" t="s">
        <v>1004</v>
      </c>
      <c r="K114" s="6"/>
    </row>
    <row r="115">
      <c r="A115" s="4" t="s">
        <v>1005</v>
      </c>
      <c r="B115" s="18">
        <f>AVERAGE(B110:H110)</f>
        <v>0.044999999999999964</v>
      </c>
      <c r="C115" s="18"/>
      <c r="D115" s="18"/>
      <c r="E115" s="18"/>
      <c r="F115" s="18"/>
      <c r="G115" s="18"/>
      <c r="H115" s="18"/>
      <c r="I115" s="18"/>
      <c r="J115" s="6"/>
      <c r="K115" s="6"/>
    </row>
    <row r="116">
      <c r="A116" s="17" t="s">
        <v>1006</v>
      </c>
      <c r="B116" s="16">
        <f>AVERAGE(B112:H112)</f>
        <v>-0.061386072401850754</v>
      </c>
      <c r="C116" s="16"/>
      <c r="D116" s="16"/>
      <c r="E116" s="16"/>
      <c r="F116" s="16"/>
      <c r="G116" s="16"/>
      <c r="H116" s="16"/>
      <c r="I116" s="16"/>
      <c r="J116" s="6"/>
      <c r="K116" s="6"/>
    </row>
    <row r="117">
      <c r="A117" s="3"/>
      <c r="B117" s="3"/>
      <c r="C117" s="3"/>
      <c r="D117" s="3"/>
      <c r="E117" s="3"/>
      <c r="F117" s="3"/>
      <c r="G117" s="3"/>
      <c r="H117" s="3"/>
      <c r="I117" s="3"/>
      <c r="J117" s="6"/>
      <c r="K117" s="6"/>
    </row>
    <row r="118">
      <c r="A118" s="3"/>
      <c r="B118" s="3"/>
      <c r="C118" s="3"/>
      <c r="D118" s="3"/>
      <c r="E118" s="3"/>
      <c r="F118" s="3"/>
      <c r="G118" s="3"/>
      <c r="H118" s="3"/>
      <c r="I118" s="3"/>
      <c r="J118" s="6"/>
      <c r="K118" s="6"/>
    </row>
    <row r="119">
      <c r="A119" s="3"/>
      <c r="B119" s="3"/>
      <c r="C119" s="3"/>
      <c r="D119" s="3"/>
      <c r="E119" s="3"/>
      <c r="F119" s="3"/>
      <c r="G119" s="3"/>
      <c r="H119" s="3"/>
      <c r="I119" s="3"/>
      <c r="J119" s="6"/>
      <c r="K119" s="6"/>
    </row>
  </sheetData>
</worksheet>
</file>