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Index" sheetId="3" r:id="rId4"/>
    <sheet name="Segment - Analytics" sheetId="4" r:id="rId5"/>
    <sheet name="Segment - Sustain &amp; Climate" sheetId="5" r:id="rId6"/>
    <sheet name="Segment - Private Assets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Sources" sheetId="13" r:id="rId14"/>
    <sheet name="Inputs" sheetId="14" r:id="rId15"/>
  </sheets>
  <calcPr calcId="0"/>
</workbook>
</file>

<file path=xl/sharedStrings.xml><?xml version="1.0" encoding="utf-8"?>
<sst xmlns="http://schemas.openxmlformats.org/spreadsheetml/2006/main" count="3496" uniqueCount="833">
  <si>
    <t>MSCI Inc. (NYSE: MSCI)</t>
  </si>
  <si>
    <t>Company Model — built by Shortcut</t>
  </si>
  <si>
    <t>$ millions, except per share</t>
  </si>
  <si>
    <t>Forecast period</t>
  </si>
  <si>
    <t>3Q26E</t>
  </si>
  <si>
    <t>Period end</t>
  </si>
  <si>
    <t>Days in period</t>
  </si>
  <si>
    <t>Company</t>
  </si>
  <si>
    <t>MSCI Inc.</t>
  </si>
  <si>
    <t>Ticker</t>
  </si>
  <si>
    <t>MSCI</t>
  </si>
  <si>
    <t>Exchange</t>
  </si>
  <si>
    <t>New York Stock Exchange (NYSE: MSCI)</t>
  </si>
  <si>
    <t>Fiscal year end</t>
  </si>
  <si>
    <t>FY ends December 31</t>
  </si>
  <si>
    <t>FQ3 2026 / 3Q26E - quarter ended 2026-09-30 (supplied label 2026-09-30 = issuer calendar quarter-end)</t>
  </si>
  <si>
    <t>Reporting currency</t>
  </si>
  <si>
    <t>USD; amounts in $ millions except per share</t>
  </si>
  <si>
    <t>EPS basis</t>
  </si>
  <si>
    <t>Adjusted (normalized) diluted EPS, USD per diluted common share (issuer non-GAAP; = CapIQ normalized)</t>
  </si>
  <si>
    <t>Information cutoff</t>
  </si>
  <si>
    <t>2026-10-18 21:34:46 UTC</t>
  </si>
  <si>
    <t>Expected report date</t>
  </si>
  <si>
    <t>2026-10-20, pre-market (issuer-confirmed 2026-09-24, S20)</t>
  </si>
  <si>
    <t>Author</t>
  </si>
  <si>
    <t>Shortcut</t>
  </si>
  <si>
    <t>Headline (3Q26E)</t>
  </si>
  <si>
    <t>Estimate</t>
  </si>
  <si>
    <t>Consensus</t>
  </si>
  <si>
    <t>Variance</t>
  </si>
  <si>
    <t>Variance %</t>
  </si>
  <si>
    <t>Guidance mid</t>
  </si>
  <si>
    <t>Notes</t>
  </si>
  <si>
    <t>Operating revenues ($m)</t>
  </si>
  <si>
    <t>n/a</t>
  </si>
  <si>
    <t>Not guided by issuer</t>
  </si>
  <si>
    <t>Adjusted net income ($m)</t>
  </si>
  <si>
    <t>Not guided by issuer. Consensus = CapIQ net_income_excl_excep field; equality to issuer adjusted-NI definition not independently confirmed (not scored)</t>
  </si>
  <si>
    <t>Adjusted diluted EPS ($)</t>
  </si>
  <si>
    <t>GAAP net income ($m)</t>
  </si>
  <si>
    <t>GAAP diluted EPS ($)</t>
  </si>
  <si>
    <t>Adjusted EBITDA ($m)</t>
  </si>
  <si>
    <t>Not guided (expense guide only). Consensus = CapIQ ebitda field; equality to issuer adjusted-EBITDA definition not independently confirmed (not scored)</t>
  </si>
  <si>
    <t>Overall model check result</t>
  </si>
  <si>
    <t>3Q26E-column checks are structural/by construction (segments=total, EPS=NI/shares, Cover ties; segment-expense tie via G&amp;A allocation, IS J32), plus BS balances, cash ties, Geo=total; historical columns also tie to reported EPS. Not independent validation of the 3Q26E expense allocation</t>
  </si>
  <si>
    <t>Blended P(beat consensus EPS)</t>
  </si>
  <si>
    <t>Headline = 50/50 blend (C53) of calibrated starting p (C45, historical beat rate) and C51 = P(continuous, unrounded model EPS &gt; frozen CapIQ $5.02). Not the cent-rounded realized-beat probability; no half-cent continuity correction. Not used in scored EPS</t>
  </si>
  <si>
    <t>Confidence</t>
  </si>
  <si>
    <t>medium</t>
  </si>
  <si>
    <t>Beat-probability calibration (playbook v2: size &amp; issuer history)</t>
  </si>
  <si>
    <t>Market capitalization ($bn)</t>
  </si>
  <si>
    <t>S25: $41.37bn at 2026-10-16 close (72.7m shares x ~$569)</t>
  </si>
  <si>
    <t>Market cap date</t>
  </si>
  <si>
    <t>Large-cap threshold ($bn)</t>
  </si>
  <si>
    <t>Playbook: large &gt; $10bn</t>
  </si>
  <si>
    <t>Mid-cap threshold ($bn)</t>
  </si>
  <si>
    <t>Playbook: mid $2-10bn; small $0.3-2bn</t>
  </si>
  <si>
    <t>Size bucket</t>
  </si>
  <si>
    <t>S&amp;P 500 member</t>
  </si>
  <si>
    <t>Yes</t>
  </si>
  <si>
    <t>S26 (added 2018-04-04)</t>
  </si>
  <si>
    <t>Cohort prior - small</t>
  </si>
  <si>
    <t>Playbook</t>
  </si>
  <si>
    <t>Cohort prior - mid</t>
  </si>
  <si>
    <t>Cohort prior - large / S&amp;P 500</t>
  </si>
  <si>
    <t>Playbook (applied once)</t>
  </si>
  <si>
    <t>Cohort prior applied</t>
  </si>
  <si>
    <t>Strict beats in history (b)</t>
  </si>
  <si>
    <t>Inputs: normalized actual &gt; consensus</t>
  </si>
  <si>
    <t>Valid pairs (n)</t>
  </si>
  <si>
    <t>All six pairs same normalized basis; none excluded</t>
  </si>
  <si>
    <t>Pseudo-observations</t>
  </si>
  <si>
    <t>Playbook fixed weight</t>
  </si>
  <si>
    <t>Starting p = (k*prior+b)/(k+n)</t>
  </si>
  <si>
    <t>Mean hist. surprise ($/sh)</t>
  </si>
  <si>
    <t>Not transferred into EPS</t>
  </si>
  <si>
    <t>S.d. hist. surprise ($/sh)</t>
  </si>
  <si>
    <t>Model adjusted EPS</t>
  </si>
  <si>
    <t>From Income Statement</t>
  </si>
  <si>
    <t>Frozen consensus EPS</t>
  </si>
  <si>
    <t>CapIQ 2026-10-18, 13 estimates</t>
  </si>
  <si>
    <t>Model error s.d. ($/sh)</t>
  </si>
  <si>
    <t>Assumption: above historical surprise s.d. to reflect fee-rate/buyback uncertainty</t>
  </si>
  <si>
    <t>Model-implied P(beat)</t>
  </si>
  <si>
    <t>Normal error around unrounded model EPS; threshold = C49 exactly (no half-cent continuity correction)</t>
  </si>
  <si>
    <t>Weight on starting p</t>
  </si>
  <si>
    <t>Assumption: equal weight prior vs quarter-specific model evidence</t>
  </si>
  <si>
    <t>Final P(beat)</t>
  </si>
  <si>
    <t>Linked to headline row above</t>
  </si>
  <si>
    <t>Other consensus references (not scoring baseline)</t>
  </si>
  <si>
    <t>EPS ($)</t>
  </si>
  <si>
    <t>Revenue ($m)</t>
  </si>
  <si>
    <t>FactSet via RBC/AlphaStreet</t>
  </si>
  <si>
    <t>RBC Capital Markets (2026-10-14)</t>
  </si>
  <si>
    <t>Zacks (2026-10-15)</t>
  </si>
  <si>
    <t>MarketBeat (2026-10-18)</t>
  </si>
  <si>
    <t>Key 3Q26E drivers</t>
  </si>
  <si>
    <t>Average ETF AUM ($bn)</t>
  </si>
  <si>
    <t>Realized ETF fee (bps)</t>
  </si>
  <si>
    <t>Asset-based fees revenue ($m)</t>
  </si>
  <si>
    <t>Recurring subscriptions ($m)</t>
  </si>
  <si>
    <t>Adjusted EBITDA expenses ($m)</t>
  </si>
  <si>
    <t>Effective tax rate</t>
  </si>
  <si>
    <t>Weighted avg. diluted shares (m)</t>
  </si>
  <si>
    <t>Revenue summary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</si>
  <si>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</si>
  <si>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</si>
  <si>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</si>
  <si>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</si>
  <si>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</si>
  <si>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</si>
  <si>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</si>
  <si>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</si>
  <si>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Consolidated operating revenues by type</t>
  </si>
  <si>
    <t>Segment tabs link here; consolidated organic reconciliation S01-S06 Table 13/14</t>
  </si>
  <si>
    <t>Recurring subscriptions</t>
  </si>
  <si>
    <t>Y/Y growth % (reported)</t>
  </si>
  <si>
    <t>Q/Q growth %</t>
  </si>
  <si>
    <t>Q/Q change (abs)</t>
  </si>
  <si>
    <t>% of total revenue</t>
  </si>
  <si>
    <t>Change Y/Y (bps)</t>
  </si>
  <si>
    <t>Change Q/Q (bps)</t>
  </si>
  <si>
    <t>M&amp;A / scope contribution</t>
  </si>
  <si>
    <t>3Q26E M&amp;A/FX = 3Q25A revenue-weighted average of segment component assumptions</t>
  </si>
  <si>
    <t>FX contribution</t>
  </si>
  <si>
    <t>Organic growth</t>
  </si>
  <si>
    <t>Organic = (1+Y/Y)/((1+M&amp;A)*(1+FX))-1</t>
  </si>
  <si>
    <t>Asset-based fees</t>
  </si>
  <si>
    <t>3Q26E linked from Segment - Index ABF assumption</t>
  </si>
  <si>
    <t>Non-recurring</t>
  </si>
  <si>
    <t>Total operating revenues</t>
  </si>
  <si>
    <t>3Q26E = 3Q25A-weighted average of subscription, ABF and non-recurring contributions</t>
  </si>
  <si>
    <t>Organic growth - issuer (memo)</t>
  </si>
  <si>
    <t>Table 13/14; recomputed organic differs by rounding</t>
  </si>
  <si>
    <t>Total revenues as reported (memo)</t>
  </si>
  <si>
    <t>S01-S06 Table 2</t>
  </si>
  <si>
    <t>Difference: model less reported</t>
  </si>
  <si>
    <t>Operating revenues by reportable segment</t>
  </si>
  <si>
    <t>Index</t>
  </si>
  <si>
    <t>Linked from segment tab</t>
  </si>
  <si>
    <t>Analytics</t>
  </si>
  <si>
    <t>Sustainability and Climate</t>
  </si>
  <si>
    <t>All Other - Private Assets</t>
  </si>
  <si>
    <t>Sum of segments</t>
  </si>
  <si>
    <t>Check: segments less total</t>
  </si>
  <si>
    <t>Check: segments = total (TRUE)</t>
  </si>
  <si>
    <t>3Q26E: structural check only (J91 and J40 built from the same segment cells; no reported memo)</t>
  </si>
  <si>
    <t>Run rate summary</t>
  </si>
  <si>
    <t>Subscription RR - total</t>
  </si>
  <si>
    <t>2025 Y/Y as reported (Table 8)</t>
  </si>
  <si>
    <t>Y/Y growth %</t>
  </si>
  <si>
    <t>Asset-based fees run rate</t>
  </si>
  <si>
    <t>Total run rate</t>
  </si>
  <si>
    <t>Net new recurring sales - total</t>
  </si>
  <si>
    <t>Geography: revenue is disclosed for Americas, EMEA and Asia &amp; Australia - see Geo tab</t>
  </si>
  <si>
    <t>Segment - Index</t>
  </si>
  <si>
    <t>Recurring subscription run rate (RR) ladder</t>
  </si>
  <si>
    <t>Run rate = annualized recurring contract value (S01-S06 Table 8)</t>
  </si>
  <si>
    <t>Opening subscription RR</t>
  </si>
  <si>
    <t>1Q25A opening = Dec-24 RR linked from Inputs prior-year block (S04 Table 8)</t>
  </si>
  <si>
    <t>2Q25-4Q25 Y/Y vs prior-year closing RR (Inputs prior-year block = prior-year opening); 1Q25 and FY25 n/a (Dec-23 RR not sourced)</t>
  </si>
  <si>
    <t>Gross adds: new recurring sales</t>
  </si>
  <si>
    <t>S01-S06 Table 6; 3Q26E assumption</t>
  </si>
  <si>
    <t>Terminations: cancellations</t>
  </si>
  <si>
    <t>Negative = churned RR; S01-S06 Table 6</t>
  </si>
  <si>
    <t>Net adds: net new recurring sales</t>
  </si>
  <si>
    <t>Acquired run rate (M&amp;A)</t>
  </si>
  <si>
    <t>Hist. embedded in other change; 3Q26E nil (no Index acquisition closed in Q3)</t>
  </si>
  <si>
    <t>Other RR change (FX/M&amp;A/other)</t>
  </si>
  <si>
    <t>Hist. = closing - opening - net new (residual); 3Q26E assumption (USD broad index flat in Q3: S27)</t>
  </si>
  <si>
    <t>Growth shown n/m where the forecast residual is a nil assumption or the prior-year base is non-positive/immaterial</t>
  </si>
  <si>
    <t>Closing subscription RR</t>
  </si>
  <si>
    <t>S01-S06 Table 8</t>
  </si>
  <si>
    <t>Average RR for the period</t>
  </si>
  <si>
    <t>2Q25-4Q25 Y/Y vs prior-year average of Inputs closing RR (prior quarter-end and quarter-end); 1Q25 and FY25 n/a (Dec-23 RR not sourced)</t>
  </si>
  <si>
    <t>Run rate by product line</t>
  </si>
  <si>
    <t>S11-S14 earnings presentations (subscription RR by product)</t>
  </si>
  <si>
    <t>Market cap weighted RR</t>
  </si>
  <si>
    <t>3Q26E = closing RR x 2Q26A mix</t>
  </si>
  <si>
    <t>Mix % of segment subscription RR</t>
  </si>
  <si>
    <t>Custom indexes RR</t>
  </si>
  <si>
    <t>Non-market cap weighted RR</t>
  </si>
  <si>
    <t>Product run rate subtotal</t>
  </si>
  <si>
    <t>Difference vs reported RR</t>
  </si>
  <si>
    <t>Rates</t>
  </si>
  <si>
    <t>Retention rate (annualized)</t>
  </si>
  <si>
    <t>S01-S06 Table 6; 3Q26E = 1 - annualized cancels / Dec-25 RR (issuer method)</t>
  </si>
  <si>
    <t>Churn % (annualized)</t>
  </si>
  <si>
    <t>Gross adds rate (annualized, % RR)</t>
  </si>
  <si>
    <t>Net adds rate (annualized, % RR)</t>
  </si>
  <si>
    <t>Revenue / (avg RR / 4)</t>
  </si>
  <si>
    <t>3Q26E = average of last four quarters</t>
  </si>
  <si>
    <t>Revenue build</t>
  </si>
  <si>
    <t>Recurring subscription revenue</t>
  </si>
  <si>
    <t>S01-S06 Table 5; 3Q26E = avg RR/4 x conversion</t>
  </si>
  <si>
    <t>Sign-flipped from issuer organic reconciliation (contribution to reported growth); 3Q26E = assumption</t>
  </si>
  <si>
    <t>Sign-flipped from issuer organic reconciliation; 3Q26E = assumption</t>
  </si>
  <si>
    <t>Asset-based fees (ABF): ETF AUM driver ladder</t>
  </si>
  <si>
    <t>AUM in $bn; S01-S06 Table 7; monthly AUM S17</t>
  </si>
  <si>
    <t>Opening ETF AUM ($bn)</t>
  </si>
  <si>
    <t>Market appreciation ($bn)</t>
  </si>
  <si>
    <t>3Q26E split not yet disclosed (unavailable)</t>
  </si>
  <si>
    <t>Cash inflows ($bn)</t>
  </si>
  <si>
    <t>3Q26E unavailable until issuer release</t>
  </si>
  <si>
    <t>Closing ETF AUM ($bn)</t>
  </si>
  <si>
    <t>3Q26E = Sep-26 month-end balance published on MSCI IR AUM page (S17)</t>
  </si>
  <si>
    <t>AUM roll-forward rounding</t>
  </si>
  <si>
    <t>Monthly avg. AUM - month 1 ($bn)</t>
  </si>
  <si>
    <t>S17 monthly average balances</t>
  </si>
  <si>
    <t>Monthly avg. AUM - month 2 ($bn)</t>
  </si>
  <si>
    <t>Monthly avg. AUM - month 3 ($bn)</t>
  </si>
  <si>
    <t>Average AUM for the period ($bn)</t>
  </si>
  <si>
    <t>Hist. as reported (Table 7); FY25 = simple average of the four quarterly averages (existing convention, not day-weighted; issuer FY convention not established); 3Q26E = average of Jul/Aug/Sep monthly averages (S17)</t>
  </si>
  <si>
    <t>Memo: avg. of monthly averages</t>
  </si>
  <si>
    <t>Opening period-end fee (bps)</t>
  </si>
  <si>
    <t>Period-end basis point fee (bps)</t>
  </si>
  <si>
    <t>Table 7; 3Q26E assumption (mix shift to DM/hyperscale ETFs; BlackRock phase 2 not until 1Q27: S16)</t>
  </si>
  <si>
    <t>Realized ETF fee (bps on avg AUM)</t>
  </si>
  <si>
    <t>ETF revenue / (avg AUM x days/365); 3Q26E = avg period-end fee x ratio</t>
  </si>
  <si>
    <t>Realized / period-end fee ratio</t>
  </si>
  <si>
    <t>ABF revenue - ETFs</t>
  </si>
  <si>
    <t>S11-S14 ABF revenue split; 3Q26E = avg AUM x realized fee x days/365</t>
  </si>
  <si>
    <t>Unavailable: issuer does not disclose M&amp;A impact for this line</t>
  </si>
  <si>
    <t>Unavailable: issuer does not disclose FX impact for this line</t>
  </si>
  <si>
    <t>Unavailable: components not disclosed</t>
  </si>
  <si>
    <t>ABF: non-ETF indexed funds and listed futures &amp; options</t>
  </si>
  <si>
    <t>Run rates in $m (S01-S06 Table 8; F&amp;O RR S11-S14)</t>
  </si>
  <si>
    <t>ABF run rate - total</t>
  </si>
  <si>
    <t>Table 8; 3Q26E = sum of components</t>
  </si>
  <si>
    <t>ETF RR (closing AUM x fee)</t>
  </si>
  <si>
    <t>Futures &amp; options RR</t>
  </si>
  <si>
    <t>S11-S14; 3Q26E held flat (assumption)</t>
  </si>
  <si>
    <t>Non-ETF indexed funds RR (derived)</t>
  </si>
  <si>
    <t>Total ABF RR - ETF RR - F&amp;O RR; 3Q26E held flat</t>
  </si>
  <si>
    <t>Non-ETF rev. / (prior RR / 4)</t>
  </si>
  <si>
    <t>Client-reported AUM lag; 3Q26E = 4-qtr average</t>
  </si>
  <si>
    <t>ABF revenue - non-ETF funds</t>
  </si>
  <si>
    <t>S11-S14</t>
  </si>
  <si>
    <t>F&amp;O contracts traded (m)</t>
  </si>
  <si>
    <t>S11-S14; 3Q26E unavailable</t>
  </si>
  <si>
    <t>F&amp;O rev. / (prior RR / 4)</t>
  </si>
  <si>
    <t>3Q26E assumption 100%</t>
  </si>
  <si>
    <t>ABF revenue - futures &amp; options</t>
  </si>
  <si>
    <t>S11-S14; 1Q26A = reported ABF less ETF and non-ETF (not separately shown)</t>
  </si>
  <si>
    <t>ABF revenue as reported (memo)</t>
  </si>
  <si>
    <t>S01-S06 Table 5</t>
  </si>
  <si>
    <t>Rounding vs reported ABF</t>
  </si>
  <si>
    <t>Presentation components rounded to $0.1m; 3Q26E nil</t>
  </si>
  <si>
    <t>Asset-based fees (subtotal)</t>
  </si>
  <si>
    <t>Non-recurring sales</t>
  </si>
  <si>
    <t>S01-S06 Table 6; not forecast (revenue forecast directly)</t>
  </si>
  <si>
    <t>Non-recurring revenue</t>
  </si>
  <si>
    <t>S01-S06 Table 5; 3Q26E assumption (Q3 seasonally low)</t>
  </si>
  <si>
    <t>NR revenue / NR sales</t>
  </si>
  <si>
    <t>Segment total</t>
  </si>
  <si>
    <t>Total segment revenues</t>
  </si>
  <si>
    <t>Sum of components; 3Q26E M&amp;A/FX = 3Q25A revenue-weighted average of component assumptions</t>
  </si>
  <si>
    <t>Segment profit (issuer-defined segment adjusted EBITDA)</t>
  </si>
  <si>
    <t>Adjusted EBITDA expenses</t>
  </si>
  <si>
    <t>S01-S06 Table 5/11; 3Q26E allocates guided Q3 total (~high-$330m, S16)</t>
  </si>
  <si>
    <t>Segment adjusted EBITDA</t>
  </si>
  <si>
    <t>Segment adjusted EBITDA margin</t>
  </si>
  <si>
    <t>Adj. EBITDA expenses % revenue</t>
  </si>
  <si>
    <t>Segment - Analytics</t>
  </si>
  <si>
    <t>Hist. embedded in other change; 3Q26E nil (no Analytics acquisition)</t>
  </si>
  <si>
    <t>Equity Analytics RR</t>
  </si>
  <si>
    <t>Multi-Asset Class Analytics RR</t>
  </si>
  <si>
    <t>Segment - Sustain &amp; Climate</t>
  </si>
  <si>
    <t>First Street closed 2026-08-03 (S19); mgmt: ~$10m subscription RR to S&amp;C (S15)</t>
  </si>
  <si>
    <t>Average of opening/closing RR. 3Q26E: First Street RR (J22, closed 2026-08-03, S19) enters at ~half a quarter - approximate half-period treatment (owned 59 of 92 days)</t>
  </si>
  <si>
    <t>3Q26E M&amp;A = acquired RR (First Street) revenue in the build (approximate half-period convention) / 3Q25A subscription revenue</t>
  </si>
  <si>
    <t>3Q26E M&amp;A = acquired RR (First Street) revenue in the build / 3Q25A subscription revenue</t>
  </si>
  <si>
    <t>Segment - Private Assets</t>
  </si>
  <si>
    <t>Hist. embedded in other change; 3Q26E nil</t>
  </si>
  <si>
    <t>Real Assets RR</t>
  </si>
  <si>
    <t>Private Capital Solutions RR</t>
  </si>
  <si>
    <t>Income Statement</t>
  </si>
  <si>
    <t>Income statement (as reported)</t>
  </si>
  <si>
    <t>Operating revenues</t>
  </si>
  <si>
    <t>Linked from Revenue summary</t>
  </si>
  <si>
    <t>Cost of revenues (excl. D&amp;A)</t>
  </si>
  <si>
    <t>3Q26E assumption. Gross profit / gross margin: not reported by issuer (cost of revenues excl. D&amp;A only) - recorded not applicable; no unofficial metric computed</t>
  </si>
  <si>
    <t>% of revenue</t>
  </si>
  <si>
    <t>Selling and marketing</t>
  </si>
  <si>
    <t>3Q26E assumption</t>
  </si>
  <si>
    <t>Research and development</t>
  </si>
  <si>
    <t>General and administrative</t>
  </si>
  <si>
    <t>3Q26E = segment adj. EBITDA expenses + acquisition costs - other cash opex lines (allocation from 338.0 + 3.0 total-expense assumption; makes J140 zero by construction; implied Y/Y in J33)</t>
  </si>
  <si>
    <t>Amortization of intangible assets</t>
  </si>
  <si>
    <t>3Q26E assumption 44.5 = acquired-intangible amort. 22.0 (J99) + non-acquired amort. 22.5 (2Q26A: 22.9); judgmental, not trended. Both J38 and J99 affect adjusted EPS</t>
  </si>
  <si>
    <t>Depreciation &amp; amort. of PP&amp;E</t>
  </si>
  <si>
    <t>Total operating expenses</t>
  </si>
  <si>
    <t>Operating income (GAAP)</t>
  </si>
  <si>
    <t>Operating margin</t>
  </si>
  <si>
    <t>Interest income</t>
  </si>
  <si>
    <t>Interest expense</t>
  </si>
  <si>
    <t>3Q26E: FY26 guide $282-286m (S06) less 1H26 actual</t>
  </si>
  <si>
    <t>Other expense (income)</t>
  </si>
  <si>
    <t>Other expense (income), net</t>
  </si>
  <si>
    <t>Income before income taxes</t>
  </si>
  <si>
    <t>Provision for income taxes</t>
  </si>
  <si>
    <t>3Q26E = pre-tax income x ETR assumption</t>
  </si>
  <si>
    <t>3Q26E assumption: FY26 guide 18-20% ex discrete (S06); 2Q26 18.0%, 3Q25 17.9%</t>
  </si>
  <si>
    <t>Net income (GAAP, to common)</t>
  </si>
  <si>
    <t>Net margin</t>
  </si>
  <si>
    <t>Per share (USD per diluted common share)</t>
  </si>
  <si>
    <t>Weighted avg. basic shares (m)</t>
  </si>
  <si>
    <t>Linked from Share Count</t>
  </si>
  <si>
    <t>Basic EPS (GAAP)</t>
  </si>
  <si>
    <t>Diluted EPS (GAAP)</t>
  </si>
  <si>
    <t>Q/Q change ($)</t>
  </si>
  <si>
    <t>Diluted EPS as reported (memo)</t>
  </si>
  <si>
    <t>S01-S06</t>
  </si>
  <si>
    <t>GAAP to non-GAAP (adjusted EPS = consensus normalized basis)</t>
  </si>
  <si>
    <t>S01-S06 Table 10</t>
  </si>
  <si>
    <t>Net income (GAAP)</t>
  </si>
  <si>
    <t>+ Amort. of acquired intangibles</t>
  </si>
  <si>
    <t>3Q26E: 2Q26 $20.9m + First Street (+1.1m assumption); distinct from non-acquired 22.5 within J38</t>
  </si>
  <si>
    <t>+ Acquisition-related costs</t>
  </si>
  <si>
    <t>3Q26E assumption (First Street close 2026-08-03)</t>
  </si>
  <si>
    <t>+/(-) Restructuring tax impact</t>
  </si>
  <si>
    <t>Restructuring completed 1Q26 (S06): nil</t>
  </si>
  <si>
    <t>+ Loss on investee</t>
  </si>
  <si>
    <t>4Q25 only; 3Q26E nil (none disclosed)</t>
  </si>
  <si>
    <t>- Tax effect of adjustments</t>
  </si>
  <si>
    <t>Tax rate on adjustments</t>
  </si>
  <si>
    <t>3Q26E assumption (hist. 13-20%)</t>
  </si>
  <si>
    <t>Adjusted net income (non-GAAP)</t>
  </si>
  <si>
    <t>Adjusted diluted EPS (cons. basis)</t>
  </si>
  <si>
    <t>Headline forecast metric</t>
  </si>
  <si>
    <t>Bridge: GAAP diluted EPS</t>
  </si>
  <si>
    <t>+ Acquired amortization / share</t>
  </si>
  <si>
    <t>+ Acquisition costs / share</t>
  </si>
  <si>
    <t>+/(-) Restructuring tax / share</t>
  </si>
  <si>
    <t>+ Investee loss / share</t>
  </si>
  <si>
    <t>- Tax effect / share</t>
  </si>
  <si>
    <t>Adjusted EPS via per-share bridge</t>
  </si>
  <si>
    <t>Adjusted EPS as reported (memo)</t>
  </si>
  <si>
    <t>CapIQ normalized EPS - actual</t>
  </si>
  <si>
    <t>Linked from Inputs (MSCI_history.csv)</t>
  </si>
  <si>
    <t>CapIQ normalized EPS - consensus</t>
  </si>
  <si>
    <t>3Q26E = frozen consensus at cutoff</t>
  </si>
  <si>
    <t>Surprise vs consensus ($)</t>
  </si>
  <si>
    <t>Model adj. EPS less CapIQ actual</t>
  </si>
  <si>
    <t>CapIQ revenue (act. / 3Q26E cons.)</t>
  </si>
  <si>
    <t>Linked from Inputs</t>
  </si>
  <si>
    <t>Adjusted EBITDA (issuer-defined)</t>
  </si>
  <si>
    <t>S01-S06 Table 9/11</t>
  </si>
  <si>
    <t>Operating income</t>
  </si>
  <si>
    <t>+ Amortization of intangibles</t>
  </si>
  <si>
    <t>+ Depreciation of PP&amp;E</t>
  </si>
  <si>
    <t>Adjusted EBITDA</t>
  </si>
  <si>
    <t>Adjusted EBITDA margin</t>
  </si>
  <si>
    <t>Sum of segment adj. EBITDA exp.</t>
  </si>
  <si>
    <t>Linked from segment tabs</t>
  </si>
  <si>
    <t>Difference (should be ~0)</t>
  </si>
  <si>
    <t>3Q26E: zero by construction (J32 G&amp;A allocated from J139 + J100); structural, not an independent check</t>
  </si>
  <si>
    <t>Memo: total D&amp;A (guide basis)</t>
  </si>
  <si>
    <t>FY26 guide $195-205m (S06)</t>
  </si>
  <si>
    <t>Checks</t>
  </si>
  <si>
    <t>Check: EPS = NI / shares (TRUE)</t>
  </si>
  <si>
    <t>3Q26E: structural identities only (EPS = NI/shares, bridge ties; J140 zero by construction)</t>
  </si>
  <si>
    <t>Balance Sheet</t>
  </si>
  <si>
    <t>Assets</t>
  </si>
  <si>
    <t>S01-S06 Table 3 (period-end balances; FY25A = 4Q25A)</t>
  </si>
  <si>
    <t>Cash and equivalents (incl. restr.)</t>
  </si>
  <si>
    <t>3Q26E linked from Cash Flow</t>
  </si>
  <si>
    <t>Accounts receivable</t>
  </si>
  <si>
    <t>3Q26E assumption (Q3 seasonal decline, cf. 3Q25)</t>
  </si>
  <si>
    <t>Other current assets</t>
  </si>
  <si>
    <t>Total current assets</t>
  </si>
  <si>
    <t>PP&amp;E and leasehold impr., net</t>
  </si>
  <si>
    <t>3Q26E = prior + capex - depreciation</t>
  </si>
  <si>
    <t>Right-of-use assets</t>
  </si>
  <si>
    <t>3Q26E = prior - ROU amortization</t>
  </si>
  <si>
    <t>Goodwill</t>
  </si>
  <si>
    <t>3Q26E = prior + First Street price - allocated intangibles</t>
  </si>
  <si>
    <t>Intangible assets, net</t>
  </si>
  <si>
    <t>3Q26E = prior + capitalized software + acquired - amortization</t>
  </si>
  <si>
    <t>Other non-current assets</t>
  </si>
  <si>
    <t>3Q26E held flat</t>
  </si>
  <si>
    <t>Total assets</t>
  </si>
  <si>
    <t>Liabilities</t>
  </si>
  <si>
    <t>Deferred revenue</t>
  </si>
  <si>
    <t>3Q26E assumption (Q3 seasonal run-off, cf. 3Q25)</t>
  </si>
  <si>
    <t>Other current liabilities</t>
  </si>
  <si>
    <t>3Q26E assumption (accrued comp/interest/tax build)</t>
  </si>
  <si>
    <t>Total current liabilities</t>
  </si>
  <si>
    <t>Long-term debt</t>
  </si>
  <si>
    <t>3Q26E = prior + net borrowings</t>
  </si>
  <si>
    <t>LT operating lease liabilities</t>
  </si>
  <si>
    <t>Other non-current liabilities</t>
  </si>
  <si>
    <t>Total liabilities</t>
  </si>
  <si>
    <t>Shareholders' equity (deficit)</t>
  </si>
  <si>
    <t>3Q26E = prior + NI + SBC - dividends - buybacks + option proceeds</t>
  </si>
  <si>
    <t>Total liabilities and equity</t>
  </si>
  <si>
    <t>Check: assets - liab. - equity</t>
  </si>
  <si>
    <t>Check: BS balances (TRUE)</t>
  </si>
  <si>
    <t>Forecast assumptions and memo</t>
  </si>
  <si>
    <t>First Street PPA to intangibles</t>
  </si>
  <si>
    <t>3Q26E assumption (PPA not yet disclosed)</t>
  </si>
  <si>
    <t>Net debt (LT debt less cash)</t>
  </si>
  <si>
    <t>AR as % of quarterly revenue</t>
  </si>
  <si>
    <t>n/m</t>
  </si>
  <si>
    <t>FY column n/m (balance vs annual revenue)</t>
  </si>
  <si>
    <t>Deferred revenue as % of qtr revenue</t>
  </si>
  <si>
    <t>Cash Flow Statement</t>
  </si>
  <si>
    <t>Operating activities</t>
  </si>
  <si>
    <t>S01-S06 Table 4 (three-month columns)</t>
  </si>
  <si>
    <t>Net income</t>
  </si>
  <si>
    <t>Linked from Income Statement</t>
  </si>
  <si>
    <t>Stock-based compensation</t>
  </si>
  <si>
    <t>3Q26E assumption (2Q26 $25.4m)</t>
  </si>
  <si>
    <t>Amortization of ROU assets</t>
  </si>
  <si>
    <t>Loss on investment in investee</t>
  </si>
  <si>
    <t>Line shown only in 4Q25 statement; nil elsewhere</t>
  </si>
  <si>
    <t>Other adjustments</t>
  </si>
  <si>
    <t>1Q26 includes -$88m deferred tax (restructuring); 3Q26E nil</t>
  </si>
  <si>
    <t>Change in operating assets &amp; liab.</t>
  </si>
  <si>
    <t>3Q26E derived from Balance Sheet working-capital assumptions</t>
  </si>
  <si>
    <t>Net cash from operating activities</t>
  </si>
  <si>
    <t>CFO as reported (memo)</t>
  </si>
  <si>
    <t>S01-S06 Table 4/12</t>
  </si>
  <si>
    <t>Investing activities</t>
  </si>
  <si>
    <t>Capitalized software</t>
  </si>
  <si>
    <t>3Q26E: FY26 Capex guide $160-170m less 1H26</t>
  </si>
  <si>
    <t>Capital expenditures</t>
  </si>
  <si>
    <t>Business acquisitions, net</t>
  </si>
  <si>
    <t>3Q26E: First Street $120.0m cash at closing (S06, S19)</t>
  </si>
  <si>
    <t>Other investing</t>
  </si>
  <si>
    <t>Net cash from investing</t>
  </si>
  <si>
    <t>Financing activities</t>
  </si>
  <si>
    <t>Repurchase of common stock</t>
  </si>
  <si>
    <t>3Q26E linked from Share Count assumption</t>
  </si>
  <si>
    <t>Payment of dividends</t>
  </si>
  <si>
    <t>3Q26E = $2.05 x opening shares outstanding</t>
  </si>
  <si>
    <t>Repayment of borrowings</t>
  </si>
  <si>
    <t>3Q26E assumption (revolver)</t>
  </si>
  <si>
    <t>Proceeds from borrowings</t>
  </si>
  <si>
    <t>3Q26E assumption: revolver draw for First Street and buybacks (S15)</t>
  </si>
  <si>
    <t>Payment of debt issuance costs</t>
  </si>
  <si>
    <t>Proceeds from option exercises</t>
  </si>
  <si>
    <t>Contingent consideration paid</t>
  </si>
  <si>
    <t>Net cash from financing</t>
  </si>
  <si>
    <t>Effect of FX on cash</t>
  </si>
  <si>
    <t>Net change in cash</t>
  </si>
  <si>
    <t>Cash - beginning of period</t>
  </si>
  <si>
    <t>3Q26E opens from reported 2Q26 balance sheet cash</t>
  </si>
  <si>
    <t>Cash - end of period</t>
  </si>
  <si>
    <t>Check: CF cash less BS cash</t>
  </si>
  <si>
    <t>Free cash flow (issuer definition: CFO less capex incl. capitalized software)</t>
  </si>
  <si>
    <t>S01-S06 Table 12</t>
  </si>
  <si>
    <t>Capex (issuer-defined)</t>
  </si>
  <si>
    <t>Free cash flow</t>
  </si>
  <si>
    <t>FCF / net income</t>
  </si>
  <si>
    <t>Check: cash ties to BS (TRUE)</t>
  </si>
  <si>
    <t>Geo</t>
  </si>
  <si>
    <t>Operating revenues by geography (shipping address of ultimate customer)</t>
  </si>
  <si>
    <t>S07-S10 10-Q/10-K segment note; 4Q25A = FY25 (S08) less 1Q-3Q</t>
  </si>
  <si>
    <t>United States</t>
  </si>
  <si>
    <t>3Q26E = total revenue forecast x 2Q26A geographic mix</t>
  </si>
  <si>
    <t>Other Americas</t>
  </si>
  <si>
    <t>Total Americas</t>
  </si>
  <si>
    <t>United Kingdom</t>
  </si>
  <si>
    <t>Other EMEA</t>
  </si>
  <si>
    <t>Total EMEA</t>
  </si>
  <si>
    <t>Japan</t>
  </si>
  <si>
    <t>Other Asia &amp; Australia</t>
  </si>
  <si>
    <t>Total Asia &amp; Australia</t>
  </si>
  <si>
    <t>Total revenues by geography</t>
  </si>
  <si>
    <t>Check: Geo total less revenue</t>
  </si>
  <si>
    <t>Hist. differences reflect $0.1m rounding in 10-Q tables</t>
  </si>
  <si>
    <t>Check: Geo = total (TRUE)</t>
  </si>
  <si>
    <t>Share Count</t>
  </si>
  <si>
    <t>Weighted average shares (millions)</t>
  </si>
  <si>
    <t>Weighted avg. basic shares</t>
  </si>
  <si>
    <t>3Q26E = opening shares - repurchases x timing + issuance x timing</t>
  </si>
  <si>
    <t>Dilutive effect of equity awards</t>
  </si>
  <si>
    <t>3Q26E assumption (6-qtr range 0.10-0.18); 1Q26/2Q26 derived from shares reported to 0.1m (rounding uncertainty)</t>
  </si>
  <si>
    <t>Weighted avg. diluted shares</t>
  </si>
  <si>
    <t>Forecast EPS denominator; 2025 reported to 0.001m, 1Q26/2Q26 reported to 0.1m</t>
  </si>
  <si>
    <t>Shares outstanding and repurchases</t>
  </si>
  <si>
    <t>Shares outstanding - opening</t>
  </si>
  <si>
    <t>Open-market repurchases ($m)</t>
  </si>
  <si>
    <t>S01-S10 (quarter $ disclosed except 4Q25); 3Q26E assumption</t>
  </si>
  <si>
    <t>Avg. repurchase price ($/share)</t>
  </si>
  <si>
    <t>3Q26E assumption: Q3 trading range ~$550-600 (S23)</t>
  </si>
  <si>
    <t>Shares repurchased (m)</t>
  </si>
  <si>
    <t>Shares issued (awards/options, m)</t>
  </si>
  <si>
    <t>Timing factor (in-quarter)</t>
  </si>
  <si>
    <t>Mid-quarter convention</t>
  </si>
  <si>
    <t>Shares outstanding - closing</t>
  </si>
  <si>
    <t>S01-S06 share count text. I32: S06 2Q26 release 'Total shares outstanding as of June 30, 2026 were 72.7 million' (reported to 0.1m)</t>
  </si>
  <si>
    <t>Memo: CF buybacks (gross)</t>
  </si>
  <si>
    <t>Cash repurchases incl. tax withholding (Cash Flow Statement)</t>
  </si>
  <si>
    <t>Dividends declared per share</t>
  </si>
  <si>
    <t>3Q26 dividend $2.05 declared 2026-07-20 (S06)</t>
  </si>
  <si>
    <t>Guidance</t>
  </si>
  <si>
    <t>Metric (FY unless stated; $m)</t>
  </si>
  <si>
    <t>Date issued</t>
  </si>
  <si>
    <t>Low</t>
  </si>
  <si>
    <t>High</t>
  </si>
  <si>
    <t>Midpoint</t>
  </si>
  <si>
    <t>Actual</t>
  </si>
  <si>
    <t>Act. - mid</t>
  </si>
  <si>
    <t>Beat/Miss</t>
  </si>
  <si>
    <t>Source / notes</t>
  </si>
  <si>
    <t>Operating expense</t>
  </si>
  <si>
    <t>FY2025</t>
  </si>
  <si>
    <t>S30</t>
  </si>
  <si>
    <t>Adjusted EBITDA expense</t>
  </si>
  <si>
    <t>S30; cost metrics: below midpoint = Beat</t>
  </si>
  <si>
    <t>Depreciation &amp; amortization</t>
  </si>
  <si>
    <t>S30; FY25 guide incl. discrete items, FY26 guide excl. restructuring</t>
  </si>
  <si>
    <t>Net cash from operations</t>
  </si>
  <si>
    <t>S01</t>
  </si>
  <si>
    <t>S01; cost metrics: below midpoint = Beat</t>
  </si>
  <si>
    <t>S01; FY25 guide incl. discrete items, FY26 guide excl. restructuring</t>
  </si>
  <si>
    <t>S02</t>
  </si>
  <si>
    <t>S02; cost metrics: below midpoint = Beat</t>
  </si>
  <si>
    <t>S02; FY25 guide incl. discrete items, FY26 guide excl. restructuring</t>
  </si>
  <si>
    <t>S03</t>
  </si>
  <si>
    <t>S03; cost metrics: below midpoint = Beat</t>
  </si>
  <si>
    <t>S03; FY25 guide incl. discrete items, FY26 guide excl. restructuring</t>
  </si>
  <si>
    <t>FY2026</t>
  </si>
  <si>
    <t>S04; actual not yet reported</t>
  </si>
  <si>
    <t>S04; FY25 guide incl. discrete items, FY26 guide excl. restructuring; actual not yet reported</t>
  </si>
  <si>
    <t>S05; actual not yet reported</t>
  </si>
  <si>
    <t>S05; FY25 guide incl. discrete items, FY26 guide excl. restructuring; actual not yet reported</t>
  </si>
  <si>
    <t>S06; actual not yet reported</t>
  </si>
  <si>
    <t>S06; FY25 guide incl. discrete items, FY26 guide excl. restructuring; actual not yet reported</t>
  </si>
  <si>
    <t>Adj. EBITDA expense (3Q26)</t>
  </si>
  <si>
    <t>3Q2026</t>
  </si>
  <si>
    <t>S16: CFO "tracking towards ... high $330 million" incl. elevated severance; range = model interpretation</t>
  </si>
  <si>
    <t>Model 3Q26E adj. EBITDA expense</t>
  </si>
  <si>
    <t>Model estimate vs commentary midpoint</t>
  </si>
  <si>
    <t>FY2025 track record vs final (2025-10-28) midpoint</t>
  </si>
  <si>
    <t>Beats (count of 8 metrics)</t>
  </si>
  <si>
    <t>Revenue / NI / EPS guidance</t>
  </si>
  <si>
    <t>Not provided by issuer (no revenue, NI or EPS guidance); Cover guidance midpoints shown as n/a</t>
  </si>
  <si>
    <t>Sources</t>
  </si>
  <si>
    <t>ID - document</t>
  </si>
  <si>
    <t>Published</t>
  </si>
  <si>
    <t>Publisher</t>
  </si>
  <si>
    <t>Feeds</t>
  </si>
  <si>
    <t>URL / file (retrieved 2026-10-19 UTC unless noted)</t>
  </si>
  <si>
    <t>S01 1Q25 earnings release</t>
  </si>
  <si>
    <t>MSCI / SEC</t>
  </si>
  <si>
    <t>IS, BS, CF, segments, sales, RR, guidance</t>
  </si>
  <si>
    <t>https://www.sec.gov/Archives/edgar/data/1408198/000140819825000109/earningsrelease-20250331xf.htm</t>
  </si>
  <si>
    <t>S02 2Q25 earnings release</t>
  </si>
  <si>
    <t>https://www.sec.gov/Archives/edgar/data/1408198/000140819825000175/exhibit991earningsrelease-.htm</t>
  </si>
  <si>
    <t>S03 3Q25 earnings release</t>
  </si>
  <si>
    <t>https://www.sec.gov/Archives/edgar/data/1408198/000140819825000194/exhibit991earningsrelease-.htm</t>
  </si>
  <si>
    <t>S04 4Q25/FY25 earnings release</t>
  </si>
  <si>
    <t>IS/BS/CF, segments, FY25, 2024 comps, guide</t>
  </si>
  <si>
    <t>https://www.sec.gov/Archives/edgar/data/1408198/000140819826000005/exhibit991earningsrelease-.htm</t>
  </si>
  <si>
    <t>S05 1Q26 earnings release</t>
  </si>
  <si>
    <t>https://www.sec.gov/Archives/edgar/data/1408198/000140819826000032/earningsrelease-20260331xe.htm</t>
  </si>
  <si>
    <t>S06 2Q26 earnings release</t>
  </si>
  <si>
    <t>IS/BS/CF, segments, guidance, First Street</t>
  </si>
  <si>
    <t>https://www.sec.gov/Archives/edgar/data/1408198/000140819826000044/exhibit991earningsrelease-.htm</t>
  </si>
  <si>
    <t>S07 3Q25 Form 10-Q</t>
  </si>
  <si>
    <t>Geo (3Q25), repurchases</t>
  </si>
  <si>
    <t>https://www.sec.gov/Archives/edgar/data/1408198/000140819825000196/msci-20250930.htm</t>
  </si>
  <si>
    <t>S08 FY25 10-K (segment note)</t>
  </si>
  <si>
    <t>Geo (FY25)</t>
  </si>
  <si>
    <t>https://www.sec.gov/Archives/edgar/data/1408198/000140819826000011/R22.htm</t>
  </si>
  <si>
    <t>S09 1Q26 Form 10-Q</t>
  </si>
  <si>
    <t>Geo (1Q25, 1Q26), repurchases</t>
  </si>
  <si>
    <t>https://www.sec.gov/Archives/edgar/data/1408198/000140819826000034/msci-20260331.htm</t>
  </si>
  <si>
    <t>S10 2Q26 Form 10-Q</t>
  </si>
  <si>
    <t>Geo (2Q25, 2Q26), shares, debt</t>
  </si>
  <si>
    <t>https://www.sec.gov/Archives/edgar/data/1408198/000140819826000046/msci-20260630.htm</t>
  </si>
  <si>
    <t>S11 3Q25 earnings presentation</t>
  </si>
  <si>
    <t>MSCI IR</t>
  </si>
  <si>
    <t>ABF split, product RR, F&amp;O</t>
  </si>
  <si>
    <t>https://ir.msci.com/static-files/62ff9204-c305-45ce-9c19-95557a4a61ee</t>
  </si>
  <si>
    <t>S12 4Q25 earnings presentation</t>
  </si>
  <si>
    <t>https://ir.msci.com/static-files/72350ae9-fb7a-4747-b62b-1f72fa14a0e8</t>
  </si>
  <si>
    <t>S13 1Q26 earnings presentation</t>
  </si>
  <si>
    <t>ABF split, product RR</t>
  </si>
  <si>
    <t>https://ir.msci.com/static-files/67659242-b0d0-45cc-a6f8-05613a9eeaae</t>
  </si>
  <si>
    <t>S14 2Q26 earnings presentation</t>
  </si>
  <si>
    <t>ABF split, product RR, F&amp;O RR/volume</t>
  </si>
  <si>
    <t>https://cdn.prod.nntech.io/company-events/reports/b6cfd38e-6060-3704-9894-66407427df66/presentation.pdf</t>
  </si>
  <si>
    <t>S15 2Q26 call transcript</t>
  </si>
  <si>
    <t>Exa library (call transcript)</t>
  </si>
  <si>
    <t>First Street RR, S&amp;C sales, fee mix, opex</t>
  </si>
  <si>
    <t>https://exa.ai/library/markets/stocks/MSCI/earnings/FY2026/Q2/transcript</t>
  </si>
  <si>
    <t>S16 Barclays conference (CFO)</t>
  </si>
  <si>
    <t>Investing.com transcript</t>
  </si>
  <si>
    <t>3Q26 adj. EBITDA expense (high $330m)</t>
  </si>
  <si>
    <t>https://www.investing.com/news/transcripts/msci-at-barclays-conference-ai-new-products-drive-growth-93CH-4900002</t>
  </si>
  <si>
    <t>S17 Monthly ETF AUM (MSCI IR)</t>
  </si>
  <si>
    <t>Undated</t>
  </si>
  <si>
    <t>ETF AUM month-end and monthly avg (Jul-Sep 26); undated page - see note below</t>
  </si>
  <si>
    <t>https://ir.msci.com/aum-etfs-linked-msci-indexes</t>
  </si>
  <si>
    <t>S18 MSCI ACWI factsheet Sep-26</t>
  </si>
  <si>
    <t>Market context: ACWI 3M net return +1.60%</t>
  </si>
  <si>
    <t>https://www.msci.com/documents/10199/255599/msci-acwi-net.pdf</t>
  </si>
  <si>
    <t>S19 First Street completion</t>
  </si>
  <si>
    <t>MSCI IR / Business Wire</t>
  </si>
  <si>
    <t>S&amp;C acquired RR, acquisition cash</t>
  </si>
  <si>
    <t>https://ir.msci.com/news-releases/news-release-details/msci-completes-acquisition-first-street</t>
  </si>
  <si>
    <t>S20 3Q26 call details</t>
  </si>
  <si>
    <t>Report date 2026-10-20 pre-market</t>
  </si>
  <si>
    <t>https://ir.msci.com/news-releases/news-release-details/msci-announces-third-quarter-2026-earnings-call-details</t>
  </si>
  <si>
    <t>S21 CapIQ consensus snapshot</t>
  </si>
  <si>
    <t>S&amp;P Capital IQ (supplied file)</t>
  </si>
  <si>
    <t>Frozen consensus (scoring baseline), Inputs</t>
  </si>
  <si>
    <t>MSCI_consensus.json (SHA256 250a27a990e66e9621a81296ff8af95dd067189408f1f3537dc44889f26727f5)</t>
  </si>
  <si>
    <t>S22 CapIQ six-quarter history</t>
  </si>
  <si>
    <t>Beat history, calibration, Inputs</t>
  </si>
  <si>
    <t>MSCI_history.csv (SHA256 87bb9fd933d87d44b78e16e828a6ae75ca5b8c7cf9ea5efa9ab9eadd14de4d10)</t>
  </si>
  <si>
    <t>S23 AlphaStreet 3Q26 preview</t>
  </si>
  <si>
    <t>AlphaStreet</t>
  </si>
  <si>
    <t>Other consensus ref. ($5.02 / $888.7m)</t>
  </si>
  <si>
    <t>https://news.alphastreet.com/msci-msci-q3-2026-preview-eps-est-5-02-reports-october-20/</t>
  </si>
  <si>
    <t>S24 RBC 3Q26 preview (news)</t>
  </si>
  <si>
    <t>Tiger Brokers / fiscal.ai</t>
  </si>
  <si>
    <t>Other ref.: RBC EPS $5.03, revenue $886m</t>
  </si>
  <si>
    <t>https://ttmgoal.com/m/news/2675532323</t>
  </si>
  <si>
    <t>S25 Market capitalization</t>
  </si>
  <si>
    <t>CompaniesMarketCap / finhacker</t>
  </si>
  <si>
    <t>Size bucket ($41.37bn)</t>
  </si>
  <si>
    <t>https://companiesmarketcap.com/msci/marketcap/</t>
  </si>
  <si>
    <t>S26 S&amp;P 500 constituent list</t>
  </si>
  <si>
    <t>topforeignstocks.com</t>
  </si>
  <si>
    <t>S&amp;P 500 membership (MSCI listed)</t>
  </si>
  <si>
    <t>https://topforeignstocks.com/wp-content/uploads/2026/04/Complete-List-of-SP-500-Index-Companies-Apr-4-2026.csv</t>
  </si>
  <si>
    <t>S27 US dollar in Q3 2026</t>
  </si>
  <si>
    <t>DataPorium</t>
  </si>
  <si>
    <t>FX assumptions (broad USD flat in Q3)</t>
  </si>
  <si>
    <t>https://dataporium.tech/articles/us-dollar-q3-2026-yen-intervention-currencies</t>
  </si>
  <si>
    <t>S28 Zacks 3Q26 preview</t>
  </si>
  <si>
    <t>Zacks / Yahoo Finance</t>
  </si>
  <si>
    <t>Other consensus ref. ($4.99 / $880.29m)</t>
  </si>
  <si>
    <t>https://finance.yahoo.com/markets/stocks/articles/msci-set-report-q3-earnings-163000901.html</t>
  </si>
  <si>
    <t>S29 2Q25 Form 10-Q</t>
  </si>
  <si>
    <t>Geo 2Q24 and 6M24 (prior-year comps)</t>
  </si>
  <si>
    <t>https://www.sec.gov/Archives/edgar/data/1408198/000140819825000177/msci-20250630.htm</t>
  </si>
  <si>
    <t>S30 4Q24/FY24 earnings release</t>
  </si>
  <si>
    <t>Initial FY2025 guidance</t>
  </si>
  <si>
    <t>https://www.sec.gov/Archives/edgar/data/1408198/000140819825000014/earningsrelease-20241231xf.htm</t>
  </si>
  <si>
    <t>Tab coverage notes</t>
  </si>
  <si>
    <t>All standard tabs carry content: four reported segment views (Index, Analytics, Sustainability &amp; Climate, All Other - Private Assets) per S06 Table 5.</t>
  </si>
  <si>
    <t>Geo tab included: 10-Q/10-K segment notes (S07-S10) disclose Americas, EMEA and Asia &amp; Australia revenue.</t>
  </si>
  <si>
    <t>No Dates, Consensus or Checks tabs: period headers live on each tab, consensus on Cover, check summary in artifacts/checks.md.</t>
  </si>
  <si>
    <t>Inputs tab holds the raw CapIQ files (S21, S22) that the Cover, Income Statement and calibration formulas link to.</t>
  </si>
  <si>
    <t>Unavailable items: 4Q25 open-market repurchase $/price; Mar/Jun/Sep-2024 balance sheets and 1Q24/2Q24 product RR (filings not reviewed); 3Q26 AUM flow split (not yet disclosed).</t>
  </si>
  <si>
    <t>Actual 3Q26 results were not released before the cutoff (report date 2026-10-20, S20) and were not seen.</t>
  </si>
  <si>
    <t>S17 limitation: the cached MSCI IR ETF AUM page is undated and was retrieved on 2026-10-19 within the original 04:40-05:05 UTC retrieval window, after the 2026-10-18 21:34:46 UTC cutoff. Pre-cutoff availability of the Jul-Sep 2026 figures (Segment - Index J94/J97/J100, J90) cannot be independently timestamped from the cache; values retained unchanged. EPS sensitivity ~+/-$0.019 per 1% average AUM.</t>
  </si>
  <si>
    <t>Inputs (CapIQ snapshot, raw)</t>
  </si>
  <si>
    <t>MSCI_consensus.json - top-level fields (file SHA256 250a27a9...26727f5)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</si>
  <si>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</si>
  <si>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</si>
  <si>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</si>
  <si>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</si>
  <si>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</si>
  <si>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</si>
  <si>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</si>
  <si>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</si>
  <si>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</si>
  <si>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</si>
  <si>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consensus_revenue_m</t>
  </si>
  <si>
    <t>currency</t>
  </si>
  <si>
    <t>USD</t>
  </si>
  <si>
    <t>summary_sha256</t>
  </si>
  <si>
    <t>e59b846434f90c9b5de8c2ed951fd1b25c1f6d0217c680f72dea41992051a49d</t>
  </si>
  <si>
    <t>MSCI_history.csv - six-quarter history (file SHA256 87bb9fd9...27a4d10); blanks preserved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</si>
  <si>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</si>
  <si>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</si>
  <si>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</si>
  <si>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</si>
  <si>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</si>
  <si>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</si>
  <si>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</si>
  <si>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Norm. surprise ($)</t>
  </si>
  <si>
    <t>MSCI_consensus.json - summary_row (complete raw; blank source values left blank)</t>
  </si>
  <si>
    <t>company_name</t>
  </si>
  <si>
    <t>exchange_ticker</t>
  </si>
  <si>
    <t>NYSE:MSCI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</si>
  <si>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</si>
  <si>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</si>
  <si>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</si>
  <si>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</si>
  <si>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</si>
  <si>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</si>
  <si>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</si>
  <si>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</si>
  <si>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</si>
  <si>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</si>
  <si>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</si>
  <si>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</si>
  <si>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</si>
  <si>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</si>
  <si>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</si>
  <si>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</si>
  <si>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</si>
  <si>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</si>
  <si>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</si>
  <si>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</si>
  <si>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</si>
  <si>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</si>
  <si>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</si>
  <si>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</si>
  <si>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</si>
  <si>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</si>
  <si>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</si>
  <si>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</si>
  <si>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</si>
  <si>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</si>
  <si>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</si>
  <si>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</si>
  <si>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</si>
  <si>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</si>
  <si>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</si>
  <si>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</si>
  <si>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</si>
  <si>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</si>
  <si>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</si>
  <si>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</si>
  <si>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</si>
  <si>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</si>
  <si>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</si>
  <si>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</si>
  <si>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</si>
  <si>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</si>
  <si>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</si>
  <si>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</si>
  <si>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</si>
  <si>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</si>
  <si>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</si>
  <si>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</si>
  <si>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</si>
  <si>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</si>
  <si>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</si>
  <si>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</si>
  <si>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</si>
  <si>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</si>
  <si>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</si>
  <si>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</si>
  <si>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</si>
  <si>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</si>
  <si>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</si>
  <si>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</si>
  <si>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</si>
  <si>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</si>
  <si>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644.77/501.08</t>
  </si>
  <si>
    <t>estimates_captured_at</t>
  </si>
  <si>
    <t>notes</t>
  </si>
  <si>
    <t>Other snapshot metadata</t>
  </si>
  <si>
    <t>Normalized diluted EPS per ordinary/common share, USD; verify issuer adjustments and share identity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</si>
  <si>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</si>
  <si>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</si>
  <si>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</si>
  <si>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</si>
  <si>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</si>
  <si>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</si>
  <si>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</si>
  <si>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</si>
  <si>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</si>
  <si>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</si>
  <si>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</si>
  <si>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</si>
  <si>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</si>
  <si>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Prior-year (2024) comparatives from S01-S04, USD m - used only for 2025 Y/Y on Income Statement</t>
  </si>
  <si>
    <t>Prior-year period</t>
  </si>
  <si>
    <t>1Q24A</t>
  </si>
  <si>
    <t>2Q24A</t>
  </si>
  <si>
    <t>3Q24A</t>
  </si>
  <si>
    <t>4Q24A</t>
  </si>
  <si>
    <t>FY24A</t>
  </si>
  <si>
    <t>Cost of revenues</t>
  </si>
  <si>
    <t>COR % of revenue</t>
  </si>
  <si>
    <t>SM % of revenue</t>
  </si>
  <si>
    <t>RD % of revenue</t>
  </si>
  <si>
    <t>GA % of revenue</t>
  </si>
  <si>
    <t>AMORT % of revenue</t>
  </si>
  <si>
    <t>DEP % of revenue</t>
  </si>
  <si>
    <t>Adjusted net income</t>
  </si>
  <si>
    <t>Adjusted diluted EPS (as reported)</t>
  </si>
  <si>
    <t>Acquisition-related costs</t>
  </si>
  <si>
    <t>Dilutive effect of equity awards (m)</t>
  </si>
  <si>
    <t>Prior-year (2024) cash flow comparatives, USD m (S01-S04 Table 4 prior-year three-month columns)</t>
  </si>
  <si>
    <t>Amortization of intangibles</t>
  </si>
  <si>
    <t>Depreciation of PP&amp;E</t>
  </si>
  <si>
    <t>Loss on investee</t>
  </si>
  <si>
    <t>Other adj. (1Q24 incl. debt write-off)</t>
  </si>
  <si>
    <t>Prior-year balance sheet: only 31-Dec-2024 is in the reviewed filings (S04 Table 3); Mar/Jun/Sep-2024 not reviewed = n/a</t>
  </si>
  <si>
    <t>Prior-year period end</t>
  </si>
  <si>
    <t>Cash &amp; equivalents</t>
  </si>
  <si>
    <t>PP&amp;E, net</t>
  </si>
  <si>
    <t>ROU assets</t>
  </si>
  <si>
    <t>Prior-year (2024) ETF AUM linked to MSCI equity indexes, $bn (S01, S02 Table 7; monthly averages S17)</t>
  </si>
  <si>
    <t>Opening ETF AUM</t>
  </si>
  <si>
    <t>Market appreciation</t>
  </si>
  <si>
    <t>Cash inflows</t>
  </si>
  <si>
    <t>Closing ETF AUM</t>
  </si>
  <si>
    <t>Monthly avg. AUM - month 1</t>
  </si>
  <si>
    <t>Monthly avg. AUM - month 2</t>
  </si>
  <si>
    <t>Monthly avg. AUM - month 3</t>
  </si>
  <si>
    <t>Average AUM for the period</t>
  </si>
  <si>
    <t>ABF run rate - total ($m)</t>
  </si>
  <si>
    <t>Prior-year (2024) Index segment: revenue, adj. EBITDA, retention, product RR (S01-S04, S11-S12)</t>
  </si>
  <si>
    <t>Segment operating revenues</t>
  </si>
  <si>
    <t>Segment revenue % of total revenue</t>
  </si>
  <si>
    <t>Segment adj. EBITDA margin</t>
  </si>
  <si>
    <t>Retention rate</t>
  </si>
  <si>
    <t>Market cap weighted RR (1H24 n/a)</t>
  </si>
  <si>
    <t>Custom indexes RR (1H24 n/a)</t>
  </si>
  <si>
    <t>Non-market cap weighted RR (1H24 n/a)</t>
  </si>
  <si>
    <t>Prior-year (2024) Analytics segment: revenue, adj. EBITDA, retention, product RR (S01-S04, S11-S12)</t>
  </si>
  <si>
    <t>Equity Analytics RR (1H24 n/a)</t>
  </si>
  <si>
    <t>Multi-Asset Class RR (1H24 n/a)</t>
  </si>
  <si>
    <t>Prior-year (2024) Sustainability &amp; Climate segment: revenue, adj. EBITDA, retention, product RR (S01-S04, S11-S12)</t>
  </si>
  <si>
    <t>Prior-year (2024) All Other - Private Assets segment: revenue, adj. EBITDA, retention, product RR (S01-S04, S11-S12)</t>
  </si>
  <si>
    <t>Real Assets RR (1H24 n/a)</t>
  </si>
  <si>
    <t>Private Capital Solutions RR (1H24 n/a)</t>
  </si>
  <si>
    <t>Prior-year (2024) revenue by geography, USD m (S29 2Q25 10-Q, S07 3Q25 10-Q, S08 FY25 10-K)</t>
  </si>
  <si>
    <t>United States - six months 2024 (memo)</t>
  </si>
  <si>
    <t>United States - nine months 2024 (memo)</t>
  </si>
  <si>
    <t>Other Americas - six months 2024 (memo)</t>
  </si>
  <si>
    <t>Other Americas - nine months 2024 (memo)</t>
  </si>
  <si>
    <t>United Kingdom - six months 2024 (memo)</t>
  </si>
  <si>
    <t>United Kingdom - nine months 2024 (memo)</t>
  </si>
  <si>
    <t>Other EMEA - six months 2024 (memo)</t>
  </si>
  <si>
    <t>Other EMEA - nine months 2024 (memo)</t>
  </si>
  <si>
    <t>Japan - six months 2024 (memo)</t>
  </si>
  <si>
    <t>Japan - nine months 2024 (memo)</t>
  </si>
  <si>
    <t>Other Asia &amp; Australia - six months 2024 (memo)</t>
  </si>
  <si>
    <t>Other Asia &amp; Australia - nine months 2024 (memo)</t>
  </si>
</sst>
</file>

<file path=xl/styles.xml><?xml version="1.0" encoding="utf-8"?>
<styleSheet xmlns="http://schemas.openxmlformats.org/spreadsheetml/2006/main">
  <numFmts count="11">
    <numFmt numFmtId="164" formatCode="0"/>
    <numFmt numFmtId="165" formatCode="$0.00"/>
    <numFmt numFmtId="166" formatCode="#,##0.0_);(#,##0.0);–_)"/>
    <numFmt numFmtId="167" formatCode="0.0%"/>
    <numFmt numFmtId="168" formatCode="0.0%_);(0.0%);–_)"/>
    <numFmt numFmtId="169" formatCode="0.00_);(0.00);–_)"/>
    <numFmt numFmtId="170" formatCode="yyyy-mm-dd"/>
    <numFmt numFmtId="171" formatCode="#,##0_);(#,##0);–_)"/>
    <numFmt numFmtId="172" formatCode="General"/>
    <numFmt numFmtId="173" formatCode="$0.00_);($0.00)"/>
    <numFmt numFmtId="174" formatCode="#,##0.000_);(#,##0.000);–_)"/>
  </numFmts>
  <fonts count="20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/>
      <i val="0"/>
      <strike val="0"/>
      <sz val="11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40404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4">
    <xf numFmtId="0" fontId="0" fillId="0" borderId="0" xfId="0"/>
    <xf numFmtId="164" fontId="1" fillId="2" borderId="1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4" fillId="2" borderId="2" xfId="0" applyFont="1" applyFill="1" applyBorder="1" applyAlignment="1" applyProtection="1">
      <alignment horizontal="right" vertical="bottom"/>
      <protection locked="1" hidden="0"/>
    </xf>
    <xf numFmtId="0" fontId="4" fillId="2" borderId="3" xfId="0" applyFont="1" applyFill="1" applyBorder="1" applyAlignment="1" applyProtection="1">
      <alignment horizontal="lef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2" xfId="0" applyFont="1" applyFill="1" applyBorder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8" fontId="8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lef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0" fontId="4" fillId="2" borderId="3" xfId="0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70" fontId="2" fillId="2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lef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2" xfId="0" applyFont="1" applyFill="1" applyBorder="1" applyAlignment="1" applyProtection="1">
      <alignment horizontal="left" vertical="bottom"/>
      <protection locked="1" hidden="0"/>
    </xf>
    <xf numFmtId="168" fontId="10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1" xfId="0" applyFont="1" applyFill="1" applyBorder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0" fontId="4" fillId="0" borderId="1" xfId="0" applyFont="1" applyFill="1" applyBorder="1" applyAlignment="1" applyProtection="1">
      <alignment horizontal="left" vertical="bottom"/>
      <protection locked="1" hidden="0"/>
    </xf>
    <xf numFmtId="0" fontId="12" fillId="0" borderId="2" xfId="0" applyFont="1" applyFill="1" applyBorder="1" applyAlignment="1" applyProtection="1">
      <alignment horizontal="right" vertical="bottom"/>
      <protection locked="1" hidden="0"/>
    </xf>
    <xf numFmtId="164" fontId="2" fillId="2" borderId="1" xfId="0" applyNumberFormat="1" applyFont="1" applyFill="1" applyBorder="1" applyAlignment="1" applyProtection="1">
      <alignment horizontal="right" vertical="bottom"/>
      <protection locked="1" hidden="0"/>
    </xf>
    <xf numFmtId="0" fontId="4" fillId="0" borderId="1" xfId="0" applyFont="1" applyFill="1" applyBorder="1" applyAlignment="1" applyProtection="1">
      <alignment horizontal="left" vertical="bottom" wrapText="1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66" fontId="9" fillId="0" borderId="2" xfId="0" applyNumberFormat="1" applyFont="1" applyFill="1" applyBorder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68" fontId="8" fillId="3" borderId="0" xfId="0" applyNumberFormat="1" applyFont="1" applyFill="1" applyAlignment="1" applyProtection="1">
      <alignment horizontal="right" vertical="bottom"/>
      <protection locked="1" hidden="0"/>
    </xf>
    <xf numFmtId="171" fontId="10" fillId="0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 indent="1"/>
      <protection locked="1" hidden="0"/>
    </xf>
    <xf numFmtId="166" fontId="4" fillId="3" borderId="2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68" fontId="6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1" xfId="0" applyFont="1" applyFill="1" applyBorder="1" applyAlignment="1" applyProtection="1">
      <alignment horizontal="general" vertical="bottom" wrapText="1"/>
      <protection locked="1" hidden="0"/>
    </xf>
    <xf numFmtId="166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71" fontId="8" fillId="0" borderId="0" xfId="0" applyNumberFormat="1" applyFont="1" applyFill="1" applyAlignment="1" applyProtection="1">
      <alignment horizontal="right" vertical="bottom"/>
      <protection locked="1" hidden="0"/>
    </xf>
    <xf numFmtId="164" fontId="2" fillId="3" borderId="1" xfId="0" applyNumberFormat="1" applyFont="1" applyFill="1" applyBorder="1" applyAlignment="1" applyProtection="1">
      <alignment horizontal="right" vertical="bottom"/>
      <protection locked="1" hidden="0"/>
    </xf>
    <xf numFmtId="171" fontId="8" fillId="3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 indent="2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0" fontId="4" fillId="3" borderId="2" xfId="0" applyFont="1" applyFill="1" applyBorder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8" fontId="10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 indent="3"/>
      <protection locked="1" hidden="0"/>
    </xf>
    <xf numFmtId="166" fontId="12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12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65" fontId="4" fillId="3" borderId="2" xfId="0" applyNumberFormat="1" applyFont="1" applyFill="1" applyBorder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0" fontId="9" fillId="0" borderId="1" xfId="0" applyFont="1" applyFill="1" applyBorder="1" applyAlignment="1" applyProtection="1">
      <alignment horizontal="left" vertical="bottom" wrapText="1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9" fontId="8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9" fontId="8" fillId="3" borderId="0" xfId="0" applyNumberFormat="1" applyFont="1" applyFill="1" applyAlignment="1" applyProtection="1">
      <alignment horizontal="right" vertical="bottom"/>
      <protection locked="1" hidden="0"/>
    </xf>
    <xf numFmtId="169" fontId="10" fillId="0" borderId="0" xfId="0" applyNumberFormat="1" applyFont="1" applyFill="1" applyAlignment="1" applyProtection="1">
      <alignment horizontal="right" vertical="bottom"/>
      <protection locked="1" hidden="0"/>
    </xf>
    <xf numFmtId="170" fontId="9" fillId="0" borderId="0" xfId="0" applyNumberFormat="1" applyFont="1" applyFill="1" applyAlignment="1" applyProtection="1">
      <alignment horizontal="right" vertical="bottom"/>
      <protection locked="1" hidden="0"/>
    </xf>
    <xf numFmtId="169" fontId="2" fillId="3" borderId="0" xfId="0" applyNumberFormat="1" applyFont="1" applyFill="1" applyAlignment="1" applyProtection="1">
      <alignment horizontal="right" vertical="bottom"/>
      <protection locked="1" hidden="0"/>
    </xf>
    <xf numFmtId="166" fontId="9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72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173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4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5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1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14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8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5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18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3" fontId="1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5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Custom">
  <a:themeElements>
    <a:clrScheme name="Office">
      <a:dk1>
        <a:srgbClr val=""/>
      </a:dk1>
      <a:lt1>
        <a:srgbClr val=""/>
      </a:lt1>
      <a:dk2>
        <a:srgbClr val=""/>
      </a:dk2>
      <a:lt2>
        <a:srgbClr val=""/>
      </a:lt2>
      <a:accent1>
        <a:srgbClr val=""/>
      </a:accent1>
      <a:accent2>
        <a:srgbClr val=""/>
      </a:accent2>
      <a:accent3>
        <a:srgbClr val=""/>
      </a:accent3>
      <a:accent4>
        <a:srgbClr val=""/>
      </a:accent4>
      <a:accent5>
        <a:srgbClr val=""/>
      </a:accent5>
      <a:accent6>
        <a:srgbClr val=""/>
      </a:accent6>
      <a:hlink>
        <a:srgbClr val=""/>
      </a:hlink>
      <a:folHlink>
        <a:srgbClr val=""/>
      </a:folHlink>
    </a:clrScheme>
    <a:fontScheme name="Office">
      <a:majorFont>
        <a:latin typeface="Arial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Arial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69"/>
  <sheetViews>
    <sheetView showGridLines="0" tabSelected="1" workbookViewId="0"/>
  </sheetViews>
  <sheetFormatPr defaultRowHeight="15"/>
  <cols>
    <col min="1" max="1" width="10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1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22"/>
    </row>
    <row r="6">
      <c r="B6" s="25" t="s">
        <v>5</v>
      </c>
      <c r="C6" s="28">
        <v>46295</v>
      </c>
      <c r="D6" s="17"/>
      <c r="E6" s="17"/>
      <c r="F6" s="17"/>
      <c r="G6" s="17"/>
      <c r="H6" s="17"/>
      <c r="I6" s="17"/>
      <c r="J6" s="17"/>
      <c r="K6" s="25"/>
    </row>
    <row r="7">
      <c r="B7" s="18" t="s">
        <v>6</v>
      </c>
      <c r="C7" s="40">
        <v>92</v>
      </c>
      <c r="D7" s="1"/>
      <c r="E7" s="1"/>
      <c r="F7" s="1"/>
      <c r="G7" s="1"/>
      <c r="H7" s="1"/>
      <c r="I7" s="1"/>
      <c r="J7" s="1"/>
      <c r="K7" s="18"/>
    </row>
    <row r="8">
      <c r="B8" s="2"/>
      <c r="C8" s="2"/>
      <c r="D8" s="2"/>
      <c r="E8" s="2"/>
      <c r="F8" s="2"/>
      <c r="G8" s="2"/>
      <c r="H8" s="2"/>
      <c r="I8" s="2"/>
      <c r="J8" s="2"/>
      <c r="K8" s="2"/>
    </row>
    <row r="9">
      <c r="B9" s="2" t="s">
        <v>7</v>
      </c>
      <c r="C9" s="5" t="s">
        <v>8</v>
      </c>
      <c r="D9" s="2"/>
      <c r="E9" s="2"/>
      <c r="F9" s="2"/>
      <c r="G9" s="2"/>
      <c r="H9" s="2"/>
      <c r="I9" s="2"/>
      <c r="J9" s="2"/>
      <c r="K9" s="2"/>
    </row>
    <row r="10">
      <c r="B10" s="2" t="s">
        <v>9</v>
      </c>
      <c r="C10" s="5" t="s">
        <v>10</v>
      </c>
      <c r="D10" s="2"/>
      <c r="E10" s="2"/>
      <c r="F10" s="2"/>
      <c r="G10" s="2"/>
      <c r="H10" s="2"/>
      <c r="I10" s="2"/>
      <c r="J10" s="2"/>
      <c r="K10" s="2"/>
    </row>
    <row r="11">
      <c r="B11" s="2" t="s">
        <v>11</v>
      </c>
      <c r="C11" s="5" t="s">
        <v>12</v>
      </c>
      <c r="D11" s="2"/>
      <c r="E11" s="2"/>
      <c r="F11" s="2"/>
      <c r="G11" s="2"/>
      <c r="H11" s="2"/>
      <c r="I11" s="2"/>
      <c r="J11" s="2"/>
      <c r="K11" s="2"/>
    </row>
    <row r="12">
      <c r="B12" s="2" t="s">
        <v>13</v>
      </c>
      <c r="C12" s="5" t="s">
        <v>14</v>
      </c>
      <c r="D12" s="2"/>
      <c r="E12" s="2"/>
      <c r="F12" s="2"/>
      <c r="G12" s="2"/>
      <c r="H12" s="2"/>
      <c r="I12" s="2"/>
      <c r="J12" s="2"/>
      <c r="K12" s="2"/>
    </row>
    <row r="13">
      <c r="B13" s="2" t="s">
        <v>3</v>
      </c>
      <c r="C13" s="5" t="s">
        <v>15</v>
      </c>
      <c r="D13" s="2"/>
      <c r="E13" s="2"/>
      <c r="F13" s="2"/>
      <c r="G13" s="2"/>
      <c r="H13" s="2"/>
      <c r="I13" s="2"/>
      <c r="J13" s="2"/>
      <c r="K13" s="2"/>
    </row>
    <row r="14">
      <c r="B14" s="2" t="s">
        <v>16</v>
      </c>
      <c r="C14" s="5" t="s">
        <v>17</v>
      </c>
      <c r="D14" s="2"/>
      <c r="E14" s="2"/>
      <c r="F14" s="2"/>
      <c r="G14" s="2"/>
      <c r="H14" s="2"/>
      <c r="I14" s="2"/>
      <c r="J14" s="2"/>
      <c r="K14" s="2"/>
    </row>
    <row r="15">
      <c r="B15" s="2" t="s">
        <v>18</v>
      </c>
      <c r="C15" s="5" t="s">
        <v>19</v>
      </c>
      <c r="D15" s="2"/>
      <c r="E15" s="2"/>
      <c r="F15" s="2"/>
      <c r="G15" s="2"/>
      <c r="H15" s="2"/>
      <c r="I15" s="2"/>
      <c r="J15" s="2"/>
      <c r="K15" s="2"/>
    </row>
    <row r="16">
      <c r="B16" s="2" t="s">
        <v>20</v>
      </c>
      <c r="C16" s="5" t="s">
        <v>21</v>
      </c>
      <c r="D16" s="2"/>
      <c r="E16" s="2"/>
      <c r="F16" s="2"/>
      <c r="G16" s="2"/>
      <c r="H16" s="2"/>
      <c r="I16" s="2"/>
      <c r="J16" s="2"/>
      <c r="K16" s="2"/>
    </row>
    <row r="17">
      <c r="B17" s="2" t="s">
        <v>22</v>
      </c>
      <c r="C17" s="5" t="s">
        <v>23</v>
      </c>
      <c r="D17" s="2"/>
      <c r="E17" s="2"/>
      <c r="F17" s="2"/>
      <c r="G17" s="2"/>
      <c r="H17" s="2"/>
      <c r="I17" s="2"/>
      <c r="J17" s="2"/>
      <c r="K17" s="2"/>
    </row>
    <row r="18">
      <c r="B18" s="2" t="s">
        <v>24</v>
      </c>
      <c r="C18" s="5" t="s">
        <v>25</v>
      </c>
      <c r="D18" s="2"/>
      <c r="E18" s="2"/>
      <c r="F18" s="2"/>
      <c r="G18" s="2"/>
      <c r="H18" s="2"/>
      <c r="I18" s="2"/>
      <c r="J18" s="2"/>
      <c r="K18" s="2"/>
    </row>
    <row r="19">
      <c r="B19" s="2"/>
      <c r="C19" s="2"/>
      <c r="D19" s="2"/>
      <c r="E19" s="2"/>
      <c r="F19" s="2"/>
      <c r="G19" s="2"/>
      <c r="H19" s="2"/>
      <c r="I19" s="2"/>
      <c r="J19" s="2"/>
      <c r="K19" s="2"/>
    </row>
    <row r="20">
      <c r="B20" s="23" t="s">
        <v>26</v>
      </c>
      <c r="C20" s="94" t="s">
        <v>27</v>
      </c>
      <c r="D20" s="94" t="s">
        <v>28</v>
      </c>
      <c r="E20" s="94" t="s">
        <v>29</v>
      </c>
      <c r="F20" s="94" t="s">
        <v>30</v>
      </c>
      <c r="G20" s="94" t="s">
        <v>31</v>
      </c>
      <c r="H20" s="7" t="s">
        <v>32</v>
      </c>
      <c r="I20" s="2"/>
      <c r="J20" s="2"/>
      <c r="K20" s="2"/>
    </row>
    <row r="21">
      <c r="B21" s="2" t="s">
        <v>33</v>
      </c>
      <c r="C21" s="4">
        <f>'Income Statement'!J10</f>
        <v>887.3758440650157</v>
      </c>
      <c r="D21" s="4">
        <f>Inputs!C61</f>
        <v>888.24</v>
      </c>
      <c r="E21" s="20">
        <f>C21-D21</f>
        <v>-0.8641559349842964</v>
      </c>
      <c r="F21" s="19">
        <f>C21/D21-1</f>
        <v>-0.0009728856333697244</v>
      </c>
      <c r="G21" s="10" t="s">
        <v>34</v>
      </c>
      <c r="H21" s="5" t="s">
        <v>35</v>
      </c>
      <c r="I21" s="2"/>
      <c r="J21" s="2"/>
      <c r="K21" s="2"/>
    </row>
    <row r="22">
      <c r="B22" s="2" t="s">
        <v>36</v>
      </c>
      <c r="C22" s="4">
        <f>'Income Statement'!J105</f>
        <v>366.7248646011178</v>
      </c>
      <c r="D22" s="4">
        <f>Inputs!C74</f>
        <v>365.18</v>
      </c>
      <c r="E22" s="20">
        <f>C22-D22</f>
        <v>1.5448646011178084</v>
      </c>
      <c r="F22" s="19">
        <f>C22/D22-1</f>
        <v>0.004230419522202267</v>
      </c>
      <c r="G22" s="10" t="s">
        <v>34</v>
      </c>
      <c r="H22" s="5" t="s">
        <v>37</v>
      </c>
      <c r="I22" s="2"/>
      <c r="J22" s="2"/>
      <c r="K22" s="2"/>
    </row>
    <row r="23">
      <c r="B23" s="2" t="s">
        <v>38</v>
      </c>
      <c r="C23" s="90">
        <f>'Income Statement'!J108</f>
        <v>5.049653987051253</v>
      </c>
      <c r="D23" s="90">
        <f>Inputs!C43</f>
        <v>5.02</v>
      </c>
      <c r="E23" s="97">
        <f>C23-D23</f>
        <v>0.029653987051253772</v>
      </c>
      <c r="F23" s="19">
        <f>C23/D23-1</f>
        <v>0.005907168735309609</v>
      </c>
      <c r="G23" s="10" t="s">
        <v>34</v>
      </c>
      <c r="H23" s="5" t="s">
        <v>35</v>
      </c>
      <c r="I23" s="2"/>
      <c r="J23" s="2"/>
      <c r="K23" s="2"/>
    </row>
    <row r="24">
      <c r="B24" s="2" t="s">
        <v>39</v>
      </c>
      <c r="C24" s="4">
        <f>'Income Statement'!J80</f>
        <v>346.2248646011178</v>
      </c>
      <c r="D24" s="4">
        <f>Inputs!C75</f>
        <v>347.55</v>
      </c>
      <c r="E24" s="20">
        <f>C24-D24</f>
        <v>-1.3251353988821961</v>
      </c>
      <c r="F24" s="19">
        <f>C24/D24-1</f>
        <v>-0.0038127906743841145</v>
      </c>
      <c r="G24" s="10" t="s">
        <v>34</v>
      </c>
      <c r="H24" s="5" t="s">
        <v>35</v>
      </c>
      <c r="I24" s="2"/>
      <c r="J24" s="2"/>
      <c r="K24" s="2"/>
    </row>
    <row r="25">
      <c r="B25" s="2" t="s">
        <v>40</v>
      </c>
      <c r="C25" s="90">
        <f>'Income Statement'!J92</f>
        <v>4.767377226659929</v>
      </c>
      <c r="D25" s="90">
        <f>Inputs!C52</f>
        <v>4.8</v>
      </c>
      <c r="E25" s="97">
        <f>C25-D25</f>
        <v>-0.03262277334007102</v>
      </c>
      <c r="F25" s="19">
        <f>C25/D25-1</f>
        <v>-0.006796411112514833</v>
      </c>
      <c r="G25" s="10" t="s">
        <v>34</v>
      </c>
      <c r="H25" s="5" t="s">
        <v>35</v>
      </c>
      <c r="I25" s="2"/>
      <c r="J25" s="2"/>
      <c r="K25" s="2"/>
    </row>
    <row r="26">
      <c r="B26" s="2" t="s">
        <v>41</v>
      </c>
      <c r="C26" s="4">
        <f>'Income Statement'!J130</f>
        <v>549.3758440650157</v>
      </c>
      <c r="D26" s="4">
        <f>Inputs!C70</f>
        <v>550</v>
      </c>
      <c r="E26" s="20">
        <f>C26-D26</f>
        <v>-0.6241559349842873</v>
      </c>
      <c r="F26" s="19">
        <f>C26/D26-1</f>
        <v>-0.001134828972698676</v>
      </c>
      <c r="G26" s="10" t="s">
        <v>34</v>
      </c>
      <c r="H26" s="5" t="s">
        <v>42</v>
      </c>
      <c r="I26" s="2"/>
      <c r="J26" s="2"/>
      <c r="K26" s="2"/>
    </row>
    <row r="27">
      <c r="B27" s="15" t="s">
        <v>43</v>
      </c>
      <c r="C27" s="39" t="str">
        <f>IF(AND('Revenue summary'!C93:J93,'Income Statement'!C143:J143,'Balance Sheet'!C68:J68,'Cash Flow Statement'!C101:J101,Geo!C104:J104,AND(C21='Income Statement'!J10,C22='Income Statement'!J105,C23='Income Statement'!J108,C24='Income Statement'!J80,C25='Income Statement'!J92,C26='Income Statement'!J130)),"PASS","FAIL")</f>
        <v>PASS</v>
      </c>
      <c r="D27" s="15"/>
      <c r="E27" s="15"/>
      <c r="F27" s="15"/>
      <c r="G27" s="15"/>
      <c r="H27" s="32" t="s">
        <v>44</v>
      </c>
      <c r="I27" s="2"/>
      <c r="J27" s="2"/>
      <c r="K27" s="2"/>
    </row>
    <row r="28">
      <c r="B28" s="24" t="s">
        <v>45</v>
      </c>
      <c r="C28" s="8">
        <f>C53</f>
        <v>0.7334693589549296</v>
      </c>
      <c r="D28" s="2"/>
      <c r="E28" s="2"/>
      <c r="F28" s="2"/>
      <c r="G28" s="2"/>
      <c r="H28" s="5" t="s">
        <v>46</v>
      </c>
      <c r="I28" s="2"/>
      <c r="J28" s="2"/>
      <c r="K28" s="2"/>
    </row>
    <row r="29">
      <c r="B29" s="24" t="s">
        <v>47</v>
      </c>
      <c r="C29" s="95" t="s">
        <v>48</v>
      </c>
      <c r="D29" s="2"/>
      <c r="E29" s="2"/>
      <c r="F29" s="2"/>
      <c r="G29" s="2"/>
      <c r="H29" s="2"/>
      <c r="I29" s="2"/>
      <c r="J29" s="2"/>
      <c r="K29" s="2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</row>
    <row r="31">
      <c r="B31" s="24" t="s">
        <v>49</v>
      </c>
      <c r="C31" s="2"/>
      <c r="D31" s="2"/>
      <c r="E31" s="2"/>
      <c r="F31" s="2"/>
      <c r="G31" s="2"/>
      <c r="H31" s="2"/>
      <c r="I31" s="2"/>
      <c r="J31" s="2"/>
      <c r="K31" s="2"/>
    </row>
    <row r="32">
      <c r="B32" s="2" t="s">
        <v>50</v>
      </c>
      <c r="C32" s="12">
        <v>41.37</v>
      </c>
      <c r="D32" s="2"/>
      <c r="E32" s="2"/>
      <c r="F32" s="2"/>
      <c r="G32" s="2"/>
      <c r="H32" s="5" t="s">
        <v>51</v>
      </c>
      <c r="I32" s="2"/>
      <c r="J32" s="2"/>
      <c r="K32" s="2"/>
    </row>
    <row r="33">
      <c r="B33" s="2" t="s">
        <v>52</v>
      </c>
      <c r="C33" s="34">
        <v>46311</v>
      </c>
      <c r="D33" s="2"/>
      <c r="E33" s="2"/>
      <c r="F33" s="2"/>
      <c r="G33" s="2"/>
      <c r="H33" s="2"/>
      <c r="I33" s="2"/>
      <c r="J33" s="2"/>
      <c r="K33" s="2"/>
    </row>
    <row r="34">
      <c r="B34" s="2" t="s">
        <v>53</v>
      </c>
      <c r="C34" s="12">
        <v>10</v>
      </c>
      <c r="D34" s="2"/>
      <c r="E34" s="2"/>
      <c r="F34" s="2"/>
      <c r="G34" s="2"/>
      <c r="H34" s="5" t="s">
        <v>54</v>
      </c>
      <c r="I34" s="2"/>
      <c r="J34" s="2"/>
      <c r="K34" s="2"/>
    </row>
    <row r="35">
      <c r="B35" s="2" t="s">
        <v>55</v>
      </c>
      <c r="C35" s="12">
        <v>2</v>
      </c>
      <c r="D35" s="2"/>
      <c r="E35" s="2"/>
      <c r="F35" s="2"/>
      <c r="G35" s="2"/>
      <c r="H35" s="5" t="s">
        <v>56</v>
      </c>
      <c r="I35" s="2"/>
      <c r="J35" s="2"/>
      <c r="K35" s="2"/>
    </row>
    <row r="36">
      <c r="B36" s="2" t="s">
        <v>57</v>
      </c>
      <c r="C36" s="10" t="str">
        <f>IF(C32&gt;C34,"Large",IF(C32&gt;=C35,"Mid","Small"))</f>
        <v>Large</v>
      </c>
      <c r="D36" s="2"/>
      <c r="E36" s="2"/>
      <c r="F36" s="2"/>
      <c r="G36" s="2"/>
      <c r="H36" s="2"/>
      <c r="I36" s="2"/>
      <c r="J36" s="2"/>
      <c r="K36" s="2"/>
    </row>
    <row r="37">
      <c r="B37" s="2" t="s">
        <v>58</v>
      </c>
      <c r="C37" s="93" t="s">
        <v>59</v>
      </c>
      <c r="D37" s="2"/>
      <c r="E37" s="2"/>
      <c r="F37" s="2"/>
      <c r="G37" s="2"/>
      <c r="H37" s="5" t="s">
        <v>60</v>
      </c>
      <c r="I37" s="2"/>
      <c r="J37" s="2"/>
      <c r="K37" s="2"/>
    </row>
    <row r="38">
      <c r="B38" s="2" t="s">
        <v>61</v>
      </c>
      <c r="C38" s="9">
        <v>0.6</v>
      </c>
      <c r="D38" s="2"/>
      <c r="E38" s="2"/>
      <c r="F38" s="2"/>
      <c r="G38" s="2"/>
      <c r="H38" s="5" t="s">
        <v>62</v>
      </c>
      <c r="I38" s="2"/>
      <c r="J38" s="2"/>
      <c r="K38" s="2"/>
    </row>
    <row r="39">
      <c r="B39" s="2" t="s">
        <v>63</v>
      </c>
      <c r="C39" s="9">
        <v>0.7</v>
      </c>
      <c r="D39" s="2"/>
      <c r="E39" s="2"/>
      <c r="F39" s="2"/>
      <c r="G39" s="2"/>
      <c r="H39" s="5" t="s">
        <v>62</v>
      </c>
      <c r="I39" s="2"/>
      <c r="J39" s="2"/>
      <c r="K39" s="2"/>
    </row>
    <row r="40">
      <c r="B40" s="2" t="s">
        <v>64</v>
      </c>
      <c r="C40" s="9">
        <v>0.78</v>
      </c>
      <c r="D40" s="2"/>
      <c r="E40" s="2"/>
      <c r="F40" s="2"/>
      <c r="G40" s="2"/>
      <c r="H40" s="5" t="s">
        <v>65</v>
      </c>
      <c r="I40" s="2"/>
      <c r="J40" s="2"/>
      <c r="K40" s="2"/>
    </row>
    <row r="41">
      <c r="B41" s="2" t="s">
        <v>66</v>
      </c>
      <c r="C41" s="19">
        <f>IF(OR(C36="Large",C37="Yes"),C40,IF(C36="Mid",C39,C38))</f>
        <v>0.78</v>
      </c>
      <c r="D41" s="2"/>
      <c r="E41" s="2"/>
      <c r="F41" s="2"/>
      <c r="G41" s="2"/>
      <c r="H41" s="2"/>
      <c r="I41" s="2"/>
      <c r="J41" s="2"/>
      <c r="K41" s="2"/>
    </row>
    <row r="42">
      <c r="B42" s="2" t="s">
        <v>67</v>
      </c>
      <c r="C42" s="14">
        <f>COUNTIF(Inputs!J22:J27,"&gt;0")</f>
        <v>5</v>
      </c>
      <c r="D42" s="2"/>
      <c r="E42" s="2"/>
      <c r="F42" s="2"/>
      <c r="G42" s="2"/>
      <c r="H42" s="5" t="s">
        <v>68</v>
      </c>
      <c r="I42" s="2"/>
      <c r="J42" s="2"/>
      <c r="K42" s="2"/>
    </row>
    <row r="43">
      <c r="B43" s="2" t="s">
        <v>69</v>
      </c>
      <c r="C43" s="14">
        <f>COUNT(Inputs!J22:J27)</f>
        <v>6</v>
      </c>
      <c r="D43" s="2"/>
      <c r="E43" s="2"/>
      <c r="F43" s="2"/>
      <c r="G43" s="2"/>
      <c r="H43" s="5" t="s">
        <v>70</v>
      </c>
      <c r="I43" s="2"/>
      <c r="J43" s="2"/>
      <c r="K43" s="2"/>
    </row>
    <row r="44">
      <c r="B44" s="2" t="s">
        <v>71</v>
      </c>
      <c r="C44" s="31">
        <v>8</v>
      </c>
      <c r="D44" s="2"/>
      <c r="E44" s="2"/>
      <c r="F44" s="2"/>
      <c r="G44" s="2"/>
      <c r="H44" s="5" t="s">
        <v>72</v>
      </c>
      <c r="I44" s="2"/>
      <c r="J44" s="2"/>
      <c r="K44" s="2"/>
    </row>
    <row r="45">
      <c r="B45" s="2" t="s">
        <v>73</v>
      </c>
      <c r="C45" s="19">
        <f>(C44*C41+C42)/(C44+C43)</f>
        <v>0.8028571428571428</v>
      </c>
      <c r="D45" s="2"/>
      <c r="E45" s="2"/>
      <c r="F45" s="2"/>
      <c r="G45" s="2"/>
      <c r="H45" s="2"/>
      <c r="I45" s="2"/>
      <c r="J45" s="2"/>
      <c r="K45" s="2"/>
    </row>
    <row r="46">
      <c r="B46" s="2" t="s">
        <v>74</v>
      </c>
      <c r="C46" s="90">
        <f>AVERAGE(Inputs!J22:J27)</f>
        <v>0.05666666666666657</v>
      </c>
      <c r="D46" s="2"/>
      <c r="E46" s="2"/>
      <c r="F46" s="2"/>
      <c r="G46" s="2"/>
      <c r="H46" s="5" t="s">
        <v>75</v>
      </c>
      <c r="I46" s="2"/>
      <c r="J46" s="2"/>
      <c r="K46" s="2"/>
    </row>
    <row r="47">
      <c r="B47" s="2" t="s">
        <v>76</v>
      </c>
      <c r="C47" s="90">
        <f>STDEV(Inputs!J22:J27)</f>
        <v>0.05609515724790037</v>
      </c>
      <c r="D47" s="2"/>
      <c r="E47" s="2"/>
      <c r="F47" s="2"/>
      <c r="G47" s="2"/>
      <c r="H47" s="2"/>
      <c r="I47" s="2"/>
      <c r="J47" s="2"/>
      <c r="K47" s="2"/>
    </row>
    <row r="48">
      <c r="B48" s="2" t="s">
        <v>77</v>
      </c>
      <c r="C48" s="97">
        <f>C23</f>
        <v>5.049653987051253</v>
      </c>
      <c r="D48" s="2"/>
      <c r="E48" s="2"/>
      <c r="F48" s="2"/>
      <c r="G48" s="2"/>
      <c r="H48" s="5" t="s">
        <v>78</v>
      </c>
      <c r="I48" s="2"/>
      <c r="J48" s="2"/>
      <c r="K48" s="2"/>
    </row>
    <row r="49">
      <c r="B49" s="2" t="s">
        <v>79</v>
      </c>
      <c r="C49" s="97">
        <f>D23</f>
        <v>5.02</v>
      </c>
      <c r="D49" s="2"/>
      <c r="E49" s="2"/>
      <c r="F49" s="2"/>
      <c r="G49" s="2"/>
      <c r="H49" s="5" t="s">
        <v>80</v>
      </c>
      <c r="I49" s="2"/>
      <c r="J49" s="2"/>
      <c r="K49" s="2"/>
    </row>
    <row r="50">
      <c r="B50" s="2" t="s">
        <v>81</v>
      </c>
      <c r="C50" s="92">
        <v>0.07</v>
      </c>
      <c r="D50" s="2"/>
      <c r="E50" s="2"/>
      <c r="F50" s="2"/>
      <c r="G50" s="2"/>
      <c r="H50" s="5" t="s">
        <v>82</v>
      </c>
      <c r="I50" s="2"/>
      <c r="J50" s="2"/>
      <c r="K50" s="2"/>
    </row>
    <row r="51">
      <c r="B51" s="2" t="s">
        <v>83</v>
      </c>
      <c r="C51" s="19">
        <f>1-NORMDIST(C49,C48,C50,TRUE)</f>
        <v>0.6640815750527164</v>
      </c>
      <c r="D51" s="2"/>
      <c r="E51" s="2"/>
      <c r="F51" s="2"/>
      <c r="G51" s="2"/>
      <c r="H51" s="5" t="s">
        <v>84</v>
      </c>
      <c r="I51" s="2"/>
      <c r="J51" s="2"/>
      <c r="K51" s="2"/>
    </row>
    <row r="52">
      <c r="B52" s="2" t="s">
        <v>85</v>
      </c>
      <c r="C52" s="9">
        <v>0.5</v>
      </c>
      <c r="D52" s="2"/>
      <c r="E52" s="2"/>
      <c r="F52" s="2"/>
      <c r="G52" s="2"/>
      <c r="H52" s="5" t="s">
        <v>86</v>
      </c>
      <c r="I52" s="2"/>
      <c r="J52" s="2"/>
      <c r="K52" s="2"/>
    </row>
    <row r="53">
      <c r="B53" s="24" t="s">
        <v>87</v>
      </c>
      <c r="C53" s="26">
        <f>C52*C45+(1-C52)*C51</f>
        <v>0.7334693589549296</v>
      </c>
      <c r="D53" s="2"/>
      <c r="E53" s="2"/>
      <c r="F53" s="2"/>
      <c r="G53" s="2"/>
      <c r="H53" s="5" t="s">
        <v>88</v>
      </c>
      <c r="I53" s="2"/>
      <c r="J53" s="2"/>
      <c r="K53" s="2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</row>
    <row r="55">
      <c r="B55" s="24" t="s">
        <v>89</v>
      </c>
      <c r="C55" s="2"/>
      <c r="D55" s="2"/>
      <c r="E55" s="2"/>
      <c r="F55" s="2"/>
      <c r="G55" s="2"/>
      <c r="H55" s="2"/>
      <c r="I55" s="2"/>
      <c r="J55" s="2"/>
      <c r="K55" s="2"/>
    </row>
    <row r="56">
      <c r="B56" s="2"/>
      <c r="C56" s="96" t="s">
        <v>90</v>
      </c>
      <c r="D56" s="96" t="s">
        <v>91</v>
      </c>
      <c r="E56" s="2"/>
      <c r="F56" s="2"/>
      <c r="G56" s="2"/>
      <c r="H56" s="2"/>
      <c r="I56" s="2"/>
      <c r="J56" s="2"/>
      <c r="K56" s="2"/>
    </row>
    <row r="57">
      <c r="B57" s="2" t="s">
        <v>92</v>
      </c>
      <c r="C57" s="92">
        <v>5.02</v>
      </c>
      <c r="D57" s="12">
        <v>888.7</v>
      </c>
      <c r="E57" s="2"/>
      <c r="F57" s="2"/>
      <c r="G57" s="2"/>
      <c r="H57" s="2"/>
      <c r="I57" s="2"/>
      <c r="J57" s="2"/>
      <c r="K57" s="2"/>
    </row>
    <row r="58">
      <c r="B58" s="2" t="s">
        <v>93</v>
      </c>
      <c r="C58" s="92">
        <v>5.03</v>
      </c>
      <c r="D58" s="12">
        <v>886</v>
      </c>
      <c r="E58" s="2"/>
      <c r="F58" s="2"/>
      <c r="G58" s="2"/>
      <c r="H58" s="2"/>
      <c r="I58" s="2"/>
      <c r="J58" s="2"/>
      <c r="K58" s="2"/>
    </row>
    <row r="59">
      <c r="B59" s="2" t="s">
        <v>94</v>
      </c>
      <c r="C59" s="92">
        <v>4.99</v>
      </c>
      <c r="D59" s="12">
        <v>880.29</v>
      </c>
      <c r="E59" s="2"/>
      <c r="F59" s="2"/>
      <c r="G59" s="2"/>
      <c r="H59" s="2"/>
      <c r="I59" s="2"/>
      <c r="J59" s="2"/>
      <c r="K59" s="2"/>
    </row>
    <row r="60">
      <c r="B60" s="2" t="s">
        <v>95</v>
      </c>
      <c r="C60" s="92">
        <v>5.02</v>
      </c>
      <c r="D60" s="12">
        <v>887.44</v>
      </c>
      <c r="E60" s="2"/>
      <c r="F60" s="2"/>
      <c r="G60" s="2"/>
      <c r="H60" s="2"/>
      <c r="I60" s="2"/>
      <c r="J60" s="2"/>
      <c r="K60" s="2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</row>
    <row r="62">
      <c r="B62" s="24" t="s">
        <v>96</v>
      </c>
      <c r="C62" s="2"/>
      <c r="D62" s="2"/>
      <c r="E62" s="2"/>
      <c r="F62" s="2"/>
      <c r="G62" s="2"/>
      <c r="H62" s="2"/>
      <c r="I62" s="2"/>
      <c r="J62" s="2"/>
      <c r="K62" s="2"/>
    </row>
    <row r="63">
      <c r="B63" s="2" t="s">
        <v>97</v>
      </c>
      <c r="C63" s="4">
        <f>'Segment - Index'!J103</f>
        <v>2877.933333333333</v>
      </c>
      <c r="D63" s="2"/>
      <c r="E63" s="2"/>
      <c r="F63" s="2"/>
      <c r="G63" s="2"/>
      <c r="H63" s="2"/>
      <c r="I63" s="2"/>
      <c r="J63" s="2"/>
      <c r="K63" s="2"/>
    </row>
    <row r="64">
      <c r="B64" s="2" t="s">
        <v>98</v>
      </c>
      <c r="C64" s="27">
        <f>'Segment - Index'!J111</f>
        <v>2.358851296502469</v>
      </c>
      <c r="D64" s="2"/>
      <c r="E64" s="2"/>
      <c r="F64" s="2"/>
      <c r="G64" s="2"/>
      <c r="H64" s="2"/>
      <c r="I64" s="2"/>
      <c r="J64" s="2"/>
      <c r="K64" s="2"/>
    </row>
    <row r="65">
      <c r="B65" s="2" t="s">
        <v>99</v>
      </c>
      <c r="C65" s="4">
        <f>'Segment - Index'!J171</f>
        <v>246.21038845922075</v>
      </c>
      <c r="D65" s="2"/>
      <c r="E65" s="2"/>
      <c r="F65" s="2"/>
      <c r="G65" s="2"/>
      <c r="H65" s="2"/>
      <c r="I65" s="2"/>
      <c r="J65" s="2"/>
      <c r="K65" s="2"/>
    </row>
    <row r="66">
      <c r="B66" s="2" t="s">
        <v>100</v>
      </c>
      <c r="C66" s="4">
        <f>'Revenue summary'!J10</f>
        <v>622.5654556057949</v>
      </c>
      <c r="D66" s="2"/>
      <c r="E66" s="2"/>
      <c r="F66" s="2"/>
      <c r="G66" s="2"/>
      <c r="H66" s="2"/>
      <c r="I66" s="2"/>
      <c r="J66" s="2"/>
      <c r="K66" s="2"/>
    </row>
    <row r="67">
      <c r="B67" s="2" t="s">
        <v>101</v>
      </c>
      <c r="C67" s="4">
        <f>'Income Statement'!J136</f>
        <v>338</v>
      </c>
      <c r="D67" s="2"/>
      <c r="E67" s="2"/>
      <c r="F67" s="2"/>
      <c r="G67" s="2"/>
      <c r="H67" s="2"/>
      <c r="I67" s="2"/>
      <c r="J67" s="2"/>
      <c r="K67" s="2"/>
    </row>
    <row r="68">
      <c r="B68" s="2" t="s">
        <v>102</v>
      </c>
      <c r="C68" s="33">
        <f>'Income Statement'!J77</f>
        <v>0.183</v>
      </c>
      <c r="D68" s="2"/>
      <c r="E68" s="2"/>
      <c r="F68" s="2"/>
      <c r="G68" s="2"/>
      <c r="H68" s="2"/>
      <c r="I68" s="2"/>
      <c r="J68" s="2"/>
      <c r="K68" s="2"/>
    </row>
    <row r="69">
      <c r="B69" s="2" t="s">
        <v>103</v>
      </c>
      <c r="C69" s="4">
        <f>'Share Count'!J16</f>
        <v>72.62376106194692</v>
      </c>
      <c r="D69" s="2"/>
      <c r="E69" s="2"/>
      <c r="F69" s="2"/>
      <c r="G69" s="2"/>
      <c r="H69" s="2"/>
      <c r="I69" s="2"/>
      <c r="J69" s="2"/>
      <c r="K69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10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104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113</v>
      </c>
      <c r="C9" s="10"/>
      <c r="D9" s="10"/>
      <c r="E9" s="10"/>
      <c r="F9" s="10"/>
      <c r="G9" s="10"/>
      <c r="H9" s="10"/>
      <c r="I9" s="10"/>
      <c r="J9" s="51"/>
      <c r="K9" s="45" t="s">
        <v>114</v>
      </c>
    </row>
    <row r="10">
      <c r="B10" s="2" t="s">
        <v>115</v>
      </c>
      <c r="C10" s="4">
        <f>'Segment - Index'!C70+'Segment - Analytics'!C64+'Segment - Sustain &amp; Climate'!C49+'Segment - Private Assets'!C64</f>
        <v>552.641</v>
      </c>
      <c r="D10" s="4">
        <f>'Segment - Index'!D70+'Segment - Analytics'!D64+'Segment - Sustain &amp; Climate'!D49+'Segment - Private Assets'!D64</f>
        <v>562.768</v>
      </c>
      <c r="E10" s="4">
        <f>'Segment - Index'!E70+'Segment - Analytics'!E64+'Segment - Sustain &amp; Climate'!E49+'Segment - Private Assets'!E64</f>
        <v>579.0609999999999</v>
      </c>
      <c r="F10" s="4">
        <f>'Segment - Index'!F70+'Segment - Analytics'!F64+'Segment - Sustain &amp; Climate'!F49+'Segment - Private Assets'!F64</f>
        <v>584.2339999999999</v>
      </c>
      <c r="G10" s="4">
        <f>'Segment - Index'!G70+'Segment - Analytics'!G64+'Segment - Sustain &amp; Climate'!G49+'Segment - Private Assets'!G64</f>
        <v>2278.704</v>
      </c>
      <c r="H10" s="4">
        <f>'Segment - Index'!H70+'Segment - Analytics'!H64+'Segment - Sustain &amp; Climate'!H49+'Segment - Private Assets'!H64</f>
        <v>600.1999999999999</v>
      </c>
      <c r="I10" s="4">
        <f>'Segment - Index'!I70+'Segment - Analytics'!I64+'Segment - Sustain &amp; Climate'!I49+'Segment - Private Assets'!I64</f>
        <v>613.4</v>
      </c>
      <c r="J10" s="61">
        <f>'Segment - Index'!J70+'Segment - Analytics'!J64+'Segment - Sustain &amp; Climate'!J49+'Segment - Private Assets'!J64</f>
        <v>622.5654556057949</v>
      </c>
      <c r="K10" s="45"/>
    </row>
    <row r="11">
      <c r="B11" s="49" t="s">
        <v>116</v>
      </c>
      <c r="C11" s="9">
        <v>0.077</v>
      </c>
      <c r="D11" s="9">
        <v>0.079</v>
      </c>
      <c r="E11" s="9">
        <v>0.079</v>
      </c>
      <c r="F11" s="9">
        <v>0.075</v>
      </c>
      <c r="G11" s="9">
        <v>0.078</v>
      </c>
      <c r="H11" s="19">
        <f>IFERROR(IF(OR(ABS(C10)&lt;0.5,H10*C10&lt;0),"n/m",H10/C10-1),"n/a")</f>
        <v>0.08605767577866996</v>
      </c>
      <c r="I11" s="19">
        <f>IFERROR(IF(OR(ABS(D10)&lt;0.5,I10*D10&lt;0),"n/m",I10/D10-1),"n/a")</f>
        <v>0.08996957893839008</v>
      </c>
      <c r="J11" s="46">
        <f>IFERROR(IF(OR(ABS(E10)&lt;0.5,J10*E10&lt;0),"n/m",J10/E10-1),"n/a")</f>
        <v>0.07512931384740984</v>
      </c>
      <c r="K11" s="45"/>
    </row>
    <row r="12">
      <c r="B12" s="49" t="s">
        <v>117</v>
      </c>
      <c r="C12" s="19" t="s">
        <v>34</v>
      </c>
      <c r="D12" s="19">
        <f>IFERROR(IF(OR(ABS(C10)&lt;0.5,D10*C10&lt;0),"n/m",D10/C10-1),"n/a")</f>
        <v>0.018324735225942357</v>
      </c>
      <c r="E12" s="19">
        <f>IFERROR(IF(OR(ABS(D10)&lt;0.5,E10*D10&lt;0),"n/m",E10/D10-1),"n/a")</f>
        <v>0.02895153953316454</v>
      </c>
      <c r="F12" s="19">
        <f>IFERROR(IF(OR(ABS(E10)&lt;0.5,F10*E10&lt;0),"n/m",F10/E10-1),"n/a")</f>
        <v>0.008933428429819923</v>
      </c>
      <c r="G12" s="19" t="s">
        <v>34</v>
      </c>
      <c r="H12" s="19">
        <f>IFERROR(IF(OR(ABS(F10)&lt;0.5,H10*F10&lt;0),"n/m",H10/F10-1),"n/a")</f>
        <v>0.027328091141563204</v>
      </c>
      <c r="I12" s="19">
        <f>IFERROR(IF(OR(ABS(H10)&lt;0.5,I10*H10&lt;0),"n/m",I10/H10-1),"n/a")</f>
        <v>0.021992669110296736</v>
      </c>
      <c r="J12" s="46">
        <f>IFERROR(IF(OR(ABS(I10)&lt;0.5,J10*I10&lt;0),"n/m",J10/I10-1),"n/a")</f>
        <v>0.014942053481895812</v>
      </c>
      <c r="K12" s="45"/>
    </row>
    <row r="13">
      <c r="B13" s="42" t="s">
        <v>118</v>
      </c>
      <c r="C13" s="20" t="s">
        <v>34</v>
      </c>
      <c r="D13" s="20">
        <f>IFERROR(D10-C10,"n/a")</f>
        <v>10.127000000000066</v>
      </c>
      <c r="E13" s="20">
        <f>IFERROR(E10-D10,"n/a")</f>
        <v>16.292999999999893</v>
      </c>
      <c r="F13" s="20">
        <f>IFERROR(F10-E10,"n/a")</f>
        <v>5.173000000000002</v>
      </c>
      <c r="G13" s="20" t="s">
        <v>34</v>
      </c>
      <c r="H13" s="20">
        <f>IFERROR(H10-F10,"n/a")</f>
        <v>15.966000000000008</v>
      </c>
      <c r="I13" s="20">
        <f>IFERROR(I10-H10,"n/a")</f>
        <v>13.200000000000045</v>
      </c>
      <c r="J13" s="48">
        <f>IFERROR(J10-I10,"n/a")</f>
        <v>9.165455605794932</v>
      </c>
      <c r="K13" s="45"/>
    </row>
    <row r="14">
      <c r="B14" s="49" t="s">
        <v>119</v>
      </c>
      <c r="C14" s="19">
        <f>IFERROR(C10/C40,"n/a")</f>
        <v>0.7409784587826115</v>
      </c>
      <c r="D14" s="19">
        <f>IFERROR(D10/D40,"n/a")</f>
        <v>0.7283334994221403</v>
      </c>
      <c r="E14" s="19">
        <f>IFERROR(E10/E40,"n/a")</f>
        <v>0.729823575229448</v>
      </c>
      <c r="F14" s="19">
        <f>IFERROR(F10/F40,"n/a")</f>
        <v>0.7102907135076253</v>
      </c>
      <c r="G14" s="19">
        <f>IFERROR(G10/G40,"n/a")</f>
        <v>0.7269847842961098</v>
      </c>
      <c r="H14" s="19">
        <f>IFERROR(H10/H40,"n/a")</f>
        <v>0.7054536906440996</v>
      </c>
      <c r="I14" s="19">
        <f>IFERROR(I10/I40,"n/a")</f>
        <v>0.7074971164936562</v>
      </c>
      <c r="J14" s="46">
        <f>IFERROR(J10/J40,"n/a")</f>
        <v>0.7015803503889172</v>
      </c>
      <c r="K14" s="45"/>
    </row>
    <row r="15">
      <c r="B15" s="65" t="s">
        <v>120</v>
      </c>
      <c r="C15" s="62" t="s">
        <v>34</v>
      </c>
      <c r="D15" s="62" t="s">
        <v>34</v>
      </c>
      <c r="E15" s="62" t="s">
        <v>34</v>
      </c>
      <c r="F15" s="62" t="s">
        <v>34</v>
      </c>
      <c r="G15" s="62" t="s">
        <v>34</v>
      </c>
      <c r="H15" s="62">
        <f>IFERROR((H14-C14)*10000,"n/a")</f>
        <v>-355.2476813851191</v>
      </c>
      <c r="I15" s="62">
        <f>IFERROR((I14-D14)*10000,"n/a")</f>
        <v>-208.3638292848411</v>
      </c>
      <c r="J15" s="64">
        <f>IFERROR((J14-E14)*10000,"n/a")</f>
        <v>-282.4322484053077</v>
      </c>
      <c r="K15" s="45"/>
    </row>
    <row r="16">
      <c r="B16" s="65" t="s">
        <v>121</v>
      </c>
      <c r="C16" s="62" t="s">
        <v>34</v>
      </c>
      <c r="D16" s="62">
        <f>IFERROR((D14-C14)*10000,"n/a")</f>
        <v>-126.44959360471164</v>
      </c>
      <c r="E16" s="62">
        <f>IFERROR((E14-D14)*10000,"n/a")</f>
        <v>14.900758073076448</v>
      </c>
      <c r="F16" s="62">
        <f>IFERROR((F14-E14)*10000,"n/a")</f>
        <v>-195.3286172182267</v>
      </c>
      <c r="G16" s="62" t="s">
        <v>34</v>
      </c>
      <c r="H16" s="62">
        <f>IFERROR((H14-F14)*10000,"n/a")</f>
        <v>-48.37022863525719</v>
      </c>
      <c r="I16" s="62">
        <f>IFERROR((I14-H14)*10000,"n/a")</f>
        <v>20.434258495566347</v>
      </c>
      <c r="J16" s="64">
        <f>IFERROR((J14-I14)*10000,"n/a")</f>
        <v>-59.167661047390126</v>
      </c>
      <c r="K16" s="45"/>
    </row>
    <row r="17">
      <c r="B17" s="49" t="s">
        <v>122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0.001</v>
      </c>
      <c r="J17" s="69">
        <f>('Segment - Index'!J77*'Segment - Index'!E70+'Segment - Analytics'!J71*'Segment - Analytics'!E64+'Segment - Sustain &amp; Climate'!J56*'Segment - Sustain &amp; Climate'!E49+'Segment - Private Assets'!J71*'Segment - Private Assets'!E64)/E10</f>
        <v>0.0037394906295701203</v>
      </c>
      <c r="K17" s="45" t="s">
        <v>123</v>
      </c>
    </row>
    <row r="18">
      <c r="B18" s="49" t="s">
        <v>124</v>
      </c>
      <c r="C18" s="9">
        <v>-0.002</v>
      </c>
      <c r="D18" s="9">
        <v>0.01</v>
      </c>
      <c r="E18" s="9">
        <v>0.006</v>
      </c>
      <c r="F18" s="9">
        <v>0.006</v>
      </c>
      <c r="G18" s="9">
        <v>0.006</v>
      </c>
      <c r="H18" s="9">
        <v>0.01</v>
      </c>
      <c r="I18" s="9">
        <v>-0.001</v>
      </c>
      <c r="J18" s="69">
        <f>('Segment - Index'!J78*'Segment - Index'!E70+'Segment - Analytics'!J72*'Segment - Analytics'!E64+'Segment - Sustain &amp; Climate'!J57*'Segment - Sustain &amp; Climate'!E49+'Segment - Private Assets'!J72*'Segment - Private Assets'!E64)/E10</f>
        <v>-0.0033153363807958062</v>
      </c>
      <c r="K18" s="45" t="s">
        <v>123</v>
      </c>
    </row>
    <row r="19">
      <c r="B19" s="49" t="s">
        <v>125</v>
      </c>
      <c r="C19" s="19">
        <f>IFERROR((1+C11)/((1+C17)*(1+C18))-1,"n/a")</f>
        <v>0.07915831663326656</v>
      </c>
      <c r="D19" s="19">
        <f>IFERROR((1+D11)/((1+D17)*(1+D18))-1,"n/a")</f>
        <v>0.06831683168316838</v>
      </c>
      <c r="E19" s="19">
        <f>IFERROR((1+E11)/((1+E17)*(1+E18))-1,"n/a")</f>
        <v>0.07256461232604372</v>
      </c>
      <c r="F19" s="19">
        <f>IFERROR((1+F11)/((1+F17)*(1+F18))-1,"n/a")</f>
        <v>0.06858846918489059</v>
      </c>
      <c r="G19" s="19">
        <f>IFERROR((1+G11)/((1+G17)*(1+G18))-1,"n/a")</f>
        <v>0.07157057654075549</v>
      </c>
      <c r="H19" s="19">
        <f>IFERROR((1+H11)/((1+H17)*(1+H18))-1,"n/a")</f>
        <v>0.07530462948383154</v>
      </c>
      <c r="I19" s="19">
        <f>IFERROR((1+I11)/((1+I17)*(1+I18))-1,"n/a")</f>
        <v>0.08997066890905914</v>
      </c>
      <c r="J19" s="46">
        <f>IFERROR((1+J11)/((1+J17)*(1+J18))-1,"n/a")</f>
        <v>0.07468680448482123</v>
      </c>
      <c r="K19" s="45" t="s">
        <v>126</v>
      </c>
    </row>
    <row r="20">
      <c r="B20" s="2" t="s">
        <v>127</v>
      </c>
      <c r="C20" s="4">
        <f>'Segment - Index'!C171</f>
        <v>177.415</v>
      </c>
      <c r="D20" s="4">
        <f>'Segment - Index'!D171</f>
        <v>184.072</v>
      </c>
      <c r="E20" s="4">
        <f>'Segment - Index'!E171</f>
        <v>197.515</v>
      </c>
      <c r="F20" s="4">
        <f>'Segment - Index'!F171</f>
        <v>211.668</v>
      </c>
      <c r="G20" s="4">
        <f>'Segment - Index'!G171</f>
        <v>770.67</v>
      </c>
      <c r="H20" s="4">
        <f>'Segment - Index'!H171</f>
        <v>224.5</v>
      </c>
      <c r="I20" s="4">
        <f>'Segment - Index'!I171</f>
        <v>233.1</v>
      </c>
      <c r="J20" s="61">
        <f>'Segment - Index'!J171</f>
        <v>246.21038845922075</v>
      </c>
      <c r="K20" s="45"/>
    </row>
    <row r="21">
      <c r="B21" s="49" t="s">
        <v>116</v>
      </c>
      <c r="C21" s="9">
        <v>0.181</v>
      </c>
      <c r="D21" s="9">
        <v>0.127</v>
      </c>
      <c r="E21" s="9">
        <v>0.171</v>
      </c>
      <c r="F21" s="9">
        <v>0.207</v>
      </c>
      <c r="G21" s="9">
        <v>0.172</v>
      </c>
      <c r="H21" s="19">
        <f>IFERROR(IF(OR(ABS(C20)&lt;0.5,H20*C20&lt;0),"n/m",H20/C20-1),"n/a")</f>
        <v>0.26539469605163046</v>
      </c>
      <c r="I21" s="19">
        <f>IFERROR(IF(OR(ABS(D20)&lt;0.5,I20*D20&lt;0),"n/m",I20/D20-1),"n/a")</f>
        <v>0.26635229692728934</v>
      </c>
      <c r="J21" s="46">
        <f>IFERROR(IF(OR(ABS(E20)&lt;0.5,J20*E20&lt;0),"n/m",J20/E20-1),"n/a")</f>
        <v>0.24654020433496582</v>
      </c>
      <c r="K21" s="45"/>
    </row>
    <row r="22">
      <c r="B22" s="49" t="s">
        <v>117</v>
      </c>
      <c r="C22" s="19" t="s">
        <v>34</v>
      </c>
      <c r="D22" s="19">
        <f>IFERROR(IF(OR(ABS(C20)&lt;0.5,D20*C20&lt;0),"n/m",D20/C20-1),"n/a")</f>
        <v>0.03752219372657328</v>
      </c>
      <c r="E22" s="19">
        <f>IFERROR(IF(OR(ABS(D20)&lt;0.5,E20*D20&lt;0),"n/m",E20/D20-1),"n/a")</f>
        <v>0.07303120518058148</v>
      </c>
      <c r="F22" s="19">
        <f>IFERROR(IF(OR(ABS(E20)&lt;0.5,F20*E20&lt;0),"n/m",F20/E20-1),"n/a")</f>
        <v>0.07165531731767216</v>
      </c>
      <c r="G22" s="19" t="s">
        <v>34</v>
      </c>
      <c r="H22" s="19">
        <f>IFERROR(IF(OR(ABS(F20)&lt;0.5,H20*F20&lt;0),"n/m",H20/F20-1),"n/a")</f>
        <v>0.060623240168565795</v>
      </c>
      <c r="I22" s="19">
        <f>IFERROR(IF(OR(ABS(H20)&lt;0.5,I20*H20&lt;0),"n/m",I20/H20-1),"n/a")</f>
        <v>0.038307349665924306</v>
      </c>
      <c r="J22" s="46">
        <f>IFERROR(IF(OR(ABS(I20)&lt;0.5,J20*I20&lt;0),"n/m",J20/I20-1),"n/a")</f>
        <v>0.05624362273367978</v>
      </c>
      <c r="K22" s="45"/>
    </row>
    <row r="23">
      <c r="B23" s="42" t="s">
        <v>118</v>
      </c>
      <c r="C23" s="20" t="s">
        <v>34</v>
      </c>
      <c r="D23" s="20">
        <f>IFERROR(D20-C20,"n/a")</f>
        <v>6.657000000000011</v>
      </c>
      <c r="E23" s="20">
        <f>IFERROR(E20-D20,"n/a")</f>
        <v>13.442999999999984</v>
      </c>
      <c r="F23" s="20">
        <f>IFERROR(F20-E20,"n/a")</f>
        <v>14.15300000000002</v>
      </c>
      <c r="G23" s="20" t="s">
        <v>34</v>
      </c>
      <c r="H23" s="20">
        <f>IFERROR(H20-F20,"n/a")</f>
        <v>12.831999999999994</v>
      </c>
      <c r="I23" s="20">
        <f>IFERROR(I20-H20,"n/a")</f>
        <v>8.599999999999994</v>
      </c>
      <c r="J23" s="48">
        <f>IFERROR(J20-I20,"n/a")</f>
        <v>13.110388459220758</v>
      </c>
      <c r="K23" s="45"/>
    </row>
    <row r="24">
      <c r="B24" s="49" t="s">
        <v>119</v>
      </c>
      <c r="C24" s="19">
        <f>IFERROR(C20/C40,"n/a")</f>
        <v>0.23787719923950093</v>
      </c>
      <c r="D24" s="19">
        <f>IFERROR(D20/D40,"n/a")</f>
        <v>0.23822570562937517</v>
      </c>
      <c r="E24" s="19">
        <f>IFERROR(E20/E40,"n/a")</f>
        <v>0.24893940959837466</v>
      </c>
      <c r="F24" s="19">
        <f>IFERROR(F20/F40,"n/a")</f>
        <v>0.2573383520074697</v>
      </c>
      <c r="G24" s="19">
        <f>IFERROR(G20/G40,"n/a")</f>
        <v>0.24587018046814454</v>
      </c>
      <c r="H24" s="19">
        <f>IFERROR(H20/H40,"n/a")</f>
        <v>0.2638692994828397</v>
      </c>
      <c r="I24" s="19">
        <f>IFERROR(I20/I40,"n/a")</f>
        <v>0.2688581314878893</v>
      </c>
      <c r="J24" s="46">
        <f>IFERROR(J20/J40,"n/a")</f>
        <v>0.2774589708587803</v>
      </c>
      <c r="K24" s="45"/>
    </row>
    <row r="25">
      <c r="B25" s="65" t="s">
        <v>120</v>
      </c>
      <c r="C25" s="62" t="s">
        <v>34</v>
      </c>
      <c r="D25" s="62" t="s">
        <v>34</v>
      </c>
      <c r="E25" s="62" t="s">
        <v>34</v>
      </c>
      <c r="F25" s="62" t="s">
        <v>34</v>
      </c>
      <c r="G25" s="62" t="s">
        <v>34</v>
      </c>
      <c r="H25" s="62">
        <f>IFERROR((H24-C24)*10000,"n/a")</f>
        <v>259.92100243338786</v>
      </c>
      <c r="I25" s="62">
        <f>IFERROR((I24-D24)*10000,"n/a")</f>
        <v>306.32425858514114</v>
      </c>
      <c r="J25" s="64">
        <f>IFERROR((J24-E24)*10000,"n/a")</f>
        <v>285.1956126040564</v>
      </c>
      <c r="K25" s="45"/>
    </row>
    <row r="26">
      <c r="B26" s="65" t="s">
        <v>121</v>
      </c>
      <c r="C26" s="62" t="s">
        <v>34</v>
      </c>
      <c r="D26" s="62">
        <f>IFERROR((D24-C24)*10000,"n/a")</f>
        <v>3.4850638987424243</v>
      </c>
      <c r="E26" s="62">
        <f>IFERROR((E24-D24)*10000,"n/a")</f>
        <v>107.13703968999482</v>
      </c>
      <c r="F26" s="62">
        <f>IFERROR((F24-E24)*10000,"n/a")</f>
        <v>83.98942409095028</v>
      </c>
      <c r="G26" s="62" t="s">
        <v>34</v>
      </c>
      <c r="H26" s="62">
        <f>IFERROR((H24-F24)*10000,"n/a")</f>
        <v>65.3094747537003</v>
      </c>
      <c r="I26" s="62">
        <f>IFERROR((I24-H24)*10000,"n/a")</f>
        <v>49.88832005049571</v>
      </c>
      <c r="J26" s="64">
        <f>IFERROR((J24-I24)*10000,"n/a")</f>
        <v>86.00839370891012</v>
      </c>
      <c r="K26" s="45"/>
    </row>
    <row r="27">
      <c r="B27" s="49" t="s">
        <v>122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0.001</v>
      </c>
      <c r="I27" s="9">
        <v>0.001</v>
      </c>
      <c r="J27" s="69">
        <f>'Segment - Index'!J178</f>
        <v>0</v>
      </c>
      <c r="K27" s="45" t="s">
        <v>128</v>
      </c>
    </row>
    <row r="28">
      <c r="B28" s="49" t="s">
        <v>124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0.001</v>
      </c>
      <c r="I28" s="9">
        <v>-0.001</v>
      </c>
      <c r="J28" s="69">
        <f>'Segment - Index'!J179</f>
        <v>0</v>
      </c>
      <c r="K28" s="45" t="s">
        <v>128</v>
      </c>
    </row>
    <row r="29">
      <c r="B29" s="49" t="s">
        <v>125</v>
      </c>
      <c r="C29" s="19">
        <f>IFERROR((1+C21)/((1+C27)*(1+C28))-1,"n/a")</f>
        <v>0.18100000000000005</v>
      </c>
      <c r="D29" s="19">
        <f>IFERROR((1+D21)/((1+D27)*(1+D28))-1,"n/a")</f>
        <v>0.127</v>
      </c>
      <c r="E29" s="19">
        <f>IFERROR((1+E21)/((1+E27)*(1+E28))-1,"n/a")</f>
        <v>0.17100000000000004</v>
      </c>
      <c r="F29" s="19">
        <f>IFERROR((1+F21)/((1+F27)*(1+F28))-1,"n/a")</f>
        <v>0.20700000000000007</v>
      </c>
      <c r="G29" s="19">
        <f>IFERROR((1+G21)/((1+G27)*(1+G28))-1,"n/a")</f>
        <v>0.17199999999999993</v>
      </c>
      <c r="H29" s="19">
        <f>IFERROR((1+H21)/((1+H27)*(1+H28))-1,"n/a")</f>
        <v>0.2628676977883564</v>
      </c>
      <c r="I29" s="19">
        <f>IFERROR((1+I21)/((1+I27)*(1+I28))-1,"n/a")</f>
        <v>0.2663535632808529</v>
      </c>
      <c r="J29" s="46">
        <f>IFERROR((1+J21)/((1+J27)*(1+J28))-1,"n/a")</f>
        <v>0.24654020433496582</v>
      </c>
      <c r="K29" s="45" t="s">
        <v>126</v>
      </c>
    </row>
    <row r="30">
      <c r="B30" s="2" t="s">
        <v>129</v>
      </c>
      <c r="C30" s="4">
        <f>'Segment - Index'!C185+'Segment - Analytics'!C78+'Segment - Sustain &amp; Climate'!C63+'Segment - Private Assets'!C78</f>
        <v>15.77</v>
      </c>
      <c r="D30" s="4">
        <f>'Segment - Index'!D185+'Segment - Analytics'!D78+'Segment - Sustain &amp; Climate'!D63+'Segment - Private Assets'!D78</f>
        <v>25.839000000000002</v>
      </c>
      <c r="E30" s="4">
        <f>'Segment - Index'!E185+'Segment - Analytics'!E78+'Segment - Sustain &amp; Climate'!E63+'Segment - Private Assets'!E78</f>
        <v>16.85</v>
      </c>
      <c r="F30" s="4">
        <f>'Segment - Index'!F185+'Segment - Analytics'!F78+'Segment - Sustain &amp; Climate'!F63+'Segment - Private Assets'!F78</f>
        <v>26.625999999999998</v>
      </c>
      <c r="G30" s="4">
        <f>'Segment - Index'!G185+'Segment - Analytics'!G78+'Segment - Sustain &amp; Climate'!G63+'Segment - Private Assets'!G78</f>
        <v>85.08500000000001</v>
      </c>
      <c r="H30" s="4">
        <f>'Segment - Index'!H185+'Segment - Analytics'!H78+'Segment - Sustain &amp; Climate'!H63+'Segment - Private Assets'!H78</f>
        <v>26.1</v>
      </c>
      <c r="I30" s="4">
        <f>'Segment - Index'!I185+'Segment - Analytics'!I78+'Segment - Sustain &amp; Climate'!I63+'Segment - Private Assets'!I78</f>
        <v>20.499999999999996</v>
      </c>
      <c r="J30" s="61">
        <f>'Segment - Index'!J185+'Segment - Analytics'!J78+'Segment - Sustain &amp; Climate'!J63+'Segment - Private Assets'!J78</f>
        <v>18.6</v>
      </c>
      <c r="K30" s="45"/>
    </row>
    <row r="31">
      <c r="B31" s="49" t="s">
        <v>116</v>
      </c>
      <c r="C31" s="9">
        <v>-0.053</v>
      </c>
      <c r="D31" s="9">
        <v>0.114</v>
      </c>
      <c r="E31" s="9">
        <v>-0.134</v>
      </c>
      <c r="F31" s="9">
        <v>0.071</v>
      </c>
      <c r="G31" s="9">
        <v>0.011</v>
      </c>
      <c r="H31" s="19">
        <f>IFERROR(IF(OR(ABS(C30)&lt;0.5,H30*C30&lt;0),"n/m",H30/C30-1),"n/a")</f>
        <v>0.6550412175015854</v>
      </c>
      <c r="I31" s="19">
        <f>IFERROR(IF(OR(ABS(D30)&lt;0.5,I30*D30&lt;0),"n/m",I30/D30-1),"n/a")</f>
        <v>-0.20662564340725276</v>
      </c>
      <c r="J31" s="46">
        <f>IFERROR(IF(OR(ABS(E30)&lt;0.5,J30*E30&lt;0),"n/m",J30/E30-1),"n/a")</f>
        <v>0.10385756676557856</v>
      </c>
      <c r="K31" s="45"/>
    </row>
    <row r="32">
      <c r="B32" s="49" t="s">
        <v>117</v>
      </c>
      <c r="C32" s="19" t="s">
        <v>34</v>
      </c>
      <c r="D32" s="19">
        <f>IFERROR(IF(OR(ABS(C30)&lt;0.5,D30*C30&lt;0),"n/m",D30/C30-1),"n/a")</f>
        <v>0.6384908053265697</v>
      </c>
      <c r="E32" s="19">
        <f>IFERROR(IF(OR(ABS(D30)&lt;0.5,E30*D30&lt;0),"n/m",E30/D30-1),"n/a")</f>
        <v>-0.3478849800688881</v>
      </c>
      <c r="F32" s="19">
        <f>IFERROR(IF(OR(ABS(E30)&lt;0.5,F30*E30&lt;0),"n/m",F30/E30-1),"n/a")</f>
        <v>0.5801780415430264</v>
      </c>
      <c r="G32" s="19" t="s">
        <v>34</v>
      </c>
      <c r="H32" s="19">
        <f>IFERROR(IF(OR(ABS(F30)&lt;0.5,H30*F30&lt;0),"n/m",H30/F30-1),"n/a")</f>
        <v>-0.019755126568016035</v>
      </c>
      <c r="I32" s="19">
        <f>IFERROR(IF(OR(ABS(H30)&lt;0.5,I30*H30&lt;0),"n/m",I30/H30-1),"n/a")</f>
        <v>-0.21455938697318022</v>
      </c>
      <c r="J32" s="46">
        <f>IFERROR(IF(OR(ABS(I30)&lt;0.5,J30*I30&lt;0),"n/m",J30/I30-1),"n/a")</f>
        <v>-0.09268292682926804</v>
      </c>
      <c r="K32" s="45"/>
    </row>
    <row r="33">
      <c r="B33" s="42" t="s">
        <v>118</v>
      </c>
      <c r="C33" s="20" t="s">
        <v>34</v>
      </c>
      <c r="D33" s="20">
        <f>IFERROR(D30-C30,"n/a")</f>
        <v>10.069000000000003</v>
      </c>
      <c r="E33" s="20">
        <f>IFERROR(E30-D30,"n/a")</f>
        <v>-8.989</v>
      </c>
      <c r="F33" s="20">
        <f>IFERROR(F30-E30,"n/a")</f>
        <v>9.775999999999996</v>
      </c>
      <c r="G33" s="20" t="s">
        <v>34</v>
      </c>
      <c r="H33" s="20">
        <f>IFERROR(H30-F30,"n/a")</f>
        <v>-0.5259999999999962</v>
      </c>
      <c r="I33" s="20">
        <f>IFERROR(I30-H30,"n/a")</f>
        <v>-5.600000000000005</v>
      </c>
      <c r="J33" s="48">
        <f>IFERROR(J30-I30,"n/a")</f>
        <v>-1.899999999999995</v>
      </c>
      <c r="K33" s="45"/>
    </row>
    <row r="34">
      <c r="B34" s="49" t="s">
        <v>119</v>
      </c>
      <c r="C34" s="19">
        <f>IFERROR(C30/C40,"n/a")</f>
        <v>0.021144341977887605</v>
      </c>
      <c r="D34" s="19">
        <f>IFERROR(D30/D40,"n/a")</f>
        <v>0.033440794948484426</v>
      </c>
      <c r="E34" s="19">
        <f>IFERROR(E30/E40,"n/a")</f>
        <v>0.02123701517217737</v>
      </c>
      <c r="F34" s="19">
        <f>IFERROR(F30/F40,"n/a")</f>
        <v>0.03237093448490507</v>
      </c>
      <c r="G34" s="19">
        <f>IFERROR(G30/G40,"n/a")</f>
        <v>0.027145035235745626</v>
      </c>
      <c r="H34" s="19">
        <f>IFERROR(H30/H40,"n/a")</f>
        <v>0.030677009873060653</v>
      </c>
      <c r="I34" s="19">
        <f>IFERROR(I30/I40,"n/a")</f>
        <v>0.023644752018454437</v>
      </c>
      <c r="J34" s="46">
        <f>IFERROR(J30/J40,"n/a")</f>
        <v>0.02096067875230242</v>
      </c>
      <c r="K34" s="45"/>
    </row>
    <row r="35">
      <c r="B35" s="65" t="s">
        <v>120</v>
      </c>
      <c r="C35" s="62" t="s">
        <v>34</v>
      </c>
      <c r="D35" s="62" t="s">
        <v>34</v>
      </c>
      <c r="E35" s="62" t="s">
        <v>34</v>
      </c>
      <c r="F35" s="62" t="s">
        <v>34</v>
      </c>
      <c r="G35" s="62" t="s">
        <v>34</v>
      </c>
      <c r="H35" s="62">
        <f>IFERROR((H34-C34)*10000,"n/a")</f>
        <v>95.32667895173049</v>
      </c>
      <c r="I35" s="62">
        <f>IFERROR((I34-D34)*10000,"n/a")</f>
        <v>-97.96042930029988</v>
      </c>
      <c r="J35" s="64">
        <f>IFERROR((J34-E34)*10000,"n/a")</f>
        <v>-2.7633641987494935</v>
      </c>
      <c r="K35" s="45"/>
    </row>
    <row r="36">
      <c r="B36" s="65" t="s">
        <v>121</v>
      </c>
      <c r="C36" s="62" t="s">
        <v>34</v>
      </c>
      <c r="D36" s="62">
        <f>IFERROR((D34-C34)*10000,"n/a")</f>
        <v>122.9645297059682</v>
      </c>
      <c r="E36" s="62">
        <f>IFERROR((E34-D34)*10000,"n/a")</f>
        <v>-122.03779776307054</v>
      </c>
      <c r="F36" s="62">
        <f>IFERROR((F34-E34)*10000,"n/a")</f>
        <v>111.339193127277</v>
      </c>
      <c r="G36" s="62" t="s">
        <v>34</v>
      </c>
      <c r="H36" s="62">
        <f>IFERROR((H34-F34)*10000,"n/a")</f>
        <v>-16.93924611844418</v>
      </c>
      <c r="I36" s="62">
        <f>IFERROR((I34-H34)*10000,"n/a")</f>
        <v>-70.32257854606216</v>
      </c>
      <c r="J36" s="64">
        <f>IFERROR((J34-I34)*10000,"n/a")</f>
        <v>-26.840732661520157</v>
      </c>
      <c r="K36" s="45"/>
    </row>
    <row r="37">
      <c r="B37" s="49" t="s">
        <v>122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0.004</v>
      </c>
      <c r="J37" s="69">
        <f>('Segment - Index'!J192*'Segment - Index'!E185+'Segment - Analytics'!J85*'Segment - Analytics'!E78+'Segment - Sustain &amp; Climate'!J70*'Segment - Sustain &amp; Climate'!E63+'Segment - Private Assets'!J85*'Segment - Private Assets'!E78)/E30</f>
        <v>0</v>
      </c>
      <c r="K37" s="45" t="s">
        <v>123</v>
      </c>
    </row>
    <row r="38">
      <c r="B38" s="49" t="s">
        <v>124</v>
      </c>
      <c r="C38" s="9">
        <v>-0.002</v>
      </c>
      <c r="D38" s="9">
        <v>0.011</v>
      </c>
      <c r="E38" s="9">
        <v>0.004</v>
      </c>
      <c r="F38" s="9">
        <v>0.006</v>
      </c>
      <c r="G38" s="9">
        <v>0.005</v>
      </c>
      <c r="H38" s="9">
        <v>0</v>
      </c>
      <c r="I38" s="9">
        <v>0</v>
      </c>
      <c r="J38" s="69">
        <f>('Segment - Index'!J193*'Segment - Index'!E185+'Segment - Analytics'!J86*'Segment - Analytics'!E78+'Segment - Sustain &amp; Climate'!J71*'Segment - Sustain &amp; Climate'!E63+'Segment - Private Assets'!J86*'Segment - Private Assets'!E78)/E30</f>
        <v>0</v>
      </c>
      <c r="K38" s="45" t="s">
        <v>123</v>
      </c>
    </row>
    <row r="39">
      <c r="B39" s="49" t="s">
        <v>125</v>
      </c>
      <c r="C39" s="19">
        <f>IFERROR((1+C31)/((1+C37)*(1+C38))-1,"n/a")</f>
        <v>-0.05110220440881763</v>
      </c>
      <c r="D39" s="19">
        <f>IFERROR((1+D31)/((1+D37)*(1+D38))-1,"n/a")</f>
        <v>0.10187932739861538</v>
      </c>
      <c r="E39" s="19">
        <f>IFERROR((1+E31)/((1+E37)*(1+E38))-1,"n/a")</f>
        <v>-0.13745019920318724</v>
      </c>
      <c r="F39" s="19">
        <f>IFERROR((1+F31)/((1+F37)*(1+F38))-1,"n/a")</f>
        <v>0.06461232604373746</v>
      </c>
      <c r="G39" s="19">
        <f>IFERROR((1+G31)/((1+G37)*(1+G38))-1,"n/a")</f>
        <v>0.005970149253731405</v>
      </c>
      <c r="H39" s="19">
        <f>IFERROR((1+H31)/((1+H37)*(1+H38))-1,"n/a")</f>
        <v>0.6550412175015854</v>
      </c>
      <c r="I39" s="19">
        <f>IFERROR((1+I31)/((1+I37)*(1+I38))-1,"n/a")</f>
        <v>-0.20978649741758248</v>
      </c>
      <c r="J39" s="46">
        <f>IFERROR((1+J31)/((1+J37)*(1+J38))-1,"n/a")</f>
        <v>0.10385756676557856</v>
      </c>
      <c r="K39" s="45" t="s">
        <v>126</v>
      </c>
    </row>
    <row r="40">
      <c r="B40" s="24" t="s">
        <v>130</v>
      </c>
      <c r="C40" s="60">
        <f>C10+C20+C30</f>
        <v>745.8259999999999</v>
      </c>
      <c r="D40" s="60">
        <f>D10+D20+D30</f>
        <v>772.6790000000001</v>
      </c>
      <c r="E40" s="60">
        <f>E10+E20+E30</f>
        <v>793.4259999999999</v>
      </c>
      <c r="F40" s="60">
        <f>F10+F20+F30</f>
        <v>822.5279999999999</v>
      </c>
      <c r="G40" s="60">
        <f>G10+G20+G30</f>
        <v>3134.4590000000003</v>
      </c>
      <c r="H40" s="60">
        <f>H10+H20+H30</f>
        <v>850.8</v>
      </c>
      <c r="I40" s="60">
        <f>I10+I20+I30</f>
        <v>867</v>
      </c>
      <c r="J40" s="50">
        <f>J10+J20+J30</f>
        <v>887.3758440650157</v>
      </c>
      <c r="K40" s="45"/>
    </row>
    <row r="41">
      <c r="B41" s="49" t="s">
        <v>116</v>
      </c>
      <c r="C41" s="33">
        <f>IFERROR(IF(OR(ABS(Inputs!C113)&lt;0.5,C40*Inputs!C113&lt;0),"n/m",C40/Inputs!C113-1),"n/a")</f>
        <v>0.09685939717485437</v>
      </c>
      <c r="D41" s="33">
        <f>IFERROR(IF(OR(ABS(Inputs!D113)&lt;0.5,D40*Inputs!D113&lt;0),"n/m",D40/Inputs!D113-1),"n/a")</f>
        <v>0.0914331399578221</v>
      </c>
      <c r="E41" s="33">
        <f>IFERROR(IF(OR(ABS(Inputs!E113)&lt;0.5,E40*Inputs!E113&lt;0),"n/m",E40/Inputs!E113-1),"n/a")</f>
        <v>0.09482617064874654</v>
      </c>
      <c r="F41" s="33">
        <f>IFERROR(IF(OR(ABS(Inputs!F113)&lt;0.5,F40*Inputs!F113&lt;0),"n/m",F40/Inputs!F113-1),"n/a")</f>
        <v>0.10627847141056779</v>
      </c>
      <c r="G41" s="33">
        <f>IFERROR(IF(OR(ABS(Inputs!G113)&lt;0.5,G40*Inputs!G113&lt;0),"n/m",G40/Inputs!G113-1),"n/a")</f>
        <v>0.09745046440495675</v>
      </c>
      <c r="H41" s="19">
        <f>IFERROR(IF(OR(ABS(C40)&lt;0.5,H40*C40&lt;0),"n/m",H40/C40-1),"n/a")</f>
        <v>0.14074864646713858</v>
      </c>
      <c r="I41" s="19">
        <f>IFERROR(IF(OR(ABS(D40)&lt;0.5,I40*D40&lt;0),"n/m",I40/D40-1),"n/a")</f>
        <v>0.12207009637896182</v>
      </c>
      <c r="J41" s="46">
        <f>IFERROR(IF(OR(ABS(E40)&lt;0.5,J40*E40&lt;0),"n/m",J40/E40-1),"n/a")</f>
        <v>0.11841034206720691</v>
      </c>
      <c r="K41" s="45"/>
    </row>
    <row r="42">
      <c r="B42" s="49" t="s">
        <v>117</v>
      </c>
      <c r="C42" s="33">
        <f>IFERROR(IF(OR(ABS(Inputs!F113)&lt;0.5,C40*Inputs!F113&lt;0),"n/m",C40/Inputs!F113-1),"n/a")</f>
        <v>0.003116303904861839</v>
      </c>
      <c r="D42" s="19">
        <f>IFERROR(IF(OR(ABS(C40)&lt;0.5,D40*C40&lt;0),"n/m",D40/C40-1),"n/a")</f>
        <v>0.0360043763558795</v>
      </c>
      <c r="E42" s="19">
        <f>IFERROR(IF(OR(ABS(D40)&lt;0.5,E40*D40&lt;0),"n/m",E40/D40-1),"n/a")</f>
        <v>0.026850736204814485</v>
      </c>
      <c r="F42" s="19">
        <f>IFERROR(IF(OR(ABS(E40)&lt;0.5,F40*E40&lt;0),"n/m",F40/E40-1),"n/a")</f>
        <v>0.03667890893416659</v>
      </c>
      <c r="G42" s="19" t="s">
        <v>34</v>
      </c>
      <c r="H42" s="19">
        <f>IFERROR(IF(OR(ABS(F40)&lt;0.5,H40*F40&lt;0),"n/m",H40/F40-1),"n/a")</f>
        <v>0.03437208216619991</v>
      </c>
      <c r="I42" s="19">
        <f>IFERROR(IF(OR(ABS(H40)&lt;0.5,I40*H40&lt;0),"n/m",I40/H40-1),"n/a")</f>
        <v>0.01904090267983083</v>
      </c>
      <c r="J42" s="46">
        <f>IFERROR(IF(OR(ABS(I40)&lt;0.5,J40*I40&lt;0),"n/m",J40/I40-1),"n/a")</f>
        <v>0.023501550247999603</v>
      </c>
      <c r="K42" s="45"/>
    </row>
    <row r="43">
      <c r="B43" s="42" t="s">
        <v>118</v>
      </c>
      <c r="C43" s="4">
        <f>IFERROR(C40-Inputs!F113,"n/a")</f>
        <v>2.3169999999998936</v>
      </c>
      <c r="D43" s="20">
        <f>IFERROR(D40-C40,"n/a")</f>
        <v>26.85300000000018</v>
      </c>
      <c r="E43" s="20">
        <f>IFERROR(E40-D40,"n/a")</f>
        <v>20.746999999999844</v>
      </c>
      <c r="F43" s="20">
        <f>IFERROR(F40-E40,"n/a")</f>
        <v>29.101999999999975</v>
      </c>
      <c r="G43" s="20" t="s">
        <v>34</v>
      </c>
      <c r="H43" s="20">
        <f>IFERROR(H40-F40,"n/a")</f>
        <v>28.272000000000048</v>
      </c>
      <c r="I43" s="20">
        <f>IFERROR(I40-H40,"n/a")</f>
        <v>16.200000000000045</v>
      </c>
      <c r="J43" s="48">
        <f>IFERROR(J40-I40,"n/a")</f>
        <v>20.375844065015713</v>
      </c>
      <c r="K43" s="45"/>
    </row>
    <row r="44">
      <c r="B44" s="49" t="s">
        <v>122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0.001</v>
      </c>
      <c r="I44" s="9">
        <v>0.001</v>
      </c>
      <c r="J44" s="46">
        <f>(J17*E10+J27*E20+J37*E30)/E40</f>
        <v>0.0027291684208098845</v>
      </c>
      <c r="K44" s="45" t="s">
        <v>131</v>
      </c>
    </row>
    <row r="45">
      <c r="B45" s="49" t="s">
        <v>124</v>
      </c>
      <c r="C45" s="9">
        <v>-0.002</v>
      </c>
      <c r="D45" s="9">
        <v>0.008</v>
      </c>
      <c r="E45" s="9">
        <v>0.005</v>
      </c>
      <c r="F45" s="9">
        <v>0.004</v>
      </c>
      <c r="G45" s="9">
        <v>0.004</v>
      </c>
      <c r="H45" s="9">
        <v>0.006999999999999999</v>
      </c>
      <c r="I45" s="9">
        <v>-0.001</v>
      </c>
      <c r="J45" s="46">
        <f>(J18*E10+J28*E20+J38*E30)/E40</f>
        <v>-0.002419610650520654</v>
      </c>
      <c r="K45" s="45" t="s">
        <v>131</v>
      </c>
    </row>
    <row r="46">
      <c r="B46" s="49" t="s">
        <v>125</v>
      </c>
      <c r="C46" s="19">
        <f>IFERROR((1+C41)/((1+C44)*(1+C45))-1,"n/a")</f>
        <v>0.09905751219925296</v>
      </c>
      <c r="D46" s="19">
        <f>IFERROR((1+D41)/((1+D44)*(1+D45))-1,"n/a")</f>
        <v>0.0827709721803791</v>
      </c>
      <c r="E46" s="19">
        <f>IFERROR((1+E41)/((1+E44)*(1+E45))-1,"n/a")</f>
        <v>0.08937927427735981</v>
      </c>
      <c r="F46" s="19">
        <f>IFERROR((1+F41)/((1+F44)*(1+F45))-1,"n/a")</f>
        <v>0.10187098746072487</v>
      </c>
      <c r="G46" s="19">
        <f>IFERROR((1+G41)/((1+G44)*(1+G45))-1,"n/a")</f>
        <v>0.09307815179776568</v>
      </c>
      <c r="H46" s="19">
        <f>IFERROR((1+H41)/((1+H44)*(1+H45))-1,"n/a")</f>
        <v>0.13168722684181633</v>
      </c>
      <c r="I46" s="19">
        <f>IFERROR((1+I41)/((1+I44)*(1+I45))-1,"n/a")</f>
        <v>0.12207121845018043</v>
      </c>
      <c r="J46" s="46">
        <f>IFERROR((1+J41)/((1+J44)*(1+J45))-1,"n/a")</f>
        <v>0.11807161752411588</v>
      </c>
      <c r="K46" s="45" t="s">
        <v>126</v>
      </c>
    </row>
    <row r="47">
      <c r="B47" s="49" t="s">
        <v>132</v>
      </c>
      <c r="C47" s="9">
        <v>0.099</v>
      </c>
      <c r="D47" s="9">
        <v>0.083</v>
      </c>
      <c r="E47" s="9">
        <v>0.09</v>
      </c>
      <c r="F47" s="9">
        <v>0.102</v>
      </c>
      <c r="G47" s="9">
        <v>0.093</v>
      </c>
      <c r="H47" s="9">
        <v>0.133</v>
      </c>
      <c r="I47" s="9">
        <v>0.122</v>
      </c>
      <c r="J47" s="46" t="s">
        <v>34</v>
      </c>
      <c r="K47" s="45" t="s">
        <v>133</v>
      </c>
    </row>
    <row r="48">
      <c r="B48" s="2" t="s">
        <v>134</v>
      </c>
      <c r="C48" s="12">
        <v>745.826</v>
      </c>
      <c r="D48" s="12">
        <v>772.679</v>
      </c>
      <c r="E48" s="12">
        <v>793.426</v>
      </c>
      <c r="F48" s="12">
        <v>822.528</v>
      </c>
      <c r="G48" s="12">
        <v>3134.459</v>
      </c>
      <c r="H48" s="12">
        <v>850.8</v>
      </c>
      <c r="I48" s="12">
        <v>867</v>
      </c>
      <c r="J48" s="48" t="s">
        <v>34</v>
      </c>
      <c r="K48" s="45" t="s">
        <v>135</v>
      </c>
    </row>
    <row r="49">
      <c r="B49" s="42" t="s">
        <v>136</v>
      </c>
      <c r="C49" s="20">
        <f>C40-C48</f>
        <v>0</v>
      </c>
      <c r="D49" s="20">
        <f>D40-D48</f>
        <v>0</v>
      </c>
      <c r="E49" s="20">
        <f>E40-E48</f>
        <v>0</v>
      </c>
      <c r="F49" s="20">
        <f>F40-F48</f>
        <v>0</v>
      </c>
      <c r="G49" s="20">
        <f>G40-G48</f>
        <v>0</v>
      </c>
      <c r="H49" s="20">
        <f>H40-H48</f>
        <v>0</v>
      </c>
      <c r="I49" s="20">
        <f>I40-I48</f>
        <v>0</v>
      </c>
      <c r="J49" s="48" t="s">
        <v>34</v>
      </c>
      <c r="K49" s="45"/>
    </row>
    <row r="50">
      <c r="B50" s="24" t="s">
        <v>137</v>
      </c>
      <c r="C50" s="10"/>
      <c r="D50" s="10"/>
      <c r="E50" s="10"/>
      <c r="F50" s="10"/>
      <c r="G50" s="10"/>
      <c r="H50" s="10"/>
      <c r="I50" s="10"/>
      <c r="J50" s="51"/>
      <c r="K50" s="45"/>
    </row>
    <row r="51">
      <c r="B51" s="2" t="s">
        <v>138</v>
      </c>
      <c r="C51" s="4">
        <f>'Segment - Index'!C199</f>
        <v>421.743</v>
      </c>
      <c r="D51" s="4">
        <f>'Segment - Index'!D199</f>
        <v>434.83299999999997</v>
      </c>
      <c r="E51" s="4">
        <f>'Segment - Index'!E199</f>
        <v>451.15999999999997</v>
      </c>
      <c r="F51" s="4">
        <f>'Segment - Index'!F199</f>
        <v>479.072</v>
      </c>
      <c r="G51" s="4">
        <f>'Segment - Index'!G199</f>
        <v>1786.808</v>
      </c>
      <c r="H51" s="4">
        <f>'Segment - Index'!H199</f>
        <v>496.3</v>
      </c>
      <c r="I51" s="4">
        <f>'Segment - Index'!I199</f>
        <v>511</v>
      </c>
      <c r="J51" s="61">
        <f>'Segment - Index'!J199</f>
        <v>527.2411325798861</v>
      </c>
      <c r="K51" s="45" t="s">
        <v>139</v>
      </c>
    </row>
    <row r="52">
      <c r="B52" s="49" t="s">
        <v>116</v>
      </c>
      <c r="C52" s="33">
        <f>IFERROR(IF(OR(ABS(Inputs!C215)&lt;0.5,C51*Inputs!C215&lt;0),"n/m",C51/Inputs!C215-1),"n/a")</f>
        <v>0.12804114777249964</v>
      </c>
      <c r="D52" s="33">
        <f>IFERROR(IF(OR(ABS(Inputs!D215)&lt;0.5,D51*Inputs!D215&lt;0),"n/m",D51/Inputs!D215-1),"n/a")</f>
        <v>0.09476776974360002</v>
      </c>
      <c r="E52" s="33">
        <f>IFERROR(IF(OR(ABS(Inputs!E215)&lt;0.5,E51*Inputs!E215&lt;0),"n/m",E51/Inputs!E215-1),"n/a")</f>
        <v>0.11429996887982163</v>
      </c>
      <c r="F52" s="33">
        <f>IFERROR(IF(OR(ABS(Inputs!F215)&lt;0.5,F51*Inputs!F215&lt;0),"n/m",F51/Inputs!F215-1),"n/a")</f>
        <v>0.14010742529135012</v>
      </c>
      <c r="G52" s="33">
        <f>IFERROR(IF(OR(ABS(Inputs!G215)&lt;0.5,G51*Inputs!G215&lt;0),"n/m",G51/Inputs!G215-1),"n/a")</f>
        <v>0.11945218009641989</v>
      </c>
      <c r="H52" s="19">
        <f>IFERROR(IF(OR(ABS(C51)&lt;0.5,H51*C51&lt;0),"n/m",H51/C51-1),"n/a")</f>
        <v>0.17678301714551292</v>
      </c>
      <c r="I52" s="19">
        <f>IFERROR(IF(OR(ABS(D51)&lt;0.5,I51*D51&lt;0),"n/m",I51/D51-1),"n/a")</f>
        <v>0.17516379851575214</v>
      </c>
      <c r="J52" s="46">
        <f>IFERROR(IF(OR(ABS(E51)&lt;0.5,J51*E51&lt;0),"n/m",J51/E51-1),"n/a")</f>
        <v>0.16863448129241543</v>
      </c>
      <c r="K52" s="45"/>
    </row>
    <row r="53">
      <c r="B53" s="49" t="s">
        <v>117</v>
      </c>
      <c r="C53" s="33">
        <f>IFERROR(IF(OR(ABS(Inputs!F215)&lt;0.5,C51*Inputs!F215&lt;0),"n/m",C51/Inputs!F215-1),"n/a")</f>
        <v>0.0036744494870286637</v>
      </c>
      <c r="D53" s="19">
        <f>IFERROR(IF(OR(ABS(C51)&lt;0.5,D51*C51&lt;0),"n/m",D51/C51-1),"n/a")</f>
        <v>0.031037859549535973</v>
      </c>
      <c r="E53" s="19">
        <f>IFERROR(IF(OR(ABS(D51)&lt;0.5,E51*D51&lt;0),"n/m",E51/D51-1),"n/a")</f>
        <v>0.037547748215981835</v>
      </c>
      <c r="F53" s="19">
        <f>IFERROR(IF(OR(ABS(E51)&lt;0.5,F51*E51&lt;0),"n/m",F51/E51-1),"n/a")</f>
        <v>0.06186718680734127</v>
      </c>
      <c r="G53" s="19" t="s">
        <v>34</v>
      </c>
      <c r="H53" s="19">
        <f>IFERROR(IF(OR(ABS(F51)&lt;0.5,H51*F51&lt;0),"n/m",H51/F51-1),"n/a")</f>
        <v>0.03596119163716516</v>
      </c>
      <c r="I53" s="19">
        <f>IFERROR(IF(OR(ABS(H51)&lt;0.5,I51*H51&lt;0),"n/m",I51/H51-1),"n/a")</f>
        <v>0.02961918194640334</v>
      </c>
      <c r="J53" s="46">
        <f>IFERROR(IF(OR(ABS(I51)&lt;0.5,J51*I51&lt;0),"n/m",J51/I51-1),"n/a")</f>
        <v>0.031783038316802514</v>
      </c>
      <c r="K53" s="45"/>
    </row>
    <row r="54">
      <c r="B54" s="42" t="s">
        <v>118</v>
      </c>
      <c r="C54" s="4">
        <f>IFERROR(C51-Inputs!F215,"n/a")</f>
        <v>1.5439999999999827</v>
      </c>
      <c r="D54" s="20">
        <f>IFERROR(D51-C51,"n/a")</f>
        <v>13.089999999999975</v>
      </c>
      <c r="E54" s="20">
        <f>IFERROR(E51-D51,"n/a")</f>
        <v>16.326999999999998</v>
      </c>
      <c r="F54" s="20">
        <f>IFERROR(F51-E51,"n/a")</f>
        <v>27.912000000000035</v>
      </c>
      <c r="G54" s="20" t="s">
        <v>34</v>
      </c>
      <c r="H54" s="20">
        <f>IFERROR(H51-F51,"n/a")</f>
        <v>17.22800000000001</v>
      </c>
      <c r="I54" s="20">
        <f>IFERROR(I51-H51,"n/a")</f>
        <v>14.699999999999989</v>
      </c>
      <c r="J54" s="48">
        <f>IFERROR(J51-I51,"n/a")</f>
        <v>16.241132579886084</v>
      </c>
      <c r="K54" s="45"/>
    </row>
    <row r="55">
      <c r="B55" s="49" t="s">
        <v>119</v>
      </c>
      <c r="C55" s="19">
        <f>IFERROR(C51/C40,"n/a")</f>
        <v>0.5654710347990014</v>
      </c>
      <c r="D55" s="19">
        <f>IFERROR(D51/D40,"n/a")</f>
        <v>0.5627602147851823</v>
      </c>
      <c r="E55" s="19">
        <f>IFERROR(E51/E40,"n/a")</f>
        <v>0.5686226566812784</v>
      </c>
      <c r="F55" s="19">
        <f>IFERROR(F51/F40,"n/a")</f>
        <v>0.5824385309679428</v>
      </c>
      <c r="G55" s="19">
        <f>IFERROR(G51/G40,"n/a")</f>
        <v>0.5700530777400501</v>
      </c>
      <c r="H55" s="19">
        <f>IFERROR(H51/H40,"n/a")</f>
        <v>0.5833333333333334</v>
      </c>
      <c r="I55" s="19">
        <f>IFERROR(I51/I40,"n/a")</f>
        <v>0.5893886966551326</v>
      </c>
      <c r="J55" s="46">
        <f>IFERROR(J51/J40,"n/a")</f>
        <v>0.5941576346778</v>
      </c>
      <c r="K55" s="45"/>
    </row>
    <row r="56">
      <c r="B56" s="65" t="s">
        <v>120</v>
      </c>
      <c r="C56" s="47">
        <f>IFERROR((C55-Inputs!C218)*10000,"n/a")</f>
        <v>156.30969501522873</v>
      </c>
      <c r="D56" s="47">
        <f>IFERROR((D55-Inputs!D218)*10000,"n/a")</f>
        <v>17.141507325457717</v>
      </c>
      <c r="E56" s="47">
        <f>IFERROR((E55-Inputs!E218)*10000,"n/a")</f>
        <v>99.37398541759568</v>
      </c>
      <c r="F56" s="47">
        <f>IFERROR((F55-Inputs!F218)*10000,"n/a")</f>
        <v>172.81955862597732</v>
      </c>
      <c r="G56" s="47">
        <f>IFERROR((G55-Inputs!G218)*10000,"n/a")</f>
        <v>112.03824485294001</v>
      </c>
      <c r="H56" s="62">
        <f>IFERROR((H55-C55)*10000,"n/a")</f>
        <v>178.62298534331967</v>
      </c>
      <c r="I56" s="62">
        <f>IFERROR((I55-D55)*10000,"n/a")</f>
        <v>266.2848186995026</v>
      </c>
      <c r="J56" s="64">
        <f>IFERROR((J55-E55)*10000,"n/a")</f>
        <v>255.34977996521602</v>
      </c>
      <c r="K56" s="45"/>
    </row>
    <row r="57">
      <c r="B57" s="65" t="s">
        <v>121</v>
      </c>
      <c r="C57" s="47">
        <f>IFERROR((C55-Inputs!F218)*10000,"n/a")</f>
        <v>3.1445969365628823</v>
      </c>
      <c r="D57" s="62">
        <f>IFERROR((D55-C55)*10000,"n/a")</f>
        <v>-27.108200138190597</v>
      </c>
      <c r="E57" s="62">
        <f>IFERROR((E55-D55)*10000,"n/a")</f>
        <v>58.624418960960824</v>
      </c>
      <c r="F57" s="62">
        <f>IFERROR((F55-E55)*10000,"n/a")</f>
        <v>138.1587428666442</v>
      </c>
      <c r="G57" s="62" t="s">
        <v>34</v>
      </c>
      <c r="H57" s="62">
        <f>IFERROR((H55-F55)*10000,"n/a")</f>
        <v>8.948023653905235</v>
      </c>
      <c r="I57" s="62">
        <f>IFERROR((I55-H55)*10000,"n/a")</f>
        <v>60.55363321799234</v>
      </c>
      <c r="J57" s="64">
        <f>IFERROR((J55-I55)*10000,"n/a")</f>
        <v>47.68938022667424</v>
      </c>
      <c r="K57" s="45"/>
    </row>
    <row r="58">
      <c r="B58" s="49" t="s">
        <v>122</v>
      </c>
      <c r="C58" s="33">
        <f>'Segment - Index'!C206</f>
        <v>0.001</v>
      </c>
      <c r="D58" s="33">
        <f>'Segment - Index'!D206</f>
        <v>0</v>
      </c>
      <c r="E58" s="33">
        <f>'Segment - Index'!E206</f>
        <v>0</v>
      </c>
      <c r="F58" s="33">
        <f>'Segment - Index'!F206</f>
        <v>0</v>
      </c>
      <c r="G58" s="33">
        <f>'Segment - Index'!G206</f>
        <v>0</v>
      </c>
      <c r="H58" s="33">
        <f>'Segment - Index'!H206</f>
        <v>0.001</v>
      </c>
      <c r="I58" s="33">
        <f>'Segment - Index'!I206</f>
        <v>0.003</v>
      </c>
      <c r="J58" s="69">
        <f>'Segment - Index'!J206</f>
        <v>0.002150625055412714</v>
      </c>
      <c r="K58" s="45" t="s">
        <v>139</v>
      </c>
    </row>
    <row r="59">
      <c r="B59" s="49" t="s">
        <v>124</v>
      </c>
      <c r="C59" s="33">
        <f>'Segment - Index'!C207</f>
        <v>-0.001</v>
      </c>
      <c r="D59" s="33">
        <f>'Segment - Index'!D207</f>
        <v>0.002</v>
      </c>
      <c r="E59" s="33">
        <f>'Segment - Index'!E207</f>
        <v>0</v>
      </c>
      <c r="F59" s="33">
        <f>'Segment - Index'!F207</f>
        <v>0</v>
      </c>
      <c r="G59" s="33">
        <f>'Segment - Index'!G207</f>
        <v>0</v>
      </c>
      <c r="H59" s="33">
        <f>'Segment - Index'!H207</f>
        <v>0</v>
      </c>
      <c r="I59" s="33">
        <f>'Segment - Index'!I207</f>
        <v>-0.003</v>
      </c>
      <c r="J59" s="69">
        <f>'Segment - Index'!J207</f>
        <v>-0.001075312527706357</v>
      </c>
      <c r="K59" s="45" t="s">
        <v>139</v>
      </c>
    </row>
    <row r="60">
      <c r="B60" s="49" t="s">
        <v>125</v>
      </c>
      <c r="C60" s="19">
        <f>IFERROR((1+C52)/((1+C58)*(1+C59))-1,"n/a")</f>
        <v>0.12804227581477567</v>
      </c>
      <c r="D60" s="19">
        <f>IFERROR((1+D52)/((1+D58)*(1+D59))-1,"n/a")</f>
        <v>0.09258260453453104</v>
      </c>
      <c r="E60" s="19">
        <f>IFERROR((1+E52)/((1+E58)*(1+E59))-1,"n/a")</f>
        <v>0.11429996887982163</v>
      </c>
      <c r="F60" s="19">
        <f>IFERROR((1+F52)/((1+F58)*(1+F59))-1,"n/a")</f>
        <v>0.14010742529135012</v>
      </c>
      <c r="G60" s="19">
        <f>IFERROR((1+G52)/((1+G58)*(1+G59))-1,"n/a")</f>
        <v>0.11945218009641989</v>
      </c>
      <c r="H60" s="19">
        <f>IFERROR((1+H52)/((1+H58)*(1+H59))-1,"n/a")</f>
        <v>0.17560740973577738</v>
      </c>
      <c r="I60" s="19">
        <f>IFERROR((1+I52)/((1+I58)*(1+I59))-1,"n/a")</f>
        <v>0.175174375085128</v>
      </c>
      <c r="J60" s="46">
        <f>IFERROR((1+J52)/((1+J58)*(1+J59))-1,"n/a")</f>
        <v>0.167381880611984</v>
      </c>
      <c r="K60" s="45" t="s">
        <v>126</v>
      </c>
    </row>
    <row r="61">
      <c r="B61" s="2" t="s">
        <v>140</v>
      </c>
      <c r="C61" s="4">
        <f>'Segment - Analytics'!C92</f>
        <v>172.185</v>
      </c>
      <c r="D61" s="4">
        <f>'Segment - Analytics'!D92</f>
        <v>177.703</v>
      </c>
      <c r="E61" s="4">
        <f>'Segment - Analytics'!E92</f>
        <v>182.17000000000002</v>
      </c>
      <c r="F61" s="4">
        <f>'Segment - Analytics'!F92</f>
        <v>182.339</v>
      </c>
      <c r="G61" s="4">
        <f>'Segment - Analytics'!G92</f>
        <v>714.397</v>
      </c>
      <c r="H61" s="4">
        <f>'Segment - Analytics'!H92</f>
        <v>190</v>
      </c>
      <c r="I61" s="4">
        <f>'Segment - Analytics'!I92</f>
        <v>189.4</v>
      </c>
      <c r="J61" s="61">
        <f>'Segment - Analytics'!J92</f>
        <v>191.91543877942806</v>
      </c>
      <c r="K61" s="45" t="s">
        <v>139</v>
      </c>
    </row>
    <row r="62">
      <c r="B62" s="49" t="s">
        <v>116</v>
      </c>
      <c r="C62" s="33">
        <f>IFERROR(IF(OR(ABS(Inputs!C231)&lt;0.5,C61*Inputs!C231&lt;0),"n/m",C61/Inputs!C231-1),"n/a")</f>
        <v>0.05012624568508106</v>
      </c>
      <c r="D62" s="33">
        <f>IFERROR(IF(OR(ABS(Inputs!D231)&lt;0.5,D61*Inputs!D231&lt;0),"n/m",D61/Inputs!D231-1),"n/a")</f>
        <v>0.07053224494713706</v>
      </c>
      <c r="E62" s="33">
        <f>IFERROR(IF(OR(ABS(Inputs!E231)&lt;0.5,E61*Inputs!E231&lt;0),"n/m",E61/Inputs!E231-1),"n/a")</f>
        <v>0.056817654429851094</v>
      </c>
      <c r="F62" s="33">
        <f>IFERROR(IF(OR(ABS(Inputs!F231)&lt;0.5,F61*Inputs!F231&lt;0),"n/m",F61/Inputs!F231-1),"n/a")</f>
        <v>0.055495739557284374</v>
      </c>
      <c r="G62" s="33">
        <f>IFERROR(IF(OR(ABS(Inputs!G231)&lt;0.5,G61*Inputs!G231&lt;0),"n/m",G61/Inputs!G231-1),"n/a")</f>
        <v>0.0582263968158272</v>
      </c>
      <c r="H62" s="19">
        <f>IFERROR(IF(OR(ABS(C61)&lt;0.5,H61*C61&lt;0),"n/m",H61/C61-1),"n/a")</f>
        <v>0.10346429712228122</v>
      </c>
      <c r="I62" s="19">
        <f>IFERROR(IF(OR(ABS(D61)&lt;0.5,I61*D61&lt;0),"n/m",I61/D61-1),"n/a")</f>
        <v>0.06582331193058089</v>
      </c>
      <c r="J62" s="46">
        <f>IFERROR(IF(OR(ABS(E61)&lt;0.5,J61*E61&lt;0),"n/m",J61/E61-1),"n/a")</f>
        <v>0.05349639775719406</v>
      </c>
      <c r="K62" s="45"/>
    </row>
    <row r="63">
      <c r="B63" s="49" t="s">
        <v>117</v>
      </c>
      <c r="C63" s="33">
        <f>IFERROR(IF(OR(ABS(Inputs!F231)&lt;0.5,C61*Inputs!F231&lt;0),"n/m",C61/Inputs!F231-1),"n/a")</f>
        <v>-0.003282161711586573</v>
      </c>
      <c r="D63" s="19">
        <f>IFERROR(IF(OR(ABS(C61)&lt;0.5,D61*C61&lt;0),"n/m",D61/C61-1),"n/a")</f>
        <v>0.03204692627116179</v>
      </c>
      <c r="E63" s="19">
        <f>IFERROR(IF(OR(ABS(D61)&lt;0.5,E61*D61&lt;0),"n/m",E61/D61-1),"n/a")</f>
        <v>0.02513744843924992</v>
      </c>
      <c r="F63" s="19">
        <f>IFERROR(IF(OR(ABS(E61)&lt;0.5,F61*E61&lt;0),"n/m",F61/E61-1),"n/a")</f>
        <v>0.0009277048910356633</v>
      </c>
      <c r="G63" s="19" t="s">
        <v>34</v>
      </c>
      <c r="H63" s="19">
        <f>IFERROR(IF(OR(ABS(F61)&lt;0.5,H61*F61&lt;0),"n/m",H61/F61-1),"n/a")</f>
        <v>0.04201514760967218</v>
      </c>
      <c r="I63" s="19">
        <f>IFERROR(IF(OR(ABS(H61)&lt;0.5,I61*H61&lt;0),"n/m",I61/H61-1),"n/a")</f>
        <v>-0.0031578947368420263</v>
      </c>
      <c r="J63" s="46">
        <f>IFERROR(IF(OR(ABS(I61)&lt;0.5,J61*I61&lt;0),"n/m",J61/I61-1),"n/a")</f>
        <v>0.013281091760443786</v>
      </c>
      <c r="K63" s="45"/>
    </row>
    <row r="64">
      <c r="B64" s="42" t="s">
        <v>118</v>
      </c>
      <c r="C64" s="4">
        <f>IFERROR(C61-Inputs!F231,"n/a")</f>
        <v>-0.5670000000000073</v>
      </c>
      <c r="D64" s="20">
        <f>IFERROR(D61-C61,"n/a")</f>
        <v>5.518000000000001</v>
      </c>
      <c r="E64" s="20">
        <f>IFERROR(E61-D61,"n/a")</f>
        <v>4.467000000000013</v>
      </c>
      <c r="F64" s="20">
        <f>IFERROR(F61-E61,"n/a")</f>
        <v>0.16899999999998272</v>
      </c>
      <c r="G64" s="20" t="s">
        <v>34</v>
      </c>
      <c r="H64" s="20">
        <f>IFERROR(H61-F61,"n/a")</f>
        <v>7.661000000000001</v>
      </c>
      <c r="I64" s="20">
        <f>IFERROR(I61-H61,"n/a")</f>
        <v>-0.5999999999999943</v>
      </c>
      <c r="J64" s="48">
        <f>IFERROR(J61-I61,"n/a")</f>
        <v>2.5154387794280524</v>
      </c>
      <c r="K64" s="45"/>
    </row>
    <row r="65">
      <c r="B65" s="49" t="s">
        <v>119</v>
      </c>
      <c r="C65" s="19">
        <f>IFERROR(C61/C40,"n/a")</f>
        <v>0.23086483978836891</v>
      </c>
      <c r="D65" s="19">
        <f>IFERROR(D61/D40,"n/a")</f>
        <v>0.22998295540580238</v>
      </c>
      <c r="E65" s="19">
        <f>IFERROR(E61/E40,"n/a")</f>
        <v>0.22959923168638288</v>
      </c>
      <c r="F65" s="19">
        <f>IFERROR(F61/F40,"n/a")</f>
        <v>0.22168120720510429</v>
      </c>
      <c r="G65" s="19">
        <f>IFERROR(G61/G40,"n/a")</f>
        <v>0.2279171621003816</v>
      </c>
      <c r="H65" s="19">
        <f>IFERROR(H61/H40,"n/a")</f>
        <v>0.22331922896097792</v>
      </c>
      <c r="I65" s="19">
        <f>IFERROR(I61/I40,"n/a")</f>
        <v>0.21845444059976932</v>
      </c>
      <c r="J65" s="46">
        <f>IFERROR(J61/J40,"n/a")</f>
        <v>0.2162730032184276</v>
      </c>
      <c r="K65" s="45"/>
    </row>
    <row r="66">
      <c r="B66" s="65" t="s">
        <v>120</v>
      </c>
      <c r="C66" s="47">
        <f>IFERROR((C65-Inputs!C234)*10000,"n/a")</f>
        <v>-102.74042359976949</v>
      </c>
      <c r="D66" s="47">
        <f>IFERROR((D65-Inputs!D234)*10000,"n/a")</f>
        <v>-44.90149295242496</v>
      </c>
      <c r="E66" s="47">
        <f>IFERROR((E65-Inputs!E234)*10000,"n/a")</f>
        <v>-82.5755141846668</v>
      </c>
      <c r="F66" s="47">
        <f>IFERROR((F65-Inputs!F234)*10000,"n/a")</f>
        <v>-106.6567763421844</v>
      </c>
      <c r="G66" s="47">
        <f>IFERROR((G65-Inputs!G234)*10000,"n/a")</f>
        <v>-84.47944785584305</v>
      </c>
      <c r="H66" s="62">
        <f>IFERROR((H65-C65)*10000,"n/a")</f>
        <v>-75.45610827390998</v>
      </c>
      <c r="I66" s="62">
        <f>IFERROR((I65-D65)*10000,"n/a")</f>
        <v>-115.28514806033063</v>
      </c>
      <c r="J66" s="64">
        <f>IFERROR((J65-E65)*10000,"n/a")</f>
        <v>-133.2622846795528</v>
      </c>
      <c r="K66" s="45"/>
    </row>
    <row r="67">
      <c r="B67" s="65" t="s">
        <v>121</v>
      </c>
      <c r="C67" s="47">
        <f>IFERROR((C65-Inputs!F234)*10000,"n/a")</f>
        <v>-14.82045050953812</v>
      </c>
      <c r="D67" s="62">
        <f>IFERROR((D65-C65)*10000,"n/a")</f>
        <v>-8.818843825665335</v>
      </c>
      <c r="E67" s="62">
        <f>IFERROR((E65-D65)*10000,"n/a")</f>
        <v>-3.8372371941949868</v>
      </c>
      <c r="F67" s="62">
        <f>IFERROR((F65-E65)*10000,"n/a")</f>
        <v>-79.18024481278596</v>
      </c>
      <c r="G67" s="62" t="s">
        <v>34</v>
      </c>
      <c r="H67" s="62">
        <f>IFERROR((H65-F65)*10000,"n/a")</f>
        <v>16.38021755873631</v>
      </c>
      <c r="I67" s="62">
        <f>IFERROR((I65-H65)*10000,"n/a")</f>
        <v>-48.647883612086</v>
      </c>
      <c r="J67" s="64">
        <f>IFERROR((J65-I65)*10000,"n/a")</f>
        <v>-21.814373813417166</v>
      </c>
      <c r="K67" s="45"/>
    </row>
    <row r="68">
      <c r="B68" s="49" t="s">
        <v>122</v>
      </c>
      <c r="C68" s="33">
        <f>'Segment - Analytics'!C99</f>
        <v>0</v>
      </c>
      <c r="D68" s="33">
        <f>'Segment - Analytics'!D99</f>
        <v>0</v>
      </c>
      <c r="E68" s="33">
        <f>'Segment - Analytics'!E99</f>
        <v>0</v>
      </c>
      <c r="F68" s="33">
        <f>'Segment - Analytics'!F99</f>
        <v>0</v>
      </c>
      <c r="G68" s="33">
        <f>'Segment - Analytics'!G99</f>
        <v>0</v>
      </c>
      <c r="H68" s="33">
        <f>'Segment - Analytics'!H99</f>
        <v>0</v>
      </c>
      <c r="I68" s="33">
        <f>'Segment - Analytics'!I99</f>
        <v>0</v>
      </c>
      <c r="J68" s="69">
        <f>'Segment - Analytics'!J99</f>
        <v>0</v>
      </c>
      <c r="K68" s="45" t="s">
        <v>139</v>
      </c>
    </row>
    <row r="69">
      <c r="B69" s="49" t="s">
        <v>124</v>
      </c>
      <c r="C69" s="33">
        <f>'Segment - Analytics'!C100</f>
        <v>-0.002</v>
      </c>
      <c r="D69" s="33">
        <f>'Segment - Analytics'!D100</f>
        <v>0.005</v>
      </c>
      <c r="E69" s="33">
        <f>'Segment - Analytics'!E100</f>
        <v>0.001</v>
      </c>
      <c r="F69" s="33">
        <f>'Segment - Analytics'!F100</f>
        <v>0</v>
      </c>
      <c r="G69" s="33">
        <f>'Segment - Analytics'!G100</f>
        <v>0.001</v>
      </c>
      <c r="H69" s="33">
        <f>'Segment - Analytics'!H100</f>
        <v>-0.002</v>
      </c>
      <c r="I69" s="33">
        <f>'Segment - Analytics'!I100</f>
        <v>-0.004</v>
      </c>
      <c r="J69" s="69">
        <f>'Segment - Analytics'!J100</f>
        <v>-0.003914848767634627</v>
      </c>
      <c r="K69" s="45" t="s">
        <v>139</v>
      </c>
    </row>
    <row r="70">
      <c r="B70" s="49" t="s">
        <v>125</v>
      </c>
      <c r="C70" s="19">
        <f>IFERROR((1+C62)/((1+C68)*(1+C69))-1,"n/a")</f>
        <v>0.05223070709927957</v>
      </c>
      <c r="D70" s="19">
        <f>IFERROR((1+D62)/((1+D68)*(1+D69))-1,"n/a")</f>
        <v>0.0652062138777485</v>
      </c>
      <c r="E70" s="19">
        <f>IFERROR((1+E62)/((1+E68)*(1+E69))-1,"n/a")</f>
        <v>0.055761892537314006</v>
      </c>
      <c r="F70" s="19">
        <f>IFERROR((1+F62)/((1+F68)*(1+F69))-1,"n/a")</f>
        <v>0.055495739557284374</v>
      </c>
      <c r="G70" s="19">
        <f>IFERROR((1+G62)/((1+G68)*(1+G69))-1,"n/a")</f>
        <v>0.05716922758823917</v>
      </c>
      <c r="H70" s="19">
        <f>IFERROR((1+H62)/((1+H68)*(1+H69))-1,"n/a")</f>
        <v>0.10567564841911947</v>
      </c>
      <c r="I70" s="19">
        <f>IFERROR((1+I62)/((1+I68)*(1+I69))-1,"n/a")</f>
        <v>0.07010372683793253</v>
      </c>
      <c r="J70" s="46">
        <f>IFERROR((1+J62)/((1+J68)*(1+J69))-1,"n/a")</f>
        <v>0.057636886217808714</v>
      </c>
      <c r="K70" s="45" t="s">
        <v>126</v>
      </c>
    </row>
    <row r="71">
      <c r="B71" s="2" t="s">
        <v>141</v>
      </c>
      <c r="C71" s="4">
        <f>'Segment - Sustain &amp; Climate'!C77</f>
        <v>84.619</v>
      </c>
      <c r="D71" s="4">
        <f>'Segment - Sustain &amp; Climate'!D77</f>
        <v>88.911</v>
      </c>
      <c r="E71" s="4">
        <f>'Segment - Sustain &amp; Climate'!E77</f>
        <v>90.125</v>
      </c>
      <c r="F71" s="4">
        <f>'Segment - Sustain &amp; Climate'!F77</f>
        <v>90.26</v>
      </c>
      <c r="G71" s="4">
        <f>'Segment - Sustain &amp; Climate'!G77</f>
        <v>353.915</v>
      </c>
      <c r="H71" s="4">
        <f>'Segment - Sustain &amp; Climate'!H77</f>
        <v>91.9</v>
      </c>
      <c r="I71" s="4">
        <f>'Segment - Sustain &amp; Climate'!I77</f>
        <v>91.9</v>
      </c>
      <c r="J71" s="61">
        <f>'Segment - Sustain &amp; Climate'!J77</f>
        <v>92.69939226903156</v>
      </c>
      <c r="K71" s="45" t="s">
        <v>139</v>
      </c>
    </row>
    <row r="72">
      <c r="B72" s="49" t="s">
        <v>116</v>
      </c>
      <c r="C72" s="33">
        <f>IFERROR(IF(OR(ABS(Inputs!C245)&lt;0.5,C71*Inputs!C245&lt;0),"n/m",C71/Inputs!C245-1),"n/a")</f>
        <v>0.08647475733141596</v>
      </c>
      <c r="D72" s="33">
        <f>IFERROR(IF(OR(ABS(Inputs!D245)&lt;0.5,D71*Inputs!D245&lt;0),"n/m",D71/Inputs!D245-1),"n/a")</f>
        <v>0.11340554755494336</v>
      </c>
      <c r="E72" s="33">
        <f>IFERROR(IF(OR(ABS(Inputs!E245)&lt;0.5,E71*Inputs!E245&lt;0),"n/m",E71/Inputs!E245-1),"n/a")</f>
        <v>0.07749602477194739</v>
      </c>
      <c r="F72" s="33">
        <f>IFERROR(IF(OR(ABS(Inputs!F245)&lt;0.5,F71*Inputs!F245&lt;0),"n/m",F71/Inputs!F245-1),"n/a")</f>
        <v>0.05915347516398928</v>
      </c>
      <c r="G72" s="33">
        <f>IFERROR(IF(OR(ABS(Inputs!G245)&lt;0.5,G71*Inputs!G245&lt;0),"n/m",G71/Inputs!G245-1),"n/a")</f>
        <v>0.08363109727159457</v>
      </c>
      <c r="H72" s="19">
        <f>IFERROR(IF(OR(ABS(C71)&lt;0.5,H71*C71&lt;0),"n/m",H71/C71-1),"n/a")</f>
        <v>0.08604450537113428</v>
      </c>
      <c r="I72" s="19">
        <f>IFERROR(IF(OR(ABS(D71)&lt;0.5,I71*D71&lt;0),"n/m",I71/D71-1),"n/a")</f>
        <v>0.03361788755047179</v>
      </c>
      <c r="J72" s="46">
        <f>IFERROR(IF(OR(ABS(E71)&lt;0.5,J71*E71&lt;0),"n/m",J71/E71-1),"n/a")</f>
        <v>0.02856468537066914</v>
      </c>
      <c r="K72" s="45"/>
    </row>
    <row r="73">
      <c r="B73" s="49" t="s">
        <v>117</v>
      </c>
      <c r="C73" s="33">
        <f>IFERROR(IF(OR(ABS(Inputs!F245)&lt;0.5,C71*Inputs!F245&lt;0),"n/m",C71/Inputs!F245-1),"n/a")</f>
        <v>-0.0070406834156701015</v>
      </c>
      <c r="D73" s="19">
        <f>IFERROR(IF(OR(ABS(C71)&lt;0.5,D71*C71&lt;0),"n/m",D71/C71-1),"n/a")</f>
        <v>0.05072146917358977</v>
      </c>
      <c r="E73" s="19">
        <f>IFERROR(IF(OR(ABS(D71)&lt;0.5,E71*D71&lt;0),"n/m",E71/D71-1),"n/a")</f>
        <v>0.0136541035417439</v>
      </c>
      <c r="F73" s="19">
        <f>IFERROR(IF(OR(ABS(E71)&lt;0.5,F71*E71&lt;0),"n/m",F71/E71-1),"n/a")</f>
        <v>0.001497919556171956</v>
      </c>
      <c r="G73" s="19" t="s">
        <v>34</v>
      </c>
      <c r="H73" s="19">
        <f>IFERROR(IF(OR(ABS(F71)&lt;0.5,H71*F71&lt;0),"n/m",H71/F71-1),"n/a")</f>
        <v>0.01816973188566373</v>
      </c>
      <c r="I73" s="19">
        <f>IFERROR(IF(OR(ABS(H71)&lt;0.5,I71*H71&lt;0),"n/m",I71/H71-1),"n/a")</f>
        <v>0</v>
      </c>
      <c r="J73" s="46">
        <f>IFERROR(IF(OR(ABS(I71)&lt;0.5,J71*I71&lt;0),"n/m",J71/I71-1),"n/a")</f>
        <v>0.0086985012952292</v>
      </c>
      <c r="K73" s="45"/>
    </row>
    <row r="74">
      <c r="B74" s="42" t="s">
        <v>118</v>
      </c>
      <c r="C74" s="4">
        <f>IFERROR(C71-Inputs!F245,"n/a")</f>
        <v>-0.5999999999999943</v>
      </c>
      <c r="D74" s="20">
        <f>IFERROR(D71-C71,"n/a")</f>
        <v>4.292000000000002</v>
      </c>
      <c r="E74" s="20">
        <f>IFERROR(E71-D71,"n/a")</f>
        <v>1.2139999999999986</v>
      </c>
      <c r="F74" s="20">
        <f>IFERROR(F71-E71,"n/a")</f>
        <v>0.13500000000000512</v>
      </c>
      <c r="G74" s="20" t="s">
        <v>34</v>
      </c>
      <c r="H74" s="20">
        <f>IFERROR(H71-F71,"n/a")</f>
        <v>1.6400000000000006</v>
      </c>
      <c r="I74" s="20">
        <f>IFERROR(I71-H71,"n/a")</f>
        <v>0</v>
      </c>
      <c r="J74" s="48">
        <f>IFERROR(J71-I71,"n/a")</f>
        <v>0.7993922690315571</v>
      </c>
      <c r="K74" s="45"/>
    </row>
    <row r="75">
      <c r="B75" s="49" t="s">
        <v>119</v>
      </c>
      <c r="C75" s="19">
        <f>IFERROR(C71/C40,"n/a")</f>
        <v>0.11345675801058157</v>
      </c>
      <c r="D75" s="19">
        <f>IFERROR(D71/D40,"n/a")</f>
        <v>0.115068482513437</v>
      </c>
      <c r="E75" s="19">
        <f>IFERROR(E71/E40,"n/a")</f>
        <v>0.11358967313901991</v>
      </c>
      <c r="F75" s="19">
        <f>IFERROR(F71/F40,"n/a")</f>
        <v>0.10973486616868972</v>
      </c>
      <c r="G75" s="19">
        <f>IFERROR(G71/G40,"n/a")</f>
        <v>0.11291103185589602</v>
      </c>
      <c r="H75" s="19">
        <f>IFERROR(H71/H40,"n/a")</f>
        <v>0.10801598495533617</v>
      </c>
      <c r="I75" s="19">
        <f>IFERROR(I71/I40,"n/a")</f>
        <v>0.10599769319492504</v>
      </c>
      <c r="J75" s="46">
        <f>IFERROR(J71/J40,"n/a")</f>
        <v>0.10446463343466866</v>
      </c>
      <c r="K75" s="45"/>
    </row>
    <row r="76">
      <c r="B76" s="65" t="s">
        <v>120</v>
      </c>
      <c r="C76" s="47">
        <f>IFERROR((C75-Inputs!C248)*10000,"n/a")</f>
        <v>-10.844316094723998</v>
      </c>
      <c r="D76" s="47">
        <f>IFERROR((D75-Inputs!D248)*10000,"n/a")</f>
        <v>22.708092347121095</v>
      </c>
      <c r="E76" s="47">
        <f>IFERROR((E75-Inputs!E248)*10000,"n/a")</f>
        <v>-18.26944657186816</v>
      </c>
      <c r="F76" s="47">
        <f>IFERROR((F75-Inputs!F248)*10000,"n/a")</f>
        <v>-48.82441758988346</v>
      </c>
      <c r="G76" s="47">
        <f>IFERROR((G75-Inputs!G248)*10000,"n/a")</f>
        <v>-14.399356077470642</v>
      </c>
      <c r="H76" s="62">
        <f>IFERROR((H75-C75)*10000,"n/a")</f>
        <v>-54.40773055245401</v>
      </c>
      <c r="I76" s="62">
        <f>IFERROR((I75-D75)*10000,"n/a")</f>
        <v>-90.70789318511963</v>
      </c>
      <c r="J76" s="64">
        <f>IFERROR((J75-E75)*10000,"n/a")</f>
        <v>-91.25039704351245</v>
      </c>
      <c r="K76" s="45"/>
    </row>
    <row r="77">
      <c r="B77" s="65" t="s">
        <v>121</v>
      </c>
      <c r="C77" s="47">
        <f>IFERROR((C75-Inputs!F248)*10000,"n/a")</f>
        <v>-11.605499170964928</v>
      </c>
      <c r="D77" s="62">
        <f>IFERROR((D75-C75)*10000,"n/a")</f>
        <v>16.11724502855433</v>
      </c>
      <c r="E77" s="62">
        <f>IFERROR((E75-D75)*10000,"n/a")</f>
        <v>-14.788093744170922</v>
      </c>
      <c r="F77" s="62">
        <f>IFERROR((F75-E75)*10000,"n/a")</f>
        <v>-38.548069703301934</v>
      </c>
      <c r="G77" s="62" t="s">
        <v>34</v>
      </c>
      <c r="H77" s="62">
        <f>IFERROR((H75-F75)*10000,"n/a")</f>
        <v>-17.188812133535485</v>
      </c>
      <c r="I77" s="62">
        <f>IFERROR((I75-H75)*10000,"n/a")</f>
        <v>-20.18291760411128</v>
      </c>
      <c r="J77" s="64">
        <f>IFERROR((J75-I75)*10000,"n/a")</f>
        <v>-15.330597602563751</v>
      </c>
      <c r="K77" s="45"/>
    </row>
    <row r="78">
      <c r="B78" s="49" t="s">
        <v>122</v>
      </c>
      <c r="C78" s="33">
        <f>'Segment - Sustain &amp; Climate'!C84</f>
        <v>0</v>
      </c>
      <c r="D78" s="33">
        <f>'Segment - Sustain &amp; Climate'!D84</f>
        <v>0</v>
      </c>
      <c r="E78" s="33">
        <f>'Segment - Sustain &amp; Climate'!E84</f>
        <v>0</v>
      </c>
      <c r="F78" s="33">
        <f>'Segment - Sustain &amp; Climate'!F84</f>
        <v>0</v>
      </c>
      <c r="G78" s="33">
        <f>'Segment - Sustain &amp; Climate'!G84</f>
        <v>0</v>
      </c>
      <c r="H78" s="33">
        <f>'Segment - Sustain &amp; Climate'!H84</f>
        <v>0</v>
      </c>
      <c r="I78" s="33">
        <f>'Segment - Sustain &amp; Climate'!I84</f>
        <v>0</v>
      </c>
      <c r="J78" s="69">
        <f>'Segment - Sustain &amp; Climate'!J84</f>
        <v>0.013260662229675483</v>
      </c>
      <c r="K78" s="45" t="s">
        <v>139</v>
      </c>
    </row>
    <row r="79">
      <c r="B79" s="49" t="s">
        <v>124</v>
      </c>
      <c r="C79" s="33">
        <f>'Segment - Sustain &amp; Climate'!C85</f>
        <v>-0.006</v>
      </c>
      <c r="D79" s="33">
        <f>'Segment - Sustain &amp; Climate'!D85</f>
        <v>0.042</v>
      </c>
      <c r="E79" s="33">
        <f>'Segment - Sustain &amp; Climate'!E85</f>
        <v>0.026</v>
      </c>
      <c r="F79" s="33">
        <f>'Segment - Sustain &amp; Climate'!F85</f>
        <v>0.027999999999999997</v>
      </c>
      <c r="G79" s="33">
        <f>'Segment - Sustain &amp; Climate'!G85</f>
        <v>0.024</v>
      </c>
      <c r="H79" s="33">
        <f>'Segment - Sustain &amp; Climate'!H85</f>
        <v>0.049</v>
      </c>
      <c r="I79" s="33">
        <f>'Segment - Sustain &amp; Climate'!I85</f>
        <v>0.004</v>
      </c>
      <c r="J79" s="69">
        <f>'Segment - Sustain &amp; Climate'!J85</f>
        <v>-0.004919611650485437</v>
      </c>
      <c r="K79" s="45" t="s">
        <v>139</v>
      </c>
    </row>
    <row r="80">
      <c r="B80" s="49" t="s">
        <v>125</v>
      </c>
      <c r="C80" s="19">
        <f>IFERROR((1+C72)/((1+C78)*(1+C79))-1,"n/a")</f>
        <v>0.09303295506178677</v>
      </c>
      <c r="D80" s="19">
        <f>IFERROR((1+D72)/((1+D78)*(1+D79))-1,"n/a")</f>
        <v>0.06852739688574205</v>
      </c>
      <c r="E80" s="19">
        <f>IFERROR((1+E72)/((1+E78)*(1+E79))-1,"n/a")</f>
        <v>0.05019105728259987</v>
      </c>
      <c r="F80" s="19">
        <f>IFERROR((1+F72)/((1+F78)*(1+F79))-1,"n/a")</f>
        <v>0.03030493692995062</v>
      </c>
      <c r="G80" s="19">
        <f>IFERROR((1+G72)/((1+G78)*(1+G79))-1,"n/a")</f>
        <v>0.05823349342929163</v>
      </c>
      <c r="H80" s="19">
        <f>IFERROR((1+H72)/((1+H78)*(1+H79))-1,"n/a")</f>
        <v>0.03531411379517091</v>
      </c>
      <c r="I80" s="19">
        <f>IFERROR((1+I72)/((1+I78)*(1+I79))-1,"n/a")</f>
        <v>0.029499887998477803</v>
      </c>
      <c r="J80" s="46">
        <f>IFERROR((1+J72)/((1+J78)*(1+J79))-1,"n/a")</f>
        <v>0.02012234334379337</v>
      </c>
      <c r="K80" s="45" t="s">
        <v>126</v>
      </c>
    </row>
    <row r="81">
      <c r="B81" s="2" t="s">
        <v>142</v>
      </c>
      <c r="C81" s="4">
        <f>'Segment - Private Assets'!C92</f>
        <v>67.279</v>
      </c>
      <c r="D81" s="4">
        <f>'Segment - Private Assets'!D92</f>
        <v>71.232</v>
      </c>
      <c r="E81" s="4">
        <f>'Segment - Private Assets'!E92</f>
        <v>69.971</v>
      </c>
      <c r="F81" s="4">
        <f>'Segment - Private Assets'!F92</f>
        <v>70.857</v>
      </c>
      <c r="G81" s="4">
        <f>'Segment - Private Assets'!G92</f>
        <v>279.339</v>
      </c>
      <c r="H81" s="4">
        <f>'Segment - Private Assets'!H92</f>
        <v>72.60000000000001</v>
      </c>
      <c r="I81" s="4">
        <f>'Segment - Private Assets'!I92</f>
        <v>74.7</v>
      </c>
      <c r="J81" s="61">
        <f>'Segment - Private Assets'!J92</f>
        <v>75.5198804366699</v>
      </c>
      <c r="K81" s="45" t="s">
        <v>139</v>
      </c>
    </row>
    <row r="82">
      <c r="B82" s="49" t="s">
        <v>116</v>
      </c>
      <c r="C82" s="33">
        <f>IFERROR(IF(OR(ABS(Inputs!C255)&lt;0.5,C81*Inputs!C255&lt;0),"n/m",C81/Inputs!C255-1),"n/a")</f>
        <v>0.04725806702675772</v>
      </c>
      <c r="D82" s="33">
        <f>IFERROR(IF(OR(ABS(Inputs!D255)&lt;0.5,D81*Inputs!D255&lt;0),"n/m",D81/Inputs!D255-1),"n/a")</f>
        <v>0.09744711664381356</v>
      </c>
      <c r="E82" s="33">
        <f>IFERROR(IF(OR(ABS(Inputs!E255)&lt;0.5,E81*Inputs!E255&lt;0),"n/m",E81/Inputs!E255-1),"n/a")</f>
        <v>0.09665538210770497</v>
      </c>
      <c r="F82" s="33">
        <f>IFERROR(IF(OR(ABS(Inputs!F255)&lt;0.5,F81*Inputs!F255&lt;0),"n/m",F81/Inputs!F255-1),"n/a")</f>
        <v>0.08445185876735173</v>
      </c>
      <c r="G82" s="33">
        <f>IFERROR(IF(OR(ABS(Inputs!G255)&lt;0.5,G81*Inputs!G255&lt;0),"n/m",G81/Inputs!G255-1),"n/a")</f>
        <v>0.08148110866341707</v>
      </c>
      <c r="H82" s="19">
        <f>IFERROR(IF(OR(ABS(C81)&lt;0.5,H81*C81&lt;0),"n/m",H81/C81-1),"n/a")</f>
        <v>0.07908857147103876</v>
      </c>
      <c r="I82" s="19">
        <f>IFERROR(IF(OR(ABS(D81)&lt;0.5,I81*D81&lt;0),"n/m",I81/D81-1),"n/a")</f>
        <v>0.04868598382749334</v>
      </c>
      <c r="J82" s="46">
        <f>IFERROR(IF(OR(ABS(E81)&lt;0.5,J81*E81&lt;0),"n/m",J81/E81-1),"n/a")</f>
        <v>0.07930257444755529</v>
      </c>
      <c r="K82" s="45"/>
    </row>
    <row r="83">
      <c r="B83" s="49" t="s">
        <v>117</v>
      </c>
      <c r="C83" s="33">
        <f>IFERROR(IF(OR(ABS(Inputs!F255)&lt;0.5,C81*Inputs!F255&lt;0),"n/m",C81/Inputs!F255-1),"n/a")</f>
        <v>0.029691302285005827</v>
      </c>
      <c r="D83" s="19">
        <f>IFERROR(IF(OR(ABS(C81)&lt;0.5,D81*C81&lt;0),"n/m",D81/C81-1),"n/a")</f>
        <v>0.058755332273071836</v>
      </c>
      <c r="E83" s="19">
        <f>IFERROR(IF(OR(ABS(D81)&lt;0.5,E81*D81&lt;0),"n/m",E81/D81-1),"n/a")</f>
        <v>-0.017702717879604646</v>
      </c>
      <c r="F83" s="19">
        <f>IFERROR(IF(OR(ABS(E81)&lt;0.5,F81*E81&lt;0),"n/m",F81/E81-1),"n/a")</f>
        <v>0.01266238870389147</v>
      </c>
      <c r="G83" s="19" t="s">
        <v>34</v>
      </c>
      <c r="H83" s="19">
        <f>IFERROR(IF(OR(ABS(F81)&lt;0.5,H81*F81&lt;0),"n/m",H81/F81-1),"n/a")</f>
        <v>0.024598839917016058</v>
      </c>
      <c r="I83" s="19">
        <f>IFERROR(IF(OR(ABS(H81)&lt;0.5,I81*H81&lt;0),"n/m",I81/H81-1),"n/a")</f>
        <v>0.02892561983471076</v>
      </c>
      <c r="J83" s="46">
        <f>IFERROR(IF(OR(ABS(I81)&lt;0.5,J81*I81&lt;0),"n/m",J81/I81-1),"n/a")</f>
        <v>0.010975641722488438</v>
      </c>
      <c r="K83" s="45"/>
    </row>
    <row r="84">
      <c r="B84" s="42" t="s">
        <v>118</v>
      </c>
      <c r="C84" s="4">
        <f>IFERROR(C81-Inputs!F255,"n/a")</f>
        <v>1.9399999999999977</v>
      </c>
      <c r="D84" s="20">
        <f>IFERROR(D81-C81,"n/a")</f>
        <v>3.953000000000003</v>
      </c>
      <c r="E84" s="20">
        <f>IFERROR(E81-D81,"n/a")</f>
        <v>-1.2609999999999957</v>
      </c>
      <c r="F84" s="20">
        <f>IFERROR(F81-E81,"n/a")</f>
        <v>0.8859999999999957</v>
      </c>
      <c r="G84" s="20" t="s">
        <v>34</v>
      </c>
      <c r="H84" s="20">
        <f>IFERROR(H81-F81,"n/a")</f>
        <v>1.7430000000000092</v>
      </c>
      <c r="I84" s="20">
        <f>IFERROR(I81-H81,"n/a")</f>
        <v>2.0999999999999943</v>
      </c>
      <c r="J84" s="48">
        <f>IFERROR(J81-I81,"n/a")</f>
        <v>0.8198804366698909</v>
      </c>
      <c r="K84" s="45"/>
    </row>
    <row r="85">
      <c r="B85" s="49" t="s">
        <v>119</v>
      </c>
      <c r="C85" s="19">
        <f>IFERROR(C81/C40,"n/a")</f>
        <v>0.09020736740204821</v>
      </c>
      <c r="D85" s="19">
        <f>IFERROR(D81/D40,"n/a")</f>
        <v>0.09218834729557811</v>
      </c>
      <c r="E85" s="19">
        <f>IFERROR(E81/E40,"n/a")</f>
        <v>0.08818843849331887</v>
      </c>
      <c r="F85" s="19">
        <f>IFERROR(F81/F40,"n/a")</f>
        <v>0.08614539565826332</v>
      </c>
      <c r="G85" s="19">
        <f>IFERROR(G81/G40,"n/a")</f>
        <v>0.08911872830367218</v>
      </c>
      <c r="H85" s="19">
        <f>IFERROR(H81/H40,"n/a")</f>
        <v>0.08533145275035263</v>
      </c>
      <c r="I85" s="19">
        <f>IFERROR(I81/I40,"n/a")</f>
        <v>0.08615916955017301</v>
      </c>
      <c r="J85" s="46">
        <f>IFERROR(J81/J40,"n/a")</f>
        <v>0.08510472866910354</v>
      </c>
      <c r="K85" s="45"/>
    </row>
    <row r="86">
      <c r="B86" s="65" t="s">
        <v>120</v>
      </c>
      <c r="C86" s="47">
        <f>IFERROR((C85-Inputs!C258)*10000,"n/a")</f>
        <v>-42.72495532073386</v>
      </c>
      <c r="D86" s="47">
        <f>IFERROR((D85-Inputs!D258)*10000,"n/a")</f>
        <v>5.051893279843927</v>
      </c>
      <c r="E86" s="47">
        <f>IFERROR((E85-Inputs!E258)*10000,"n/a")</f>
        <v>1.4709753389399727</v>
      </c>
      <c r="F86" s="47">
        <f>IFERROR((F85-Inputs!F258)*10000,"n/a")</f>
        <v>-17.338364693908204</v>
      </c>
      <c r="G86" s="47">
        <f>IFERROR((G85-Inputs!G258)*10000,"n/a")</f>
        <v>-13.159440919627425</v>
      </c>
      <c r="H86" s="62">
        <f>IFERROR((H85-C85)*10000,"n/a")</f>
        <v>-48.759146516955816</v>
      </c>
      <c r="I86" s="62">
        <f>IFERROR((I85-D85)*10000,"n/a")</f>
        <v>-60.29177745405095</v>
      </c>
      <c r="J86" s="64">
        <f>IFERROR((J85-E85)*10000,"n/a")</f>
        <v>-30.83709824215325</v>
      </c>
      <c r="K86" s="45"/>
    </row>
    <row r="87">
      <c r="B87" s="65" t="s">
        <v>121</v>
      </c>
      <c r="C87" s="47">
        <f>IFERROR((C85-Inputs!F258)*10000,"n/a")</f>
        <v>23.28135274394072</v>
      </c>
      <c r="D87" s="62">
        <f>IFERROR((D85-C85)*10000,"n/a")</f>
        <v>19.809798935298968</v>
      </c>
      <c r="E87" s="62">
        <f>IFERROR((E85-D85)*10000,"n/a")</f>
        <v>-39.99908802259242</v>
      </c>
      <c r="F87" s="62">
        <f>IFERROR((F85-E85)*10000,"n/a")</f>
        <v>-20.430428350555474</v>
      </c>
      <c r="G87" s="62" t="s">
        <v>34</v>
      </c>
      <c r="H87" s="62">
        <f>IFERROR((H85-F85)*10000,"n/a")</f>
        <v>-8.139429079106892</v>
      </c>
      <c r="I87" s="62">
        <f>IFERROR((I85-H85)*10000,"n/a")</f>
        <v>8.277167998203828</v>
      </c>
      <c r="J87" s="64">
        <f>IFERROR((J85-I85)*10000,"n/a")</f>
        <v>-10.54440881069471</v>
      </c>
      <c r="K87" s="45"/>
    </row>
    <row r="88">
      <c r="B88" s="49" t="s">
        <v>122</v>
      </c>
      <c r="C88" s="33">
        <f>'Segment - Private Assets'!C99</f>
        <v>0</v>
      </c>
      <c r="D88" s="33">
        <f>'Segment - Private Assets'!D99</f>
        <v>0</v>
      </c>
      <c r="E88" s="33">
        <f>'Segment - Private Assets'!E99</f>
        <v>0</v>
      </c>
      <c r="F88" s="33">
        <f>'Segment - Private Assets'!F99</f>
        <v>0</v>
      </c>
      <c r="G88" s="33">
        <f>'Segment - Private Assets'!G99</f>
        <v>0</v>
      </c>
      <c r="H88" s="33">
        <f>'Segment - Private Assets'!H99</f>
        <v>0</v>
      </c>
      <c r="I88" s="33">
        <f>'Segment - Private Assets'!I99</f>
        <v>0</v>
      </c>
      <c r="J88" s="69">
        <f>'Segment - Private Assets'!J99</f>
        <v>0</v>
      </c>
      <c r="K88" s="45" t="s">
        <v>139</v>
      </c>
    </row>
    <row r="89">
      <c r="B89" s="49" t="s">
        <v>124</v>
      </c>
      <c r="C89" s="33">
        <f>'Segment - Private Assets'!C100</f>
        <v>-0.005</v>
      </c>
      <c r="D89" s="33">
        <f>'Segment - Private Assets'!D100</f>
        <v>0.015</v>
      </c>
      <c r="E89" s="33">
        <f>'Segment - Private Assets'!E100</f>
        <v>0.014</v>
      </c>
      <c r="F89" s="33">
        <f>'Segment - Private Assets'!F100</f>
        <v>0.018000000000000002</v>
      </c>
      <c r="G89" s="33">
        <f>'Segment - Private Assets'!G100</f>
        <v>0.01</v>
      </c>
      <c r="H89" s="33">
        <f>'Segment - Private Assets'!H100</f>
        <v>0.026</v>
      </c>
      <c r="I89" s="33">
        <f>'Segment - Private Assets'!I100</f>
        <v>0.005</v>
      </c>
      <c r="J89" s="69">
        <f>'Segment - Private Assets'!J100</f>
        <v>-0.003974446556430521</v>
      </c>
      <c r="K89" s="45" t="s">
        <v>139</v>
      </c>
    </row>
    <row r="90">
      <c r="B90" s="49" t="s">
        <v>125</v>
      </c>
      <c r="C90" s="19">
        <f>IFERROR((1+C82)/((1+C88)*(1+C89))-1,"n/a")</f>
        <v>0.052520670378650935</v>
      </c>
      <c r="D90" s="19">
        <f>IFERROR((1+D82)/((1+D88)*(1+D89))-1,"n/a")</f>
        <v>0.08122868634858493</v>
      </c>
      <c r="E90" s="19">
        <f>IFERROR((1+E82)/((1+E88)*(1+E89))-1,"n/a")</f>
        <v>0.08151418353817053</v>
      </c>
      <c r="F90" s="19">
        <f>IFERROR((1+F82)/((1+F88)*(1+F89))-1,"n/a")</f>
        <v>0.06527687501704493</v>
      </c>
      <c r="G90" s="19">
        <f>IFERROR((1+G82)/((1+G88)*(1+G89))-1,"n/a")</f>
        <v>0.07077337491427427</v>
      </c>
      <c r="H90" s="19">
        <f>IFERROR((1+H82)/((1+H88)*(1+H89))-1,"n/a")</f>
        <v>0.05174324704779609</v>
      </c>
      <c r="I90" s="19">
        <f>IFERROR((1+I82)/((1+I88)*(1+I89))-1,"n/a")</f>
        <v>0.04346864062437161</v>
      </c>
      <c r="J90" s="46">
        <f>IFERROR((1+J82)/((1+J88)*(1+J89))-1,"n/a")</f>
        <v>0.08360932178503977</v>
      </c>
      <c r="K90" s="45" t="s">
        <v>126</v>
      </c>
    </row>
    <row r="91">
      <c r="B91" s="24" t="s">
        <v>143</v>
      </c>
      <c r="C91" s="60">
        <f>C51+C61+C71+C81</f>
        <v>745.826</v>
      </c>
      <c r="D91" s="60">
        <f>D51+D61+D71+D81</f>
        <v>772.6789999999999</v>
      </c>
      <c r="E91" s="60">
        <f>E51+E61+E71+E81</f>
        <v>793.4259999999999</v>
      </c>
      <c r="F91" s="60">
        <f>F51+F61+F71+F81</f>
        <v>822.528</v>
      </c>
      <c r="G91" s="60">
        <f>G51+G61+G71+G81</f>
        <v>3134.459</v>
      </c>
      <c r="H91" s="60">
        <f>H51+H61+H71+H81</f>
        <v>850.8</v>
      </c>
      <c r="I91" s="60">
        <f>I51+I61+I71+I81</f>
        <v>867</v>
      </c>
      <c r="J91" s="50">
        <f>J51+J61+J71+J81</f>
        <v>887.3758440650156</v>
      </c>
      <c r="K91" s="45"/>
    </row>
    <row r="92">
      <c r="B92" s="42" t="s">
        <v>144</v>
      </c>
      <c r="C92" s="20">
        <f>C91-C40</f>
        <v>0</v>
      </c>
      <c r="D92" s="20">
        <f>D91-D40</f>
        <v>0</v>
      </c>
      <c r="E92" s="20">
        <f>E91-E40</f>
        <v>0</v>
      </c>
      <c r="F92" s="20">
        <f>F91-F40</f>
        <v>0</v>
      </c>
      <c r="G92" s="20">
        <f>G91-G40</f>
        <v>0</v>
      </c>
      <c r="H92" s="20">
        <f>H91-H40</f>
        <v>0</v>
      </c>
      <c r="I92" s="20">
        <f>I91-I40</f>
        <v>0</v>
      </c>
      <c r="J92" s="48">
        <f>J91-J40</f>
        <v>0</v>
      </c>
      <c r="K92" s="45"/>
    </row>
    <row r="93">
      <c r="B93" s="24" t="s">
        <v>145</v>
      </c>
      <c r="C93" s="55" t="b">
        <f>AND(ABS(C92)&lt;0.001,ABS(C49)&lt;0.01)</f>
        <v>1</v>
      </c>
      <c r="D93" s="55" t="b">
        <f>AND(ABS(D92)&lt;0.001,ABS(D49)&lt;0.01)</f>
        <v>1</v>
      </c>
      <c r="E93" s="55" t="b">
        <f>AND(ABS(E92)&lt;0.001,ABS(E49)&lt;0.01)</f>
        <v>1</v>
      </c>
      <c r="F93" s="55" t="b">
        <f>AND(ABS(F92)&lt;0.001,ABS(F49)&lt;0.01)</f>
        <v>1</v>
      </c>
      <c r="G93" s="55" t="b">
        <f>AND(ABS(G92)&lt;0.001,ABS(G49)&lt;0.01)</f>
        <v>1</v>
      </c>
      <c r="H93" s="55" t="b">
        <f>AND(ABS(H92)&lt;0.001,ABS(H49)&lt;0.01)</f>
        <v>1</v>
      </c>
      <c r="I93" s="55" t="b">
        <f>AND(ABS(I92)&lt;0.001,ABS(I49)&lt;0.01)</f>
        <v>1</v>
      </c>
      <c r="J93" s="66" t="b">
        <f>ABS(J92)&lt;0.001</f>
        <v>1</v>
      </c>
      <c r="K93" s="45" t="s">
        <v>146</v>
      </c>
    </row>
    <row r="94">
      <c r="B94" s="24" t="s">
        <v>147</v>
      </c>
      <c r="C94" s="10"/>
      <c r="D94" s="10"/>
      <c r="E94" s="10"/>
      <c r="F94" s="10"/>
      <c r="G94" s="10"/>
      <c r="H94" s="10"/>
      <c r="I94" s="10"/>
      <c r="J94" s="51"/>
      <c r="K94" s="45"/>
    </row>
    <row r="95">
      <c r="B95" s="24" t="s">
        <v>148</v>
      </c>
      <c r="C95" s="73">
        <f>'Segment - Index'!C26+'Segment - Analytics'!C26+'Segment - Sustain &amp; Climate'!C26+'Segment - Private Assets'!C26</f>
        <v>2282.021</v>
      </c>
      <c r="D95" s="73">
        <f>'Segment - Index'!D26+'Segment - Analytics'!D26+'Segment - Sustain &amp; Climate'!D26+'Segment - Private Assets'!D26</f>
        <v>2349.424</v>
      </c>
      <c r="E95" s="73">
        <f>'Segment - Index'!E26+'Segment - Analytics'!E26+'Segment - Sustain &amp; Climate'!E26+'Segment - Private Assets'!E26</f>
        <v>2386.7560000000003</v>
      </c>
      <c r="F95" s="73">
        <f>'Segment - Index'!F26+'Segment - Analytics'!F26+'Segment - Sustain &amp; Climate'!F26+'Segment - Private Assets'!F26</f>
        <v>2449.1119999999996</v>
      </c>
      <c r="G95" s="73">
        <f>'Segment - Index'!G26+'Segment - Analytics'!G26+'Segment - Sustain &amp; Climate'!G26+'Segment - Private Assets'!G26</f>
        <v>2449.1119999999996</v>
      </c>
      <c r="H95" s="73">
        <f>'Segment - Index'!H26+'Segment - Analytics'!H26+'Segment - Sustain &amp; Climate'!H26+'Segment - Private Assets'!H26</f>
        <v>2485.2999999999997</v>
      </c>
      <c r="I95" s="73">
        <f>'Segment - Index'!I26+'Segment - Analytics'!I26+'Segment - Sustain &amp; Climate'!I26+'Segment - Private Assets'!I26</f>
        <v>2531.5</v>
      </c>
      <c r="J95" s="72">
        <f>'Segment - Index'!J26+'Segment - Analytics'!J26+'Segment - Sustain &amp; Climate'!J26+'Segment - Private Assets'!J26</f>
        <v>2581</v>
      </c>
      <c r="K95" s="45" t="s">
        <v>149</v>
      </c>
    </row>
    <row r="96">
      <c r="B96" s="49" t="s">
        <v>150</v>
      </c>
      <c r="C96" s="9">
        <v>0.083</v>
      </c>
      <c r="D96" s="9">
        <v>0.087</v>
      </c>
      <c r="E96" s="9">
        <v>0.08</v>
      </c>
      <c r="F96" s="9">
        <v>0.092</v>
      </c>
      <c r="G96" s="9">
        <v>0.092</v>
      </c>
      <c r="H96" s="19">
        <f>IFERROR(IF(OR(ABS(C95)&lt;0.5,H95*C95&lt;0),"n/m",H95/C95-1),"n/a")</f>
        <v>0.08907849664836553</v>
      </c>
      <c r="I96" s="19">
        <f>IFERROR(IF(OR(ABS(D95)&lt;0.5,I95*D95&lt;0),"n/m",I95/D95-1),"n/a")</f>
        <v>0.077498144225989</v>
      </c>
      <c r="J96" s="46">
        <f>IFERROR(IF(OR(ABS(E95)&lt;0.5,J95*E95&lt;0),"n/m",J95/E95-1),"n/a")</f>
        <v>0.08138410461731316</v>
      </c>
      <c r="K96" s="45"/>
    </row>
    <row r="97">
      <c r="B97" s="42" t="s">
        <v>118</v>
      </c>
      <c r="C97" s="20" t="s">
        <v>34</v>
      </c>
      <c r="D97" s="20">
        <f>IFERROR(D95-C95,"n/a")</f>
        <v>67.40299999999979</v>
      </c>
      <c r="E97" s="20">
        <f>IFERROR(E95-D95,"n/a")</f>
        <v>37.332000000000335</v>
      </c>
      <c r="F97" s="20">
        <f>IFERROR(F95-E95,"n/a")</f>
        <v>62.35599999999931</v>
      </c>
      <c r="G97" s="20" t="s">
        <v>34</v>
      </c>
      <c r="H97" s="20">
        <f>IFERROR(H95-F95,"n/a")</f>
        <v>36.1880000000001</v>
      </c>
      <c r="I97" s="20">
        <f>IFERROR(I95-H95,"n/a")</f>
        <v>46.20000000000027</v>
      </c>
      <c r="J97" s="48">
        <f>IFERROR(J95-I95,"n/a")</f>
        <v>49.5</v>
      </c>
      <c r="K97" s="45"/>
    </row>
    <row r="98">
      <c r="B98" s="2" t="s">
        <v>151</v>
      </c>
      <c r="C98" s="4">
        <f>'Segment - Index'!C128</f>
        <v>697.227</v>
      </c>
      <c r="D98" s="4">
        <f>'Segment - Index'!D128</f>
        <v>757.298</v>
      </c>
      <c r="E98" s="4">
        <f>'Segment - Index'!E128</f>
        <v>799.744</v>
      </c>
      <c r="F98" s="4">
        <f>'Segment - Index'!F128</f>
        <v>852.464</v>
      </c>
      <c r="G98" s="4">
        <f>'Segment - Index'!G128</f>
        <v>852.464</v>
      </c>
      <c r="H98" s="4">
        <f>'Segment - Index'!H128</f>
        <v>872</v>
      </c>
      <c r="I98" s="4">
        <f>'Segment - Index'!I128</f>
        <v>948.2</v>
      </c>
      <c r="J98" s="61">
        <f>'Segment - Index'!J128</f>
        <v>965.1760999999999</v>
      </c>
      <c r="K98" s="45"/>
    </row>
    <row r="99">
      <c r="B99" s="49" t="s">
        <v>150</v>
      </c>
      <c r="C99" s="33">
        <f>'Segment - Index'!C129</f>
        <v>0.1255926810250052</v>
      </c>
      <c r="D99" s="33">
        <f>'Segment - Index'!D129</f>
        <v>0.17081805968049402</v>
      </c>
      <c r="E99" s="33">
        <f>'Segment - Index'!E129</f>
        <v>0.17013674498362752</v>
      </c>
      <c r="F99" s="33">
        <f>'Segment - Index'!F129</f>
        <v>0.2562116949774462</v>
      </c>
      <c r="G99" s="33">
        <f>'Segment - Index'!G129</f>
        <v>0.2562116949774462</v>
      </c>
      <c r="H99" s="19">
        <f>IFERROR(IF(OR(ABS(C98)&lt;0.5,H98*C98&lt;0),"n/m",H98/C98-1),"n/a")</f>
        <v>0.2506687205171343</v>
      </c>
      <c r="I99" s="19">
        <f>IFERROR(IF(OR(ABS(D98)&lt;0.5,I98*D98&lt;0),"n/m",I98/D98-1),"n/a")</f>
        <v>0.25208306373448774</v>
      </c>
      <c r="J99" s="46">
        <f>IFERROR(IF(OR(ABS(E98)&lt;0.5,J98*E98&lt;0),"n/m",J98/E98-1),"n/a")</f>
        <v>0.2068563190220869</v>
      </c>
      <c r="K99" s="45"/>
    </row>
    <row r="100">
      <c r="B100" s="42" t="s">
        <v>118</v>
      </c>
      <c r="C100" s="20" t="s">
        <v>34</v>
      </c>
      <c r="D100" s="20">
        <f>IFERROR(D98-C98,"n/a")</f>
        <v>60.071000000000026</v>
      </c>
      <c r="E100" s="20">
        <f>IFERROR(E98-D98,"n/a")</f>
        <v>42.446000000000026</v>
      </c>
      <c r="F100" s="20">
        <f>IFERROR(F98-E98,"n/a")</f>
        <v>52.72000000000003</v>
      </c>
      <c r="G100" s="20" t="s">
        <v>34</v>
      </c>
      <c r="H100" s="20">
        <f>IFERROR(H98-F98,"n/a")</f>
        <v>19.535999999999945</v>
      </c>
      <c r="I100" s="20">
        <f>IFERROR(I98-H98,"n/a")</f>
        <v>76.20000000000005</v>
      </c>
      <c r="J100" s="48">
        <f>IFERROR(J98-I98,"n/a")</f>
        <v>16.97609999999986</v>
      </c>
      <c r="K100" s="45"/>
    </row>
    <row r="101">
      <c r="B101" s="24" t="s">
        <v>152</v>
      </c>
      <c r="C101" s="60">
        <f>C95+C98</f>
        <v>2979.248</v>
      </c>
      <c r="D101" s="60">
        <f>D95+D98</f>
        <v>3106.7219999999998</v>
      </c>
      <c r="E101" s="60">
        <f>E95+E98</f>
        <v>3186.5000000000005</v>
      </c>
      <c r="F101" s="60">
        <f>F95+F98</f>
        <v>3301.5759999999996</v>
      </c>
      <c r="G101" s="60">
        <f>G95+G98</f>
        <v>3301.5759999999996</v>
      </c>
      <c r="H101" s="60">
        <f>H95+H98</f>
        <v>3357.2999999999997</v>
      </c>
      <c r="I101" s="60">
        <f>I95+I98</f>
        <v>3479.7</v>
      </c>
      <c r="J101" s="50">
        <f>J95+J98</f>
        <v>3546.1760999999997</v>
      </c>
      <c r="K101" s="45"/>
    </row>
    <row r="102">
      <c r="B102" s="49" t="s">
        <v>150</v>
      </c>
      <c r="C102" s="9">
        <v>0.093</v>
      </c>
      <c r="D102" s="9">
        <v>0.107</v>
      </c>
      <c r="E102" s="9">
        <v>0.101</v>
      </c>
      <c r="F102" s="9">
        <v>0.13</v>
      </c>
      <c r="G102" s="9">
        <v>0.13</v>
      </c>
      <c r="H102" s="19">
        <f>IFERROR(IF(OR(ABS(C101)&lt;0.5,H101*C101&lt;0),"n/m",H101/C101-1),"n/a")</f>
        <v>0.12689510910135704</v>
      </c>
      <c r="I102" s="19">
        <f>IFERROR(IF(OR(ABS(D101)&lt;0.5,I101*D101&lt;0),"n/m",I101/D101-1),"n/a")</f>
        <v>0.12005515781585863</v>
      </c>
      <c r="J102" s="46">
        <f>IFERROR(IF(OR(ABS(E101)&lt;0.5,J101*E101&lt;0),"n/m",J101/E101-1),"n/a")</f>
        <v>0.11287497254040457</v>
      </c>
      <c r="K102" s="45"/>
    </row>
    <row r="103">
      <c r="B103" s="42" t="s">
        <v>118</v>
      </c>
      <c r="C103" s="20" t="s">
        <v>34</v>
      </c>
      <c r="D103" s="20">
        <f>IFERROR(D101-C101,"n/a")</f>
        <v>127.4739999999997</v>
      </c>
      <c r="E103" s="20">
        <f>IFERROR(E101-D101,"n/a")</f>
        <v>79.7780000000007</v>
      </c>
      <c r="F103" s="20">
        <f>IFERROR(F101-E101,"n/a")</f>
        <v>115.07599999999911</v>
      </c>
      <c r="G103" s="20" t="s">
        <v>34</v>
      </c>
      <c r="H103" s="20">
        <f>IFERROR(H101-F101,"n/a")</f>
        <v>55.72400000000016</v>
      </c>
      <c r="I103" s="20">
        <f>IFERROR(I101-H101,"n/a")</f>
        <v>122.40000000000009</v>
      </c>
      <c r="J103" s="48">
        <f>IFERROR(J101-I101,"n/a")</f>
        <v>66.47609999999986</v>
      </c>
      <c r="K103" s="45"/>
    </row>
    <row r="104">
      <c r="B104" s="24" t="s">
        <v>153</v>
      </c>
      <c r="C104" s="73">
        <f>'Segment - Index'!C19+'Segment - Analytics'!C19+'Segment - Sustain &amp; Climate'!C19+'Segment - Private Assets'!C19</f>
        <v>26.054</v>
      </c>
      <c r="D104" s="73">
        <f>'Segment - Index'!D19+'Segment - Analytics'!D19+'Segment - Sustain &amp; Climate'!D19+'Segment - Private Assets'!D19</f>
        <v>43.842000000000006</v>
      </c>
      <c r="E104" s="73">
        <f>'Segment - Index'!E19+'Segment - Analytics'!E19+'Segment - Sustain &amp; Climate'!E19+'Segment - Private Assets'!E19</f>
        <v>38.79</v>
      </c>
      <c r="F104" s="73">
        <f>'Segment - Index'!F19+'Segment - Analytics'!F19+'Segment - Sustain &amp; Climate'!F19+'Segment - Private Assets'!F19</f>
        <v>65.11300000000001</v>
      </c>
      <c r="G104" s="73">
        <f>'Segment - Index'!G19+'Segment - Analytics'!G19+'Segment - Sustain &amp; Climate'!G19+'Segment - Private Assets'!G19</f>
        <v>173.799</v>
      </c>
      <c r="H104" s="73">
        <f>'Segment - Index'!H19+'Segment - Analytics'!H19+'Segment - Sustain &amp; Climate'!H19+'Segment - Private Assets'!H19</f>
        <v>39.599999999999994</v>
      </c>
      <c r="I104" s="73">
        <f>'Segment - Index'!I19+'Segment - Analytics'!I19+'Segment - Sustain &amp; Climate'!I19+'Segment - Private Assets'!I19</f>
        <v>47.5</v>
      </c>
      <c r="J104" s="72">
        <f>'Segment - Index'!J19+'Segment - Analytics'!J19+'Segment - Sustain &amp; Climate'!J19+'Segment - Private Assets'!J19</f>
        <v>39.5</v>
      </c>
      <c r="K104" s="45"/>
    </row>
    <row r="105">
      <c r="B105" s="49" t="s">
        <v>150</v>
      </c>
      <c r="C105" s="9">
        <v>0.332</v>
      </c>
      <c r="D105" s="9">
        <v>-0.209</v>
      </c>
      <c r="E105" s="9">
        <v>0.109</v>
      </c>
      <c r="F105" s="9">
        <v>0.17800000000000002</v>
      </c>
      <c r="G105" s="9">
        <v>0.052000000000000005</v>
      </c>
      <c r="H105" s="19">
        <f>IFERROR(IF(OR(ABS(C104)&lt;0.5,H104*C104&lt;0),"n/m",H104/C104-1),"n/a")</f>
        <v>0.5199201658094725</v>
      </c>
      <c r="I105" s="19">
        <f>IFERROR(IF(OR(ABS(D104)&lt;0.5,I104*D104&lt;0),"n/m",I104/D104-1),"n/a")</f>
        <v>0.08343597463619346</v>
      </c>
      <c r="J105" s="46">
        <f>IFERROR(IF(OR(ABS(E104)&lt;0.5,J104*E104&lt;0),"n/m",J104/E104-1),"n/a")</f>
        <v>0.018303686517143536</v>
      </c>
      <c r="K105" s="45"/>
    </row>
    <row r="106">
      <c r="B106" s="42" t="s">
        <v>118</v>
      </c>
      <c r="C106" s="20" t="s">
        <v>34</v>
      </c>
      <c r="D106" s="20">
        <f>IFERROR(D104-C104,"n/a")</f>
        <v>17.788000000000007</v>
      </c>
      <c r="E106" s="20">
        <f>IFERROR(E104-D104,"n/a")</f>
        <v>-5.052000000000007</v>
      </c>
      <c r="F106" s="20">
        <f>IFERROR(F104-E104,"n/a")</f>
        <v>26.323000000000015</v>
      </c>
      <c r="G106" s="20" t="s">
        <v>34</v>
      </c>
      <c r="H106" s="20">
        <f>IFERROR(H104-F104,"n/a")</f>
        <v>-25.51300000000002</v>
      </c>
      <c r="I106" s="20">
        <f>IFERROR(I104-H104,"n/a")</f>
        <v>7.900000000000006</v>
      </c>
      <c r="J106" s="48">
        <f>IFERROR(J104-I104,"n/a")</f>
        <v>-8</v>
      </c>
      <c r="K106" s="45"/>
    </row>
    <row r="107">
      <c r="B107" s="2" t="s">
        <v>154</v>
      </c>
      <c r="C107" s="10"/>
      <c r="D107" s="10"/>
      <c r="E107" s="10"/>
      <c r="F107" s="10"/>
      <c r="G107" s="10"/>
      <c r="H107" s="10"/>
      <c r="I107" s="10"/>
      <c r="J107" s="51"/>
      <c r="K107" s="45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1:K22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155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156</v>
      </c>
      <c r="C9" s="10"/>
      <c r="D9" s="10"/>
      <c r="E9" s="10"/>
      <c r="F9" s="10"/>
      <c r="G9" s="10"/>
      <c r="H9" s="10"/>
      <c r="I9" s="10"/>
      <c r="J9" s="51"/>
      <c r="K9" s="45" t="s">
        <v>157</v>
      </c>
    </row>
    <row r="10">
      <c r="B10" s="2" t="s">
        <v>158</v>
      </c>
      <c r="C10" s="4">
        <f>Inputs!F219</f>
        <v>934.251</v>
      </c>
      <c r="D10" s="20">
        <f>C26</f>
        <v>948.387</v>
      </c>
      <c r="E10" s="20">
        <f>D26</f>
        <v>968.712</v>
      </c>
      <c r="F10" s="20">
        <f>E26</f>
        <v>988.125</v>
      </c>
      <c r="G10" s="20">
        <f>C10</f>
        <v>934.251</v>
      </c>
      <c r="H10" s="20">
        <f>F26</f>
        <v>1021.651</v>
      </c>
      <c r="I10" s="20">
        <f>H26</f>
        <v>1049.8</v>
      </c>
      <c r="J10" s="48">
        <f>I26</f>
        <v>1078.8</v>
      </c>
      <c r="K10" s="45" t="s">
        <v>159</v>
      </c>
    </row>
    <row r="11">
      <c r="B11" s="49" t="s">
        <v>150</v>
      </c>
      <c r="C11" s="19" t="s">
        <v>34</v>
      </c>
      <c r="D11" s="98">
        <f>IFERROR(IF(OR(ABS(Inputs!C219)&lt;0.5,D10*Inputs!C219&lt;0),"n/m",D10/Inputs!C219-1),"n/a")</f>
        <v>0.09018646306431188</v>
      </c>
      <c r="E11" s="98">
        <f>IFERROR(IF(OR(ABS(Inputs!D219)&lt;0.5,E10*Inputs!D219&lt;0),"n/m",E10/Inputs!D219-1),"n/a")</f>
        <v>0.0864470022980306</v>
      </c>
      <c r="F11" s="98">
        <f>IFERROR(IF(OR(ABS(Inputs!E219)&lt;0.5,F10*Inputs!E219&lt;0),"n/m",F10/Inputs!E219-1),"n/a")</f>
        <v>0.08967989739778104</v>
      </c>
      <c r="G11" s="19" t="s">
        <v>34</v>
      </c>
      <c r="H11" s="19">
        <f>IFERROR(IF(OR(ABS(C10)&lt;0.5,H10*C10&lt;0),"n/m",H10/C10-1),"n/a")</f>
        <v>0.09355087658455807</v>
      </c>
      <c r="I11" s="19">
        <f>IFERROR(IF(OR(ABS(D10)&lt;0.5,I10*D10&lt;0),"n/m",I10/D10-1),"n/a")</f>
        <v>0.10693208574136936</v>
      </c>
      <c r="J11" s="46">
        <f>IFERROR(IF(OR(ABS(E10)&lt;0.5,J10*E10&lt;0),"n/m",J10/E10-1),"n/a")</f>
        <v>0.11364368357158772</v>
      </c>
      <c r="K11" s="45" t="s">
        <v>160</v>
      </c>
    </row>
    <row r="12">
      <c r="B12" s="42" t="s">
        <v>118</v>
      </c>
      <c r="C12" s="20" t="s">
        <v>34</v>
      </c>
      <c r="D12" s="20">
        <f>IFERROR(D10-C10,"n/a")</f>
        <v>14.135999999999967</v>
      </c>
      <c r="E12" s="20">
        <f>IFERROR(E10-D10,"n/a")</f>
        <v>20.325000000000045</v>
      </c>
      <c r="F12" s="20">
        <f>IFERROR(F10-E10,"n/a")</f>
        <v>19.41300000000001</v>
      </c>
      <c r="G12" s="20" t="s">
        <v>34</v>
      </c>
      <c r="H12" s="20">
        <f>IFERROR(H10-F10,"n/a")</f>
        <v>33.525999999999954</v>
      </c>
      <c r="I12" s="20">
        <f>IFERROR(I10-H10,"n/a")</f>
        <v>28.149</v>
      </c>
      <c r="J12" s="48">
        <f>IFERROR(J10-I10,"n/a")</f>
        <v>29</v>
      </c>
      <c r="K12" s="45"/>
    </row>
    <row r="13">
      <c r="B13" s="2" t="s">
        <v>161</v>
      </c>
      <c r="C13" s="12">
        <v>22.424</v>
      </c>
      <c r="D13" s="12">
        <v>29.274</v>
      </c>
      <c r="E13" s="12">
        <v>29.443</v>
      </c>
      <c r="F13" s="12">
        <v>45.557</v>
      </c>
      <c r="G13" s="20">
        <f>SUM(C13:F13)</f>
        <v>126.69800000000001</v>
      </c>
      <c r="H13" s="12">
        <v>32.8</v>
      </c>
      <c r="I13" s="12">
        <v>34.4</v>
      </c>
      <c r="J13" s="53">
        <v>31</v>
      </c>
      <c r="K13" s="45" t="s">
        <v>162</v>
      </c>
    </row>
    <row r="14">
      <c r="B14" s="49" t="s">
        <v>150</v>
      </c>
      <c r="C14" s="9">
        <v>-0.046</v>
      </c>
      <c r="D14" s="9">
        <v>-0.065</v>
      </c>
      <c r="E14" s="9">
        <v>0.165</v>
      </c>
      <c r="F14" s="9">
        <v>0.195</v>
      </c>
      <c r="G14" s="9">
        <v>0.07200000000000001</v>
      </c>
      <c r="H14" s="19">
        <f>IFERROR(IF(OR(ABS(C13)&lt;0.5,H13*C13&lt;0),"n/m",H13/C13-1),"n/a")</f>
        <v>0.4627185158758471</v>
      </c>
      <c r="I14" s="19">
        <f>IFERROR(IF(OR(ABS(D13)&lt;0.5,I13*D13&lt;0),"n/m",I13/D13-1),"n/a")</f>
        <v>0.17510418801666994</v>
      </c>
      <c r="J14" s="46">
        <f>IFERROR(IF(OR(ABS(E13)&lt;0.5,J13*E13&lt;0),"n/m",J13/E13-1),"n/a")</f>
        <v>0.05288183948646541</v>
      </c>
      <c r="K14" s="45"/>
    </row>
    <row r="15">
      <c r="B15" s="42" t="s">
        <v>118</v>
      </c>
      <c r="C15" s="20" t="s">
        <v>34</v>
      </c>
      <c r="D15" s="20">
        <f>IFERROR(D13-C13,"n/a")</f>
        <v>6.850000000000001</v>
      </c>
      <c r="E15" s="20">
        <f>IFERROR(E13-D13,"n/a")</f>
        <v>0.16900000000000048</v>
      </c>
      <c r="F15" s="20">
        <f>IFERROR(F13-E13,"n/a")</f>
        <v>16.114</v>
      </c>
      <c r="G15" s="20" t="s">
        <v>34</v>
      </c>
      <c r="H15" s="20">
        <f>IFERROR(H13-F13,"n/a")</f>
        <v>-12.757000000000005</v>
      </c>
      <c r="I15" s="20">
        <f>IFERROR(I13-H13,"n/a")</f>
        <v>1.6000000000000014</v>
      </c>
      <c r="J15" s="48">
        <f>IFERROR(J13-I13,"n/a")</f>
        <v>-3.3999999999999986</v>
      </c>
      <c r="K15" s="45"/>
    </row>
    <row r="16">
      <c r="B16" s="2" t="s">
        <v>163</v>
      </c>
      <c r="C16" s="12">
        <v>-8.254</v>
      </c>
      <c r="D16" s="12">
        <v>-9.241</v>
      </c>
      <c r="E16" s="12">
        <v>-9.911</v>
      </c>
      <c r="F16" s="12">
        <v>-10.873</v>
      </c>
      <c r="G16" s="20">
        <f>SUM(C16:F16)</f>
        <v>-38.278999999999996</v>
      </c>
      <c r="H16" s="12">
        <v>-8</v>
      </c>
      <c r="I16" s="12">
        <v>-6.3</v>
      </c>
      <c r="J16" s="53">
        <v>-9</v>
      </c>
      <c r="K16" s="45" t="s">
        <v>164</v>
      </c>
    </row>
    <row r="17">
      <c r="B17" s="49" t="s">
        <v>150</v>
      </c>
      <c r="C17" s="9">
        <v>-0.439</v>
      </c>
      <c r="D17" s="9">
        <v>-0.104</v>
      </c>
      <c r="E17" s="9">
        <v>0.005</v>
      </c>
      <c r="F17" s="9">
        <v>0.002</v>
      </c>
      <c r="G17" s="9">
        <v>-0.163</v>
      </c>
      <c r="H17" s="19">
        <f>IFERROR(IF(OR(ABS(C16)&lt;0.5,H16*C16&lt;0),"n/m",H16/C16-1),"n/a")</f>
        <v>-0.030772958565543962</v>
      </c>
      <c r="I17" s="19">
        <f>IFERROR(IF(OR(ABS(D16)&lt;0.5,I16*D16&lt;0),"n/m",I16/D16-1),"n/a")</f>
        <v>-0.31825560004328535</v>
      </c>
      <c r="J17" s="46">
        <f>IFERROR(IF(OR(ABS(E16)&lt;0.5,J16*E16&lt;0),"n/m",J16/E16-1),"n/a")</f>
        <v>-0.09191807083039039</v>
      </c>
      <c r="K17" s="45"/>
    </row>
    <row r="18">
      <c r="B18" s="42" t="s">
        <v>118</v>
      </c>
      <c r="C18" s="20" t="s">
        <v>34</v>
      </c>
      <c r="D18" s="20">
        <f>IFERROR(D16-C16,"n/a")</f>
        <v>-0.9870000000000001</v>
      </c>
      <c r="E18" s="20">
        <f>IFERROR(E16-D16,"n/a")</f>
        <v>-0.6699999999999999</v>
      </c>
      <c r="F18" s="20">
        <f>IFERROR(F16-E16,"n/a")</f>
        <v>-0.9619999999999997</v>
      </c>
      <c r="G18" s="20" t="s">
        <v>34</v>
      </c>
      <c r="H18" s="20">
        <f>IFERROR(H16-F16,"n/a")</f>
        <v>2.8729999999999993</v>
      </c>
      <c r="I18" s="20">
        <f>IFERROR(I16-H16,"n/a")</f>
        <v>1.7000000000000002</v>
      </c>
      <c r="J18" s="48">
        <f>IFERROR(J16-I16,"n/a")</f>
        <v>-2.7</v>
      </c>
      <c r="K18" s="45"/>
    </row>
    <row r="19">
      <c r="B19" s="24" t="s">
        <v>165</v>
      </c>
      <c r="C19" s="60">
        <f>C13+C16</f>
        <v>14.17</v>
      </c>
      <c r="D19" s="60">
        <f>D13+D16</f>
        <v>20.033</v>
      </c>
      <c r="E19" s="60">
        <f>E13+E16</f>
        <v>19.532000000000004</v>
      </c>
      <c r="F19" s="60">
        <f>F13+F16</f>
        <v>34.684000000000005</v>
      </c>
      <c r="G19" s="60">
        <f>G13+G16</f>
        <v>88.41900000000001</v>
      </c>
      <c r="H19" s="60">
        <f>H13+H16</f>
        <v>24.799999999999997</v>
      </c>
      <c r="I19" s="60">
        <f>I13+I16</f>
        <v>28.099999999999998</v>
      </c>
      <c r="J19" s="50">
        <f>J13+J16</f>
        <v>22</v>
      </c>
      <c r="K19" s="45"/>
    </row>
    <row r="20">
      <c r="B20" s="49" t="s">
        <v>150</v>
      </c>
      <c r="C20" s="9">
        <v>0.608</v>
      </c>
      <c r="D20" s="9">
        <v>-0.045</v>
      </c>
      <c r="E20" s="9">
        <v>0.268</v>
      </c>
      <c r="F20" s="9">
        <v>0.273</v>
      </c>
      <c r="G20" s="9">
        <v>0.22</v>
      </c>
      <c r="H20" s="19">
        <f>IFERROR(IF(OR(ABS(C19)&lt;0.5,H19*C19&lt;0),"n/m",H19/C19-1),"n/a")</f>
        <v>0.7501764290755115</v>
      </c>
      <c r="I20" s="19">
        <f>IFERROR(IF(OR(ABS(D19)&lt;0.5,I19*D19&lt;0),"n/m",I19/D19-1),"n/a")</f>
        <v>0.402685568811461</v>
      </c>
      <c r="J20" s="46">
        <f>IFERROR(IF(OR(ABS(E19)&lt;0.5,J19*E19&lt;0),"n/m",J19/E19-1),"n/a")</f>
        <v>0.12635674790088047</v>
      </c>
      <c r="K20" s="45"/>
    </row>
    <row r="21">
      <c r="B21" s="42" t="s">
        <v>118</v>
      </c>
      <c r="C21" s="20" t="s">
        <v>34</v>
      </c>
      <c r="D21" s="20">
        <f>IFERROR(D19-C19,"n/a")</f>
        <v>5.863000000000001</v>
      </c>
      <c r="E21" s="20">
        <f>IFERROR(E19-D19,"n/a")</f>
        <v>-0.5009999999999977</v>
      </c>
      <c r="F21" s="20">
        <f>IFERROR(F19-E19,"n/a")</f>
        <v>15.152000000000001</v>
      </c>
      <c r="G21" s="20" t="s">
        <v>34</v>
      </c>
      <c r="H21" s="20">
        <f>IFERROR(H19-F19,"n/a")</f>
        <v>-9.884000000000007</v>
      </c>
      <c r="I21" s="20">
        <f>IFERROR(I19-H19,"n/a")</f>
        <v>3.3000000000000007</v>
      </c>
      <c r="J21" s="48">
        <f>IFERROR(J19-I19,"n/a")</f>
        <v>-6.099999999999998</v>
      </c>
      <c r="K21" s="45"/>
    </row>
    <row r="22">
      <c r="B22" s="2" t="s">
        <v>166</v>
      </c>
      <c r="C22" s="20" t="s">
        <v>34</v>
      </c>
      <c r="D22" s="20" t="s">
        <v>34</v>
      </c>
      <c r="E22" s="20" t="s">
        <v>34</v>
      </c>
      <c r="F22" s="20" t="s">
        <v>34</v>
      </c>
      <c r="G22" s="20" t="s">
        <v>34</v>
      </c>
      <c r="H22" s="20" t="s">
        <v>34</v>
      </c>
      <c r="I22" s="20" t="s">
        <v>34</v>
      </c>
      <c r="J22" s="53">
        <v>0</v>
      </c>
      <c r="K22" s="45" t="s">
        <v>167</v>
      </c>
    </row>
    <row r="23">
      <c r="B23" s="2" t="s">
        <v>168</v>
      </c>
      <c r="C23" s="20">
        <f>C26-C10-C19</f>
        <v>-0.03400000000003267</v>
      </c>
      <c r="D23" s="20">
        <f>D26-D10-D19</f>
        <v>0.2920000000000442</v>
      </c>
      <c r="E23" s="20">
        <f>E26-E10-E19</f>
        <v>-0.11899999999999267</v>
      </c>
      <c r="F23" s="20">
        <f>F26-F10-F19</f>
        <v>-1.158000000000051</v>
      </c>
      <c r="G23" s="20">
        <f>SUM(C23:F23)</f>
        <v>-1.019000000000032</v>
      </c>
      <c r="H23" s="20">
        <f>H26-H10-H19</f>
        <v>3.3490000000000038</v>
      </c>
      <c r="I23" s="20">
        <f>I26-I10-I19</f>
        <v>0.9000000000000021</v>
      </c>
      <c r="J23" s="53">
        <v>0</v>
      </c>
      <c r="K23" s="45" t="s">
        <v>169</v>
      </c>
    </row>
    <row r="24">
      <c r="B24" s="49" t="s">
        <v>150</v>
      </c>
      <c r="C24" s="19" t="s">
        <v>34</v>
      </c>
      <c r="D24" s="19" t="s">
        <v>34</v>
      </c>
      <c r="E24" s="19" t="s">
        <v>34</v>
      </c>
      <c r="F24" s="19" t="s">
        <v>34</v>
      </c>
      <c r="G24" s="19" t="s">
        <v>34</v>
      </c>
      <c r="H24" s="19" t="str">
        <f>IFERROR(IF(OR(ABS(C23)&lt;0.5,H23*C23&lt;0),"n/m",H23/C23-1),"n/a")</f>
        <v>n/m</v>
      </c>
      <c r="I24" s="19" t="str">
        <f>IFERROR(IF(OR(ABS(D23)&lt;0.5,I23*D23&lt;0),"n/m",I23/D23-1),"n/a")</f>
        <v>n/m</v>
      </c>
      <c r="J24" s="46" t="str">
        <f>IFERROR(IF(OR(J23=0,E23&lt;=0,ABS(E23)&lt;0.5,J23*E23&lt;0),"n/m",J23/E23-1),"n/a")</f>
        <v>n/m</v>
      </c>
      <c r="K24" s="45" t="s">
        <v>170</v>
      </c>
    </row>
    <row r="25">
      <c r="B25" s="42" t="s">
        <v>118</v>
      </c>
      <c r="C25" s="20" t="s">
        <v>34</v>
      </c>
      <c r="D25" s="20">
        <f>IFERROR(D23-C23,"n/a")</f>
        <v>0.3260000000000769</v>
      </c>
      <c r="E25" s="20">
        <f>IFERROR(E23-D23,"n/a")</f>
        <v>-0.4110000000000369</v>
      </c>
      <c r="F25" s="20">
        <f>IFERROR(F23-E23,"n/a")</f>
        <v>-1.0390000000000583</v>
      </c>
      <c r="G25" s="20" t="s">
        <v>34</v>
      </c>
      <c r="H25" s="20">
        <f>IFERROR(H23-F23,"n/a")</f>
        <v>4.507000000000055</v>
      </c>
      <c r="I25" s="20">
        <f>IFERROR(I23-H23,"n/a")</f>
        <v>-2.4490000000000016</v>
      </c>
      <c r="J25" s="48">
        <f>IFERROR(J23-I23,"n/a")</f>
        <v>-0.9000000000000021</v>
      </c>
      <c r="K25" s="45"/>
    </row>
    <row r="26">
      <c r="B26" s="24" t="s">
        <v>171</v>
      </c>
      <c r="C26" s="44">
        <v>948.387</v>
      </c>
      <c r="D26" s="44">
        <v>968.712</v>
      </c>
      <c r="E26" s="44">
        <v>988.125</v>
      </c>
      <c r="F26" s="44">
        <v>1021.651</v>
      </c>
      <c r="G26" s="60">
        <f>F26</f>
        <v>1021.651</v>
      </c>
      <c r="H26" s="44">
        <v>1049.8</v>
      </c>
      <c r="I26" s="44">
        <v>1078.8</v>
      </c>
      <c r="J26" s="50">
        <f>J10+J19+J22+J23</f>
        <v>1100.8</v>
      </c>
      <c r="K26" s="45" t="s">
        <v>172</v>
      </c>
    </row>
    <row r="27">
      <c r="B27" s="49" t="s">
        <v>150</v>
      </c>
      <c r="C27" s="33">
        <f>IFERROR(IF(OR(ABS(Inputs!C219)&lt;0.5,C26*Inputs!C219&lt;0),"n/m",C26/Inputs!C219-1),"n/a")</f>
        <v>0.09018646306431188</v>
      </c>
      <c r="D27" s="33">
        <f>IFERROR(IF(OR(ABS(Inputs!D219)&lt;0.5,D26*Inputs!D219&lt;0),"n/m",D26/Inputs!D219-1),"n/a")</f>
        <v>0.0864470022980306</v>
      </c>
      <c r="E27" s="33">
        <f>IFERROR(IF(OR(ABS(Inputs!E219)&lt;0.5,E26*Inputs!E219&lt;0),"n/m",E26/Inputs!E219-1),"n/a")</f>
        <v>0.08967989739778104</v>
      </c>
      <c r="F27" s="33">
        <f>IFERROR(IF(OR(ABS(Inputs!F219)&lt;0.5,F26*Inputs!F219&lt;0),"n/m",F26/Inputs!F219-1),"n/a")</f>
        <v>0.09355087658455807</v>
      </c>
      <c r="G27" s="33">
        <f>IFERROR(IF(OR(ABS(Inputs!G219)&lt;0.5,G26*Inputs!G219&lt;0),"n/m",G26/Inputs!G219-1),"n/a")</f>
        <v>0.09355087658455807</v>
      </c>
      <c r="H27" s="19">
        <f>IFERROR(IF(OR(ABS(C26)&lt;0.5,H26*C26&lt;0),"n/m",H26/C26-1),"n/a")</f>
        <v>0.10693208574136936</v>
      </c>
      <c r="I27" s="19">
        <f>IFERROR(IF(OR(ABS(D26)&lt;0.5,I26*D26&lt;0),"n/m",I26/D26-1),"n/a")</f>
        <v>0.11364368357158772</v>
      </c>
      <c r="J27" s="46">
        <f>IFERROR(IF(OR(ABS(E26)&lt;0.5,J26*E26&lt;0),"n/m",J26/E26-1),"n/a")</f>
        <v>0.1140290955091714</v>
      </c>
      <c r="K27" s="45"/>
    </row>
    <row r="28">
      <c r="B28" s="42" t="s">
        <v>118</v>
      </c>
      <c r="C28" s="4">
        <f>IFERROR(C26-Inputs!F219,"n/a")</f>
        <v>14.135999999999967</v>
      </c>
      <c r="D28" s="20">
        <f>IFERROR(D26-C26,"n/a")</f>
        <v>20.325000000000045</v>
      </c>
      <c r="E28" s="20">
        <f>IFERROR(E26-D26,"n/a")</f>
        <v>19.41300000000001</v>
      </c>
      <c r="F28" s="20">
        <f>IFERROR(F26-E26,"n/a")</f>
        <v>33.525999999999954</v>
      </c>
      <c r="G28" s="20" t="s">
        <v>34</v>
      </c>
      <c r="H28" s="20">
        <f>IFERROR(H26-F26,"n/a")</f>
        <v>28.149</v>
      </c>
      <c r="I28" s="20">
        <f>IFERROR(I26-H26,"n/a")</f>
        <v>29</v>
      </c>
      <c r="J28" s="48">
        <f>IFERROR(J26-I26,"n/a")</f>
        <v>22</v>
      </c>
      <c r="K28" s="45"/>
    </row>
    <row r="29">
      <c r="B29" s="2" t="s">
        <v>173</v>
      </c>
      <c r="C29" s="20">
        <f>AVERAGE(C10,C26)</f>
        <v>941.319</v>
      </c>
      <c r="D29" s="20">
        <f>AVERAGE(D10,D26)</f>
        <v>958.5495</v>
      </c>
      <c r="E29" s="20">
        <f>AVERAGE(E10,E26)</f>
        <v>978.4185</v>
      </c>
      <c r="F29" s="20">
        <f>AVERAGE(F10,F26)</f>
        <v>1004.8879999999999</v>
      </c>
      <c r="G29" s="20">
        <f>AVERAGE(C29,D29,E29,F29)</f>
        <v>970.7937499999999</v>
      </c>
      <c r="H29" s="20">
        <f>AVERAGE(H10,H26)</f>
        <v>1035.7255</v>
      </c>
      <c r="I29" s="20">
        <f>AVERAGE(I10,I26)</f>
        <v>1064.3</v>
      </c>
      <c r="J29" s="48">
        <f>AVERAGE(J10,J26)</f>
        <v>1089.8</v>
      </c>
      <c r="K29" s="45"/>
    </row>
    <row r="30">
      <c r="B30" s="49" t="s">
        <v>150</v>
      </c>
      <c r="C30" s="19" t="s">
        <v>34</v>
      </c>
      <c r="D30" s="98">
        <f>IFERROR(IF(COUNT(Inputs!C219,Inputs!D219)&lt;2,"n/a",IF(OR(ABS((Inputs!C219+Inputs!D219)/2)&lt;0.5,D29*(Inputs!C219+Inputs!D219)&lt;0),"n/m",D29/((Inputs!C219+Inputs!D219)/2)-1)),"n/a")</f>
        <v>0.08829369810009724</v>
      </c>
      <c r="E30" s="98">
        <f>IFERROR(IF(COUNT(Inputs!D219,Inputs!E219)&lt;2,"n/a",IF(OR(ABS((Inputs!D219+Inputs!E219)/2)&lt;0.5,E29*(Inputs!D219+Inputs!E219)&lt;0),"n/m",E29/((Inputs!D219+Inputs!E219)/2)-1)),"n/a")</f>
        <v>0.08807708475586562</v>
      </c>
      <c r="F30" s="98">
        <f>IFERROR(IF(COUNT(Inputs!E219,Inputs!F219)&lt;2,"n/a",IF(OR(ABS((Inputs!E219+Inputs!F219)/2)&lt;0.5,F29*(Inputs!E219+Inputs!F219)&lt;0),"n/m",F29/((Inputs!E219+Inputs!F219)/2)-1)),"n/a")</f>
        <v>0.09164424291737228</v>
      </c>
      <c r="G30" s="19" t="s">
        <v>34</v>
      </c>
      <c r="H30" s="19">
        <f>IFERROR(IF(OR(ABS(C29)&lt;0.5,H29*C29&lt;0),"n/m",H29/C29-1),"n/a")</f>
        <v>0.10029171832290662</v>
      </c>
      <c r="I30" s="19">
        <f>IFERROR(IF(OR(ABS(D29)&lt;0.5,I29*D29&lt;0),"n/m",I29/D29-1),"n/a")</f>
        <v>0.11032346269024185</v>
      </c>
      <c r="J30" s="46">
        <f>IFERROR(IF(OR(ABS(E29)&lt;0.5,J29*E29&lt;0),"n/m",J29/E29-1),"n/a")</f>
        <v>0.11383830129949501</v>
      </c>
      <c r="K30" s="45" t="s">
        <v>174</v>
      </c>
    </row>
    <row r="31">
      <c r="B31" s="42" t="s">
        <v>118</v>
      </c>
      <c r="C31" s="20" t="s">
        <v>34</v>
      </c>
      <c r="D31" s="20">
        <f>IFERROR(D29-C29,"n/a")</f>
        <v>17.230500000000006</v>
      </c>
      <c r="E31" s="20">
        <f>IFERROR(E29-D29,"n/a")</f>
        <v>19.869000000000028</v>
      </c>
      <c r="F31" s="20">
        <f>IFERROR(F29-E29,"n/a")</f>
        <v>26.469499999999925</v>
      </c>
      <c r="G31" s="20" t="s">
        <v>34</v>
      </c>
      <c r="H31" s="20">
        <f>IFERROR(H29-F29,"n/a")</f>
        <v>30.83750000000009</v>
      </c>
      <c r="I31" s="20">
        <f>IFERROR(I29-H29,"n/a")</f>
        <v>28.574499999999944</v>
      </c>
      <c r="J31" s="48">
        <f>IFERROR(J29-I29,"n/a")</f>
        <v>25.5</v>
      </c>
      <c r="K31" s="45"/>
    </row>
    <row r="32">
      <c r="B32" s="24" t="s">
        <v>175</v>
      </c>
      <c r="C32" s="10"/>
      <c r="D32" s="10"/>
      <c r="E32" s="10"/>
      <c r="F32" s="10"/>
      <c r="G32" s="10"/>
      <c r="H32" s="10"/>
      <c r="I32" s="10"/>
      <c r="J32" s="51"/>
      <c r="K32" s="45" t="s">
        <v>176</v>
      </c>
    </row>
    <row r="33">
      <c r="B33" s="2" t="s">
        <v>177</v>
      </c>
      <c r="C33" s="12">
        <v>738.4</v>
      </c>
      <c r="D33" s="12">
        <v>751.5</v>
      </c>
      <c r="E33" s="12">
        <v>766.5</v>
      </c>
      <c r="F33" s="12">
        <v>788.4</v>
      </c>
      <c r="G33" s="20">
        <f>F33</f>
        <v>788.4</v>
      </c>
      <c r="H33" s="12">
        <v>803.5</v>
      </c>
      <c r="I33" s="12">
        <v>822.3</v>
      </c>
      <c r="J33" s="48">
        <f>J26*I33/I26</f>
        <v>839.0691879866519</v>
      </c>
      <c r="K33" s="45" t="s">
        <v>178</v>
      </c>
    </row>
    <row r="34">
      <c r="B34" s="49" t="s">
        <v>150</v>
      </c>
      <c r="C34" s="33" t="str">
        <f>IFERROR(IF(OR(ABS(Inputs!C224)&lt;0.5,C33*Inputs!C224&lt;0),"n/m",C33/Inputs!C224-1),"n/a")</f>
        <v>n/a</v>
      </c>
      <c r="D34" s="33" t="str">
        <f>IFERROR(IF(OR(ABS(Inputs!D224)&lt;0.5,D33*Inputs!D224&lt;0),"n/m",D33/Inputs!D224-1),"n/a")</f>
        <v>n/a</v>
      </c>
      <c r="E34" s="33">
        <f>IFERROR(IF(OR(ABS(Inputs!E224)&lt;0.5,E33*Inputs!E224&lt;0),"n/m",E33/Inputs!E224-1),"n/a")</f>
        <v>0.08385180995475117</v>
      </c>
      <c r="F34" s="33">
        <f>IFERROR(IF(OR(ABS(Inputs!F224)&lt;0.5,F33*Inputs!F224&lt;0),"n/m",F33/Inputs!F224-1),"n/a")</f>
        <v>0.0819267188143269</v>
      </c>
      <c r="G34" s="33">
        <f>IFERROR(IF(OR(ABS(Inputs!G224)&lt;0.5,G33*Inputs!G224&lt;0),"n/m",G33/Inputs!G224-1),"n/a")</f>
        <v>0.0819267188143269</v>
      </c>
      <c r="H34" s="19">
        <f>IFERROR(IF(OR(ABS(C33)&lt;0.5,H33*C33&lt;0),"n/m",H33/C33-1),"n/a")</f>
        <v>0.08816359696641385</v>
      </c>
      <c r="I34" s="19">
        <f>IFERROR(IF(OR(ABS(D33)&lt;0.5,I33*D33&lt;0),"n/m",I33/D33-1),"n/a")</f>
        <v>0.09421157684630743</v>
      </c>
      <c r="J34" s="46">
        <f>IFERROR(IF(OR(ABS(E33)&lt;0.5,J33*E33&lt;0),"n/m",J33/E33-1),"n/a")</f>
        <v>0.0946760443400545</v>
      </c>
      <c r="K34" s="45"/>
    </row>
    <row r="35">
      <c r="B35" s="42" t="s">
        <v>118</v>
      </c>
      <c r="C35" s="4">
        <f>IFERROR(C33-Inputs!F224,"n/a")</f>
        <v>9.699999999999932</v>
      </c>
      <c r="D35" s="20">
        <f>IFERROR(D33-C33,"n/a")</f>
        <v>13.100000000000023</v>
      </c>
      <c r="E35" s="20">
        <f>IFERROR(E33-D33,"n/a")</f>
        <v>15</v>
      </c>
      <c r="F35" s="20">
        <f>IFERROR(F33-E33,"n/a")</f>
        <v>21.899999999999977</v>
      </c>
      <c r="G35" s="20" t="s">
        <v>34</v>
      </c>
      <c r="H35" s="20">
        <f>IFERROR(H33-F33,"n/a")</f>
        <v>15.100000000000023</v>
      </c>
      <c r="I35" s="20">
        <f>IFERROR(I33-H33,"n/a")</f>
        <v>18.799999999999955</v>
      </c>
      <c r="J35" s="48">
        <f>IFERROR(J33-I33,"n/a")</f>
        <v>16.7691879866519</v>
      </c>
      <c r="K35" s="45"/>
    </row>
    <row r="36">
      <c r="B36" s="49" t="s">
        <v>179</v>
      </c>
      <c r="C36" s="19">
        <f>C33/C26</f>
        <v>0.7785851134610661</v>
      </c>
      <c r="D36" s="19">
        <f>D33/D26</f>
        <v>0.7757723657805415</v>
      </c>
      <c r="E36" s="19">
        <f>E33/E26</f>
        <v>0.7757115749525617</v>
      </c>
      <c r="F36" s="19">
        <f>F33/F26</f>
        <v>0.7716920944627862</v>
      </c>
      <c r="G36" s="19">
        <f>G33/G26</f>
        <v>0.7716920944627862</v>
      </c>
      <c r="H36" s="19">
        <f>H33/H26</f>
        <v>0.7653838826443132</v>
      </c>
      <c r="I36" s="19">
        <f>I33/I26</f>
        <v>0.7622358175750834</v>
      </c>
      <c r="J36" s="46">
        <f>J33/J26</f>
        <v>0.7622358175750835</v>
      </c>
      <c r="K36" s="45"/>
    </row>
    <row r="37">
      <c r="B37" s="65" t="s">
        <v>120</v>
      </c>
      <c r="C37" s="47" t="str">
        <f>IFERROR((C36-Inputs!C225)*10000,"n/a")</f>
        <v>n/a</v>
      </c>
      <c r="D37" s="47" t="str">
        <f>IFERROR((D36-Inputs!D225)*10000,"n/a")</f>
        <v>n/a</v>
      </c>
      <c r="E37" s="47">
        <f>IFERROR((E36-Inputs!E225)*10000,"n/a")</f>
        <v>-41.71155916215752</v>
      </c>
      <c r="F37" s="47">
        <f>IFERROR((F36-Inputs!F225)*10000,"n/a")</f>
        <v>-82.91015001372858</v>
      </c>
      <c r="G37" s="47">
        <f>IFERROR((G36-Inputs!G225)*10000,"n/a")</f>
        <v>-82.91015001372858</v>
      </c>
      <c r="H37" s="62">
        <f>IFERROR((H36-C36)*10000,"n/a")</f>
        <v>-132.0123081675284</v>
      </c>
      <c r="I37" s="62">
        <f>IFERROR((I36-D36)*10000,"n/a")</f>
        <v>-135.36548205458132</v>
      </c>
      <c r="J37" s="64">
        <f>IFERROR((J36-E36)*10000,"n/a")</f>
        <v>-134.75757377478192</v>
      </c>
      <c r="K37" s="45"/>
    </row>
    <row r="38">
      <c r="B38" s="65" t="s">
        <v>121</v>
      </c>
      <c r="C38" s="47">
        <f>IFERROR((C36-Inputs!F225)*10000,"n/a")</f>
        <v>-13.979960030929828</v>
      </c>
      <c r="D38" s="62">
        <f>IFERROR((D36-C36)*10000,"n/a")</f>
        <v>-28.1274768052453</v>
      </c>
      <c r="E38" s="62">
        <f>IFERROR((E36-D36)*10000,"n/a")</f>
        <v>-0.607908279798286</v>
      </c>
      <c r="F38" s="62">
        <f>IFERROR((F36-E36)*10000,"n/a")</f>
        <v>-40.194804897755176</v>
      </c>
      <c r="G38" s="62" t="s">
        <v>34</v>
      </c>
      <c r="H38" s="62">
        <f>IFERROR((H36-F36)*10000,"n/a")</f>
        <v>-63.08211818472964</v>
      </c>
      <c r="I38" s="62">
        <f>IFERROR((I36-H36)*10000,"n/a")</f>
        <v>-31.48065069229822</v>
      </c>
      <c r="J38" s="64">
        <f>IFERROR((J36-I36)*10000,"n/a")</f>
        <v>0</v>
      </c>
      <c r="K38" s="45"/>
    </row>
    <row r="39">
      <c r="B39" s="2" t="s">
        <v>180</v>
      </c>
      <c r="C39" s="12">
        <v>102.3</v>
      </c>
      <c r="D39" s="12">
        <v>107</v>
      </c>
      <c r="E39" s="12">
        <v>109.7</v>
      </c>
      <c r="F39" s="12">
        <v>116.7</v>
      </c>
      <c r="G39" s="20">
        <f>F39</f>
        <v>116.7</v>
      </c>
      <c r="H39" s="12">
        <v>126.5</v>
      </c>
      <c r="I39" s="12">
        <v>133.7</v>
      </c>
      <c r="J39" s="48">
        <f>J26*I39/I26</f>
        <v>136.42654801631443</v>
      </c>
      <c r="K39" s="45" t="s">
        <v>178</v>
      </c>
    </row>
    <row r="40">
      <c r="B40" s="49" t="s">
        <v>150</v>
      </c>
      <c r="C40" s="33" t="str">
        <f>IFERROR(IF(OR(ABS(Inputs!C226)&lt;0.5,C39*Inputs!C226&lt;0),"n/m",C39/Inputs!C226-1),"n/a")</f>
        <v>n/a</v>
      </c>
      <c r="D40" s="33" t="str">
        <f>IFERROR(IF(OR(ABS(Inputs!D226)&lt;0.5,D39*Inputs!D226&lt;0),"n/m",D39/Inputs!D226-1),"n/a")</f>
        <v>n/a</v>
      </c>
      <c r="E40" s="33">
        <f>IFERROR(IF(OR(ABS(Inputs!E226)&lt;0.5,E39*Inputs!E226&lt;0),"n/m",E39/Inputs!E226-1),"n/a")</f>
        <v>0.1239754098360657</v>
      </c>
      <c r="F40" s="33">
        <f>IFERROR(IF(OR(ABS(Inputs!F226)&lt;0.5,F39*Inputs!F226&lt;0),"n/m",F39/Inputs!F226-1),"n/a")</f>
        <v>0.16467065868263475</v>
      </c>
      <c r="G40" s="33">
        <f>IFERROR(IF(OR(ABS(Inputs!G226)&lt;0.5,G39*Inputs!G226&lt;0),"n/m",G39/Inputs!G226-1),"n/a")</f>
        <v>0.16467065868263475</v>
      </c>
      <c r="H40" s="19">
        <f>IFERROR(IF(OR(ABS(C39)&lt;0.5,H39*C39&lt;0),"n/m",H39/C39-1),"n/a")</f>
        <v>0.23655913978494625</v>
      </c>
      <c r="I40" s="19">
        <f>IFERROR(IF(OR(ABS(D39)&lt;0.5,I39*D39&lt;0),"n/m",I39/D39-1),"n/a")</f>
        <v>0.24953271028037372</v>
      </c>
      <c r="J40" s="46">
        <f>IFERROR(IF(OR(ABS(E39)&lt;0.5,J39*E39&lt;0),"n/m",J39/E39-1),"n/a")</f>
        <v>0.24363307216330377</v>
      </c>
      <c r="K40" s="45"/>
    </row>
    <row r="41">
      <c r="B41" s="42" t="s">
        <v>118</v>
      </c>
      <c r="C41" s="4">
        <f>IFERROR(C39-Inputs!F226,"n/a")</f>
        <v>2.0999999999999943</v>
      </c>
      <c r="D41" s="20">
        <f>IFERROR(D39-C39,"n/a")</f>
        <v>4.700000000000003</v>
      </c>
      <c r="E41" s="20">
        <f>IFERROR(E39-D39,"n/a")</f>
        <v>2.700000000000003</v>
      </c>
      <c r="F41" s="20">
        <f>IFERROR(F39-E39,"n/a")</f>
        <v>7</v>
      </c>
      <c r="G41" s="20" t="s">
        <v>34</v>
      </c>
      <c r="H41" s="20">
        <f>IFERROR(H39-F39,"n/a")</f>
        <v>9.799999999999997</v>
      </c>
      <c r="I41" s="20">
        <f>IFERROR(I39-H39,"n/a")</f>
        <v>7.199999999999989</v>
      </c>
      <c r="J41" s="48">
        <f>IFERROR(J39-I39,"n/a")</f>
        <v>2.726548016314439</v>
      </c>
      <c r="K41" s="45"/>
    </row>
    <row r="42">
      <c r="B42" s="49" t="s">
        <v>179</v>
      </c>
      <c r="C42" s="19">
        <f>C39/C26</f>
        <v>0.10786735794564878</v>
      </c>
      <c r="D42" s="19">
        <f>D39/D26</f>
        <v>0.1104559456267704</v>
      </c>
      <c r="E42" s="19">
        <f>E39/E26</f>
        <v>0.11101834282099937</v>
      </c>
      <c r="F42" s="19">
        <f>F39/F26</f>
        <v>0.11422687395206388</v>
      </c>
      <c r="G42" s="19">
        <f>G39/G26</f>
        <v>0.11422687395206388</v>
      </c>
      <c r="H42" s="19">
        <f>H39/H26</f>
        <v>0.12049914269384646</v>
      </c>
      <c r="I42" s="19">
        <f>I39/I26</f>
        <v>0.1239340007415647</v>
      </c>
      <c r="J42" s="46">
        <f>J39/J26</f>
        <v>0.12393400074156471</v>
      </c>
      <c r="K42" s="45"/>
    </row>
    <row r="43">
      <c r="B43" s="65" t="s">
        <v>120</v>
      </c>
      <c r="C43" s="47" t="str">
        <f>IFERROR((C42-Inputs!C227)*10000,"n/a")</f>
        <v>n/a</v>
      </c>
      <c r="D43" s="47" t="str">
        <f>IFERROR((D42-Inputs!D227)*10000,"n/a")</f>
        <v>n/a</v>
      </c>
      <c r="E43" s="47">
        <f>IFERROR((E42-Inputs!E227)*10000,"n/a")</f>
        <v>33.874681988377844</v>
      </c>
      <c r="F43" s="47">
        <f>IFERROR((F42-Inputs!F227)*10000,"n/a")</f>
        <v>69.75182490133403</v>
      </c>
      <c r="G43" s="47">
        <f>IFERROR((G42-Inputs!G227)*10000,"n/a")</f>
        <v>69.75182490133403</v>
      </c>
      <c r="H43" s="62">
        <f>IFERROR((H42-C42)*10000,"n/a")</f>
        <v>126.31784748197677</v>
      </c>
      <c r="I43" s="62">
        <f>IFERROR((I42-D42)*10000,"n/a")</f>
        <v>134.78055114794302</v>
      </c>
      <c r="J43" s="64">
        <f>IFERROR((J42-E42)*10000,"n/a")</f>
        <v>129.15657920565343</v>
      </c>
      <c r="K43" s="45"/>
    </row>
    <row r="44">
      <c r="B44" s="65" t="s">
        <v>121</v>
      </c>
      <c r="C44" s="47">
        <f>IFERROR((C42-Inputs!F227)*10000,"n/a")</f>
        <v>6.1566648371830235</v>
      </c>
      <c r="D44" s="62">
        <f>IFERROR((D42-C42)*10000,"n/a")</f>
        <v>25.885876811216207</v>
      </c>
      <c r="E44" s="62">
        <f>IFERROR((E42-D42)*10000,"n/a")</f>
        <v>5.623971942289724</v>
      </c>
      <c r="F44" s="62">
        <f>IFERROR((F42-E42)*10000,"n/a")</f>
        <v>32.08531131064507</v>
      </c>
      <c r="G44" s="62" t="s">
        <v>34</v>
      </c>
      <c r="H44" s="62">
        <f>IFERROR((H42-F42)*10000,"n/a")</f>
        <v>62.722687417825775</v>
      </c>
      <c r="I44" s="62">
        <f>IFERROR((I42-H42)*10000,"n/a")</f>
        <v>34.34858047718245</v>
      </c>
      <c r="J44" s="64">
        <f>IFERROR((J42-I42)*10000,"n/a")</f>
        <v>0</v>
      </c>
      <c r="K44" s="45"/>
    </row>
    <row r="45">
      <c r="B45" s="2" t="s">
        <v>181</v>
      </c>
      <c r="C45" s="12">
        <v>107.6</v>
      </c>
      <c r="D45" s="12">
        <v>110.2</v>
      </c>
      <c r="E45" s="12">
        <v>111.9</v>
      </c>
      <c r="F45" s="12">
        <v>116.5</v>
      </c>
      <c r="G45" s="20">
        <f>F45</f>
        <v>116.5</v>
      </c>
      <c r="H45" s="12">
        <v>119.9</v>
      </c>
      <c r="I45" s="12">
        <v>122.9</v>
      </c>
      <c r="J45" s="48">
        <f>J26*I45/I26</f>
        <v>125.40630329996293</v>
      </c>
      <c r="K45" s="45" t="s">
        <v>178</v>
      </c>
    </row>
    <row r="46">
      <c r="B46" s="49" t="s">
        <v>150</v>
      </c>
      <c r="C46" s="33" t="str">
        <f>IFERROR(IF(OR(ABS(Inputs!C228)&lt;0.5,C45*Inputs!C228&lt;0),"n/m",C45/Inputs!C228-1),"n/a")</f>
        <v>n/a</v>
      </c>
      <c r="D46" s="33" t="str">
        <f>IFERROR(IF(OR(ABS(Inputs!D228)&lt;0.5,D45*Inputs!D228&lt;0),"n/m",D45/Inputs!D228-1),"n/a")</f>
        <v>n/a</v>
      </c>
      <c r="E46" s="33">
        <f>IFERROR(IF(OR(ABS(Inputs!E228)&lt;0.5,E45*Inputs!E228&lt;0),"n/m",E45/Inputs!E228-1),"n/a")</f>
        <v>0.09705882352941186</v>
      </c>
      <c r="F46" s="33">
        <f>IFERROR(IF(OR(ABS(Inputs!F228)&lt;0.5,F45*Inputs!F228&lt;0),"n/m",F45/Inputs!F228-1),"n/a")</f>
        <v>0.10636277302943964</v>
      </c>
      <c r="G46" s="33">
        <f>IFERROR(IF(OR(ABS(Inputs!G228)&lt;0.5,G45*Inputs!G228&lt;0),"n/m",G45/Inputs!G228-1),"n/a")</f>
        <v>0.10636277302943964</v>
      </c>
      <c r="H46" s="19">
        <f>IFERROR(IF(OR(ABS(C45)&lt;0.5,H45*C45&lt;0),"n/m",H45/C45-1),"n/a")</f>
        <v>0.11431226765799263</v>
      </c>
      <c r="I46" s="19">
        <f>IFERROR(IF(OR(ABS(D45)&lt;0.5,I45*D45&lt;0),"n/m",I45/D45-1),"n/a")</f>
        <v>0.11524500907441015</v>
      </c>
      <c r="J46" s="46">
        <f>IFERROR(IF(OR(ABS(E45)&lt;0.5,J45*E45&lt;0),"n/m",J45/E45-1),"n/a")</f>
        <v>0.12069976139377059</v>
      </c>
      <c r="K46" s="45"/>
    </row>
    <row r="47">
      <c r="B47" s="42" t="s">
        <v>118</v>
      </c>
      <c r="C47" s="4">
        <f>IFERROR(C45-Inputs!F228,"n/a")</f>
        <v>2.299999999999997</v>
      </c>
      <c r="D47" s="20">
        <f>IFERROR(D45-C45,"n/a")</f>
        <v>2.6000000000000085</v>
      </c>
      <c r="E47" s="20">
        <f>IFERROR(E45-D45,"n/a")</f>
        <v>1.7000000000000028</v>
      </c>
      <c r="F47" s="20">
        <f>IFERROR(F45-E45,"n/a")</f>
        <v>4.599999999999994</v>
      </c>
      <c r="G47" s="20" t="s">
        <v>34</v>
      </c>
      <c r="H47" s="20">
        <f>IFERROR(H45-F45,"n/a")</f>
        <v>3.4000000000000057</v>
      </c>
      <c r="I47" s="20">
        <f>IFERROR(I45-H45,"n/a")</f>
        <v>3</v>
      </c>
      <c r="J47" s="48">
        <f>IFERROR(J45-I45,"n/a")</f>
        <v>2.506303299962923</v>
      </c>
      <c r="K47" s="45"/>
    </row>
    <row r="48">
      <c r="B48" s="49" t="s">
        <v>179</v>
      </c>
      <c r="C48" s="19">
        <f>C45/C26</f>
        <v>0.113455793890047</v>
      </c>
      <c r="D48" s="19">
        <f>D45/D26</f>
        <v>0.11375930101000091</v>
      </c>
      <c r="E48" s="19">
        <f>E45/E26</f>
        <v>0.11324478178368122</v>
      </c>
      <c r="F48" s="19">
        <f>F45/F26</f>
        <v>0.11403111238573643</v>
      </c>
      <c r="G48" s="19">
        <f>G45/G26</f>
        <v>0.11403111238573643</v>
      </c>
      <c r="H48" s="19">
        <f>H45/H26</f>
        <v>0.11421223090112403</v>
      </c>
      <c r="I48" s="19">
        <f>I45/I26</f>
        <v>0.1139228772710419</v>
      </c>
      <c r="J48" s="46">
        <f>J45/J26</f>
        <v>0.1139228772710419</v>
      </c>
      <c r="K48" s="45"/>
    </row>
    <row r="49">
      <c r="B49" s="65" t="s">
        <v>120</v>
      </c>
      <c r="C49" s="47" t="str">
        <f>IFERROR((C48-Inputs!C229)*10000,"n/a")</f>
        <v>n/a</v>
      </c>
      <c r="D49" s="47" t="str">
        <f>IFERROR((D48-Inputs!D229)*10000,"n/a")</f>
        <v>n/a</v>
      </c>
      <c r="E49" s="47">
        <f>IFERROR((E48-Inputs!E229)*10000,"n/a")</f>
        <v>7.616956006844672</v>
      </c>
      <c r="F49" s="47">
        <f>IFERROR((F48-Inputs!F229)*10000,"n/a")</f>
        <v>13.205024961029238</v>
      </c>
      <c r="G49" s="47">
        <f>IFERROR((G48-Inputs!G229)*10000,"n/a")</f>
        <v>13.205024961029238</v>
      </c>
      <c r="H49" s="62">
        <f>IFERROR((H48-C48)*10000,"n/a")</f>
        <v>7.564370110770407</v>
      </c>
      <c r="I49" s="62">
        <f>IFERROR((I48-D48)*10000,"n/a")</f>
        <v>1.6357626104099299</v>
      </c>
      <c r="J49" s="64">
        <f>IFERROR((J48-E48)*10000,"n/a")</f>
        <v>6.780954873606832</v>
      </c>
      <c r="K49" s="45"/>
    </row>
    <row r="50">
      <c r="B50" s="65" t="s">
        <v>121</v>
      </c>
      <c r="C50" s="47">
        <f>IFERROR((C48-Inputs!F229)*10000,"n/a")</f>
        <v>7.451840004134846</v>
      </c>
      <c r="D50" s="62">
        <f>IFERROR((D48-C48)*10000,"n/a")</f>
        <v>3.0350711995391633</v>
      </c>
      <c r="E50" s="62">
        <f>IFERROR((E48-D48)*10000,"n/a")</f>
        <v>-5.145192263196901</v>
      </c>
      <c r="F50" s="62">
        <f>IFERROR((F48-E48)*10000,"n/a")</f>
        <v>7.86330602055213</v>
      </c>
      <c r="G50" s="62" t="s">
        <v>34</v>
      </c>
      <c r="H50" s="62">
        <f>IFERROR((H48-F48)*10000,"n/a")</f>
        <v>1.811185153876016</v>
      </c>
      <c r="I50" s="62">
        <f>IFERROR((I48-H48)*10000,"n/a")</f>
        <v>-2.8935363008213146</v>
      </c>
      <c r="J50" s="64">
        <f>IFERROR((J48-I48)*10000,"n/a")</f>
        <v>0</v>
      </c>
      <c r="K50" s="45"/>
    </row>
    <row r="51">
      <c r="B51" s="24" t="s">
        <v>182</v>
      </c>
      <c r="C51" s="60">
        <f>C33+C39+C45</f>
        <v>948.3</v>
      </c>
      <c r="D51" s="60">
        <f>D33+D39+D45</f>
        <v>968.7</v>
      </c>
      <c r="E51" s="60">
        <f>E33+E39+E45</f>
        <v>988.1</v>
      </c>
      <c r="F51" s="60">
        <f>F33+F39+F45</f>
        <v>1021.6</v>
      </c>
      <c r="G51" s="60">
        <f>G33+G39+G45</f>
        <v>1021.6</v>
      </c>
      <c r="H51" s="60">
        <f>H33+H39+H45</f>
        <v>1049.9</v>
      </c>
      <c r="I51" s="60">
        <f>I33+I39+I45</f>
        <v>1078.9</v>
      </c>
      <c r="J51" s="50">
        <f>J33+J39+J45</f>
        <v>1100.902039302929</v>
      </c>
      <c r="K51" s="45"/>
    </row>
    <row r="52">
      <c r="B52" s="42" t="s">
        <v>183</v>
      </c>
      <c r="C52" s="20">
        <f>C51-C26</f>
        <v>-0.08699999999998909</v>
      </c>
      <c r="D52" s="20">
        <f>D51-D26</f>
        <v>-0.011999999999943611</v>
      </c>
      <c r="E52" s="20">
        <f>E51-E26</f>
        <v>-0.024999999999977263</v>
      </c>
      <c r="F52" s="20">
        <f>F51-F26</f>
        <v>-0.05099999999993088</v>
      </c>
      <c r="G52" s="20">
        <f>G51-G26</f>
        <v>-0.05099999999993088</v>
      </c>
      <c r="H52" s="20">
        <f>H51-H26</f>
        <v>0.10000000000013642</v>
      </c>
      <c r="I52" s="20">
        <f>I51-I26</f>
        <v>0.10000000000013642</v>
      </c>
      <c r="J52" s="48">
        <f>J51-J26</f>
        <v>0.10203930292914265</v>
      </c>
      <c r="K52" s="45"/>
    </row>
    <row r="53">
      <c r="B53" s="24" t="s">
        <v>184</v>
      </c>
      <c r="C53" s="10"/>
      <c r="D53" s="10"/>
      <c r="E53" s="10"/>
      <c r="F53" s="10"/>
      <c r="G53" s="10"/>
      <c r="H53" s="10"/>
      <c r="I53" s="10"/>
      <c r="J53" s="51"/>
      <c r="K53" s="45"/>
    </row>
    <row r="54">
      <c r="B54" s="30" t="s">
        <v>185</v>
      </c>
      <c r="C54" s="9">
        <v>0.965</v>
      </c>
      <c r="D54" s="9">
        <v>0.96</v>
      </c>
      <c r="E54" s="9">
        <v>0.958</v>
      </c>
      <c r="F54" s="9">
        <v>0.953</v>
      </c>
      <c r="G54" s="9">
        <v>0.959</v>
      </c>
      <c r="H54" s="9">
        <v>0.969</v>
      </c>
      <c r="I54" s="9">
        <v>0.975</v>
      </c>
      <c r="J54" s="46">
        <f>1-(-J16*4)/F26</f>
        <v>0.96476291806106</v>
      </c>
      <c r="K54" s="45" t="s">
        <v>186</v>
      </c>
    </row>
    <row r="55">
      <c r="B55" s="49" t="s">
        <v>120</v>
      </c>
      <c r="C55" s="47">
        <f>IFERROR((C54-Inputs!C222)*10000,"n/a")</f>
        <v>329.9999999999992</v>
      </c>
      <c r="D55" s="47">
        <f>IFERROR((D54-Inputs!D222)*10000,"n/a")</f>
        <v>80.00000000000007</v>
      </c>
      <c r="E55" s="47">
        <f>IFERROR((E54-Inputs!E222)*10000,"n/a")</f>
        <v>40.000000000000036</v>
      </c>
      <c r="F55" s="47">
        <f>IFERROR((F54-Inputs!F222)*10000,"n/a")</f>
        <v>30.00000000000003</v>
      </c>
      <c r="G55" s="47">
        <f>IFERROR((G54-Inputs!G222)*10000,"n/a")</f>
        <v>120.00000000000011</v>
      </c>
      <c r="H55" s="62">
        <f>IFERROR((H54-C54)*10000,"n/a")</f>
        <v>40.000000000000036</v>
      </c>
      <c r="I55" s="62">
        <f>IFERROR((I54-D54)*10000,"n/a")</f>
        <v>150.00000000000014</v>
      </c>
      <c r="J55" s="64">
        <f>IFERROR((J54-E54)*10000,"n/a")</f>
        <v>67.62918061059997</v>
      </c>
      <c r="K55" s="45"/>
    </row>
    <row r="56">
      <c r="B56" s="49" t="s">
        <v>121</v>
      </c>
      <c r="C56" s="47">
        <f>IFERROR((C54-Inputs!F222)*10000,"n/a")</f>
        <v>150.00000000000014</v>
      </c>
      <c r="D56" s="62">
        <f>IFERROR((D54-C54)*10000,"n/a")</f>
        <v>-50.00000000000004</v>
      </c>
      <c r="E56" s="62">
        <f>IFERROR((E54-D54)*10000,"n/a")</f>
        <v>-20.000000000000018</v>
      </c>
      <c r="F56" s="62">
        <f>IFERROR((F54-E54)*10000,"n/a")</f>
        <v>-50.00000000000004</v>
      </c>
      <c r="G56" s="62" t="s">
        <v>34</v>
      </c>
      <c r="H56" s="62">
        <f>IFERROR((H54-F54)*10000,"n/a")</f>
        <v>160.00000000000014</v>
      </c>
      <c r="I56" s="62">
        <f>IFERROR((I54-H54)*10000,"n/a")</f>
        <v>60.00000000000006</v>
      </c>
      <c r="J56" s="64">
        <f>IFERROR((J54-I54)*10000,"n/a")</f>
        <v>-102.37081938940018</v>
      </c>
      <c r="K56" s="45"/>
    </row>
    <row r="57">
      <c r="B57" s="30" t="s">
        <v>187</v>
      </c>
      <c r="C57" s="19">
        <f>1-C54</f>
        <v>0.03500000000000003</v>
      </c>
      <c r="D57" s="19">
        <f>1-D54</f>
        <v>0.040000000000000036</v>
      </c>
      <c r="E57" s="19">
        <f>1-E54</f>
        <v>0.04200000000000004</v>
      </c>
      <c r="F57" s="19">
        <f>1-F54</f>
        <v>0.04700000000000004</v>
      </c>
      <c r="G57" s="19">
        <f>1-G54</f>
        <v>0.041000000000000036</v>
      </c>
      <c r="H57" s="19">
        <f>1-H54</f>
        <v>0.031000000000000028</v>
      </c>
      <c r="I57" s="19">
        <f>1-I54</f>
        <v>0.025000000000000022</v>
      </c>
      <c r="J57" s="46">
        <f>1-J54</f>
        <v>0.03523708193894004</v>
      </c>
      <c r="K57" s="45"/>
    </row>
    <row r="58">
      <c r="B58" s="49" t="s">
        <v>120</v>
      </c>
      <c r="C58" s="47">
        <f>IFERROR((C57-Inputs!C223)*10000,"n/a")</f>
        <v>-329.9999999999992</v>
      </c>
      <c r="D58" s="47">
        <f>IFERROR((D57-Inputs!D223)*10000,"n/a")</f>
        <v>-80.00000000000007</v>
      </c>
      <c r="E58" s="47">
        <f>IFERROR((E57-Inputs!E223)*10000,"n/a")</f>
        <v>-40.000000000000036</v>
      </c>
      <c r="F58" s="47">
        <f>IFERROR((F57-Inputs!F223)*10000,"n/a")</f>
        <v>-30.00000000000003</v>
      </c>
      <c r="G58" s="47">
        <f>IFERROR((G57-Inputs!G223)*10000,"n/a")</f>
        <v>-120.00000000000011</v>
      </c>
      <c r="H58" s="62">
        <f>IFERROR((H57-C57)*10000,"n/a")</f>
        <v>-40.000000000000036</v>
      </c>
      <c r="I58" s="62">
        <f>IFERROR((I57-D57)*10000,"n/a")</f>
        <v>-150.00000000000014</v>
      </c>
      <c r="J58" s="64">
        <f>IFERROR((J57-E57)*10000,"n/a")</f>
        <v>-67.62918061059997</v>
      </c>
      <c r="K58" s="45"/>
    </row>
    <row r="59">
      <c r="B59" s="49" t="s">
        <v>121</v>
      </c>
      <c r="C59" s="47">
        <f>IFERROR((C57-Inputs!F223)*10000,"n/a")</f>
        <v>-150.00000000000014</v>
      </c>
      <c r="D59" s="62">
        <f>IFERROR((D57-C57)*10000,"n/a")</f>
        <v>50.00000000000004</v>
      </c>
      <c r="E59" s="62">
        <f>IFERROR((E57-D57)*10000,"n/a")</f>
        <v>20.000000000000018</v>
      </c>
      <c r="F59" s="62">
        <f>IFERROR((F57-E57)*10000,"n/a")</f>
        <v>50.00000000000004</v>
      </c>
      <c r="G59" s="62" t="s">
        <v>34</v>
      </c>
      <c r="H59" s="62">
        <f>IFERROR((H57-F57)*10000,"n/a")</f>
        <v>-160.00000000000014</v>
      </c>
      <c r="I59" s="62">
        <f>IFERROR((I57-H57)*10000,"n/a")</f>
        <v>-60.00000000000006</v>
      </c>
      <c r="J59" s="64">
        <f>IFERROR((J57-I57)*10000,"n/a")</f>
        <v>102.37081938940018</v>
      </c>
      <c r="K59" s="45"/>
    </row>
    <row r="60">
      <c r="B60" s="30" t="s">
        <v>188</v>
      </c>
      <c r="C60" s="19">
        <f>C13*4/C10</f>
        <v>0.09600846025318678</v>
      </c>
      <c r="D60" s="19">
        <f>D13*4/D10</f>
        <v>0.12346858402740654</v>
      </c>
      <c r="E60" s="19">
        <f>E13*4/E10</f>
        <v>0.12157586568557012</v>
      </c>
      <c r="F60" s="19">
        <f>F13*4/F10</f>
        <v>0.184417963314358</v>
      </c>
      <c r="G60" s="19">
        <f>G13/G10</f>
        <v>0.13561451901041585</v>
      </c>
      <c r="H60" s="19">
        <f>H13*4/H10</f>
        <v>0.1284195875108036</v>
      </c>
      <c r="I60" s="19">
        <f>I13*4/I10</f>
        <v>0.13107258525433416</v>
      </c>
      <c r="J60" s="46">
        <f>J13*4/J10</f>
        <v>0.11494252873563218</v>
      </c>
      <c r="K60" s="45"/>
    </row>
    <row r="61">
      <c r="B61" s="49" t="s">
        <v>120</v>
      </c>
      <c r="C61" s="62" t="s">
        <v>34</v>
      </c>
      <c r="D61" s="62" t="s">
        <v>34</v>
      </c>
      <c r="E61" s="62" t="s">
        <v>34</v>
      </c>
      <c r="F61" s="62" t="s">
        <v>34</v>
      </c>
      <c r="G61" s="62" t="s">
        <v>34</v>
      </c>
      <c r="H61" s="62">
        <f>IFERROR((H60-C60)*10000,"n/a")</f>
        <v>324.1112725761681</v>
      </c>
      <c r="I61" s="62">
        <f>IFERROR((I60-D60)*10000,"n/a")</f>
        <v>76.04001226927615</v>
      </c>
      <c r="J61" s="64">
        <f>IFERROR((J60-E60)*10000,"n/a")</f>
        <v>-66.33336949937937</v>
      </c>
      <c r="K61" s="45"/>
    </row>
    <row r="62">
      <c r="B62" s="49" t="s">
        <v>121</v>
      </c>
      <c r="C62" s="62" t="s">
        <v>34</v>
      </c>
      <c r="D62" s="62">
        <f>IFERROR((D60-C60)*10000,"n/a")</f>
        <v>274.6012377421976</v>
      </c>
      <c r="E62" s="62">
        <f>IFERROR((E60-D60)*10000,"n/a")</f>
        <v>-18.92718341836422</v>
      </c>
      <c r="F62" s="62">
        <f>IFERROR((F60-E60)*10000,"n/a")</f>
        <v>628.4209762878788</v>
      </c>
      <c r="G62" s="62" t="s">
        <v>34</v>
      </c>
      <c r="H62" s="62">
        <f>IFERROR((H60-F60)*10000,"n/a")</f>
        <v>-559.983758035544</v>
      </c>
      <c r="I62" s="62">
        <f>IFERROR((I60-H60)*10000,"n/a")</f>
        <v>26.529977435305607</v>
      </c>
      <c r="J62" s="64">
        <f>IFERROR((J60-I60)*10000,"n/a")</f>
        <v>-161.30056518701974</v>
      </c>
      <c r="K62" s="45"/>
    </row>
    <row r="63">
      <c r="B63" s="30" t="s">
        <v>189</v>
      </c>
      <c r="C63" s="19">
        <f>C19*4/C10</f>
        <v>0.06066892087886446</v>
      </c>
      <c r="D63" s="19">
        <f>D19*4/D10</f>
        <v>0.08449293379179598</v>
      </c>
      <c r="E63" s="19">
        <f>E19*4/E10</f>
        <v>0.08065142168157308</v>
      </c>
      <c r="F63" s="19">
        <f>F19*4/F10</f>
        <v>0.14040328905755853</v>
      </c>
      <c r="G63" s="19">
        <f>G19/G10</f>
        <v>0.09464158989393644</v>
      </c>
      <c r="H63" s="19">
        <f>H19*4/H10</f>
        <v>0.09709773689841246</v>
      </c>
      <c r="I63" s="19">
        <f>I19*4/I10</f>
        <v>0.10706801295484854</v>
      </c>
      <c r="J63" s="46">
        <f>J19*4/J10</f>
        <v>0.08157211716722285</v>
      </c>
      <c r="K63" s="45"/>
    </row>
    <row r="64">
      <c r="B64" s="49" t="s">
        <v>120</v>
      </c>
      <c r="C64" s="62" t="s">
        <v>34</v>
      </c>
      <c r="D64" s="62" t="s">
        <v>34</v>
      </c>
      <c r="E64" s="62" t="s">
        <v>34</v>
      </c>
      <c r="F64" s="62" t="s">
        <v>34</v>
      </c>
      <c r="G64" s="62" t="s">
        <v>34</v>
      </c>
      <c r="H64" s="62">
        <f>IFERROR((H63-C63)*10000,"n/a")</f>
        <v>364.28816019548</v>
      </c>
      <c r="I64" s="62">
        <f>IFERROR((I63-D63)*10000,"n/a")</f>
        <v>225.75079163052555</v>
      </c>
      <c r="J64" s="64">
        <f>IFERROR((J63-E63)*10000,"n/a")</f>
        <v>9.206954856497696</v>
      </c>
      <c r="K64" s="45"/>
    </row>
    <row r="65">
      <c r="B65" s="49" t="s">
        <v>121</v>
      </c>
      <c r="C65" s="62" t="s">
        <v>34</v>
      </c>
      <c r="D65" s="62">
        <f>IFERROR((D63-C63)*10000,"n/a")</f>
        <v>238.2401291293152</v>
      </c>
      <c r="E65" s="62">
        <f>IFERROR((E63-D63)*10000,"n/a")</f>
        <v>-38.41512110222906</v>
      </c>
      <c r="F65" s="62">
        <f>IFERROR((F63-E63)*10000,"n/a")</f>
        <v>597.5186737598546</v>
      </c>
      <c r="G65" s="62" t="s">
        <v>34</v>
      </c>
      <c r="H65" s="62">
        <f>IFERROR((H63-F63)*10000,"n/a")</f>
        <v>-433.05552159146066</v>
      </c>
      <c r="I65" s="62">
        <f>IFERROR((I63-H63)*10000,"n/a")</f>
        <v>99.70276056436079</v>
      </c>
      <c r="J65" s="64">
        <f>IFERROR((J63-I63)*10000,"n/a")</f>
        <v>-254.9589578762569</v>
      </c>
      <c r="K65" s="45"/>
    </row>
    <row r="66">
      <c r="B66" s="30" t="s">
        <v>190</v>
      </c>
      <c r="C66" s="19">
        <f>C70/(C29/4)</f>
        <v>0.9915023493629684</v>
      </c>
      <c r="D66" s="19">
        <f>D70/(D29/4)</f>
        <v>0.983348277788471</v>
      </c>
      <c r="E66" s="19">
        <f>E70/(E29/4)</f>
        <v>0.991677896523829</v>
      </c>
      <c r="F66" s="19">
        <f>F70/(F29/4)</f>
        <v>0.9806107745340775</v>
      </c>
      <c r="G66" s="19">
        <f>G70/G29</f>
        <v>0.9867152523386147</v>
      </c>
      <c r="H66" s="19">
        <f>H70/(H29/4)</f>
        <v>0.9817273012974962</v>
      </c>
      <c r="I66" s="19">
        <f>I70/(I29/4)</f>
        <v>0.9884431081461994</v>
      </c>
      <c r="J66" s="46">
        <f>AVERAGE(E66,F66,H66,I66)</f>
        <v>0.9856147701254006</v>
      </c>
      <c r="K66" s="45" t="s">
        <v>191</v>
      </c>
    </row>
    <row r="67">
      <c r="B67" s="49" t="s">
        <v>120</v>
      </c>
      <c r="C67" s="62" t="s">
        <v>34</v>
      </c>
      <c r="D67" s="62" t="s">
        <v>34</v>
      </c>
      <c r="E67" s="62" t="s">
        <v>34</v>
      </c>
      <c r="F67" s="62" t="s">
        <v>34</v>
      </c>
      <c r="G67" s="62" t="s">
        <v>34</v>
      </c>
      <c r="H67" s="62">
        <f>IFERROR((H66-C66)*10000,"n/a")</f>
        <v>-97.75048065472247</v>
      </c>
      <c r="I67" s="62">
        <f>IFERROR((I66-D66)*10000,"n/a")</f>
        <v>50.94830357728397</v>
      </c>
      <c r="J67" s="64">
        <f>IFERROR((J66-E66)*10000,"n/a")</f>
        <v>-60.63126398428431</v>
      </c>
      <c r="K67" s="45"/>
    </row>
    <row r="68">
      <c r="B68" s="49" t="s">
        <v>121</v>
      </c>
      <c r="C68" s="62" t="s">
        <v>34</v>
      </c>
      <c r="D68" s="62">
        <f>IFERROR((D66-C66)*10000,"n/a")</f>
        <v>-81.54071574497435</v>
      </c>
      <c r="E68" s="62">
        <f>IFERROR((E66-D66)*10000,"n/a")</f>
        <v>83.2961873535798</v>
      </c>
      <c r="F68" s="62">
        <f>IFERROR((F66-E66)*10000,"n/a")</f>
        <v>-110.6712198975146</v>
      </c>
      <c r="G68" s="62" t="s">
        <v>34</v>
      </c>
      <c r="H68" s="62">
        <f>IFERROR((H66-F66)*10000,"n/a")</f>
        <v>11.165267634186682</v>
      </c>
      <c r="I68" s="62">
        <f>IFERROR((I66-H66)*10000,"n/a")</f>
        <v>67.1580684870321</v>
      </c>
      <c r="J68" s="64">
        <f>IFERROR((J66-I66)*10000,"n/a")</f>
        <v>-28.283380207988486</v>
      </c>
      <c r="K68" s="45"/>
    </row>
    <row r="69">
      <c r="B69" s="24" t="s">
        <v>192</v>
      </c>
      <c r="C69" s="10"/>
      <c r="D69" s="10"/>
      <c r="E69" s="10"/>
      <c r="F69" s="10"/>
      <c r="G69" s="10"/>
      <c r="H69" s="10"/>
      <c r="I69" s="10"/>
      <c r="J69" s="51"/>
      <c r="K69" s="45"/>
    </row>
    <row r="70">
      <c r="B70" s="2" t="s">
        <v>193</v>
      </c>
      <c r="C70" s="12">
        <v>233.33</v>
      </c>
      <c r="D70" s="12">
        <v>235.647</v>
      </c>
      <c r="E70" s="12">
        <v>242.569</v>
      </c>
      <c r="F70" s="12">
        <v>246.351</v>
      </c>
      <c r="G70" s="20">
        <f>SUM(C70:F70)</f>
        <v>957.8969999999999</v>
      </c>
      <c r="H70" s="12">
        <v>254.2</v>
      </c>
      <c r="I70" s="12">
        <v>263</v>
      </c>
      <c r="J70" s="48">
        <f>J29/4*J66</f>
        <v>268.53074412066536</v>
      </c>
      <c r="K70" s="45" t="s">
        <v>194</v>
      </c>
    </row>
    <row r="71">
      <c r="B71" s="49" t="s">
        <v>116</v>
      </c>
      <c r="C71" s="9">
        <v>0.096</v>
      </c>
      <c r="D71" s="9">
        <v>0.086</v>
      </c>
      <c r="E71" s="9">
        <v>0.083</v>
      </c>
      <c r="F71" s="9">
        <v>0.078</v>
      </c>
      <c r="G71" s="9">
        <v>0.086</v>
      </c>
      <c r="H71" s="19">
        <f>IFERROR(IF(OR(ABS(C70)&lt;0.5,H70*C70&lt;0),"n/m",H70/C70-1),"n/a")</f>
        <v>0.08944413491621295</v>
      </c>
      <c r="I71" s="19">
        <f>IFERROR(IF(OR(ABS(D70)&lt;0.5,I70*D70&lt;0),"n/m",I70/D70-1),"n/a")</f>
        <v>0.11607616477188332</v>
      </c>
      <c r="J71" s="46">
        <f>IFERROR(IF(OR(ABS(E70)&lt;0.5,J70*E70&lt;0),"n/m",J70/E70-1),"n/a")</f>
        <v>0.10702828523292496</v>
      </c>
      <c r="K71" s="45"/>
    </row>
    <row r="72">
      <c r="B72" s="49" t="s">
        <v>117</v>
      </c>
      <c r="C72" s="19" t="s">
        <v>34</v>
      </c>
      <c r="D72" s="19">
        <f>IFERROR(IF(OR(ABS(C70)&lt;0.5,D70*C70&lt;0),"n/m",D70/C70-1),"n/a")</f>
        <v>0.009930141859169295</v>
      </c>
      <c r="E72" s="19">
        <f>IFERROR(IF(OR(ABS(D70)&lt;0.5,E70*D70&lt;0),"n/m",E70/D70-1),"n/a")</f>
        <v>0.029374445675098837</v>
      </c>
      <c r="F72" s="19">
        <f>IFERROR(IF(OR(ABS(E70)&lt;0.5,F70*E70&lt;0),"n/m",F70/E70-1),"n/a")</f>
        <v>0.01559143996141299</v>
      </c>
      <c r="G72" s="19" t="s">
        <v>34</v>
      </c>
      <c r="H72" s="19">
        <f>IFERROR(IF(OR(ABS(F70)&lt;0.5,H70*F70&lt;0),"n/m",H70/F70-1),"n/a")</f>
        <v>0.03186104379523513</v>
      </c>
      <c r="I72" s="19">
        <f>IFERROR(IF(OR(ABS(H70)&lt;0.5,I70*H70&lt;0),"n/m",I70/H70-1),"n/a")</f>
        <v>0.03461841070023608</v>
      </c>
      <c r="J72" s="46">
        <f>IFERROR(IF(OR(ABS(I70)&lt;0.5,J70*I70&lt;0),"n/m",J70/I70-1),"n/a")</f>
        <v>0.021029445325723817</v>
      </c>
      <c r="K72" s="45"/>
    </row>
    <row r="73">
      <c r="B73" s="42" t="s">
        <v>118</v>
      </c>
      <c r="C73" s="20" t="s">
        <v>34</v>
      </c>
      <c r="D73" s="20">
        <f>IFERROR(D70-C70,"n/a")</f>
        <v>2.316999999999979</v>
      </c>
      <c r="E73" s="20">
        <f>IFERROR(E70-D70,"n/a")</f>
        <v>6.921999999999997</v>
      </c>
      <c r="F73" s="20">
        <f>IFERROR(F70-E70,"n/a")</f>
        <v>3.7820000000000107</v>
      </c>
      <c r="G73" s="20" t="s">
        <v>34</v>
      </c>
      <c r="H73" s="20">
        <f>IFERROR(H70-F70,"n/a")</f>
        <v>7.8489999999999895</v>
      </c>
      <c r="I73" s="20">
        <f>IFERROR(I70-H70,"n/a")</f>
        <v>8.800000000000011</v>
      </c>
      <c r="J73" s="48">
        <f>IFERROR(J70-I70,"n/a")</f>
        <v>5.530744120665361</v>
      </c>
      <c r="K73" s="45"/>
    </row>
    <row r="74">
      <c r="B74" s="49" t="s">
        <v>119</v>
      </c>
      <c r="C74" s="33">
        <f>IFERROR(C70/'Revenue summary'!C40,"n/a")</f>
        <v>0.3128477687825311</v>
      </c>
      <c r="D74" s="33">
        <f>IFERROR(D70/'Revenue summary'!D40,"n/a")</f>
        <v>0.3049739930812148</v>
      </c>
      <c r="E74" s="33">
        <f>IFERROR(E70/'Revenue summary'!E40,"n/a")</f>
        <v>0.30572353313352474</v>
      </c>
      <c r="F74" s="33">
        <f>IFERROR(F70/'Revenue summary'!F40,"n/a")</f>
        <v>0.29950469771241833</v>
      </c>
      <c r="G74" s="33">
        <f>IFERROR(G70/'Revenue summary'!G40,"n/a")</f>
        <v>0.30560201935964065</v>
      </c>
      <c r="H74" s="33">
        <f>IFERROR(H70/'Revenue summary'!H40,"n/a")</f>
        <v>0.29877762106252936</v>
      </c>
      <c r="I74" s="33">
        <f>IFERROR(I70/'Revenue summary'!I40,"n/a")</f>
        <v>0.3033448673587082</v>
      </c>
      <c r="J74" s="69">
        <f>IFERROR(J70/'Revenue summary'!J40,"n/a")</f>
        <v>0.3026121861629026</v>
      </c>
      <c r="K74" s="45"/>
    </row>
    <row r="75">
      <c r="B75" s="65" t="s">
        <v>120</v>
      </c>
      <c r="C75" s="62" t="s">
        <v>34</v>
      </c>
      <c r="D75" s="62" t="s">
        <v>34</v>
      </c>
      <c r="E75" s="62" t="s">
        <v>34</v>
      </c>
      <c r="F75" s="62" t="s">
        <v>34</v>
      </c>
      <c r="G75" s="62" t="s">
        <v>34</v>
      </c>
      <c r="H75" s="62">
        <f>IFERROR((H74-C74)*10000,"n/a")</f>
        <v>-140.70147720001756</v>
      </c>
      <c r="I75" s="62">
        <f>IFERROR((I74-D74)*10000,"n/a")</f>
        <v>-16.29125722506619</v>
      </c>
      <c r="J75" s="64">
        <f>IFERROR((J74-E74)*10000,"n/a")</f>
        <v>-31.11346970622153</v>
      </c>
      <c r="K75" s="45"/>
    </row>
    <row r="76">
      <c r="B76" s="65" t="s">
        <v>121</v>
      </c>
      <c r="C76" s="62" t="s">
        <v>34</v>
      </c>
      <c r="D76" s="62">
        <f>IFERROR((D74-C74)*10000,"n/a")</f>
        <v>-78.7377570131631</v>
      </c>
      <c r="E76" s="62">
        <f>IFERROR((E74-D74)*10000,"n/a")</f>
        <v>7.4954005230992715</v>
      </c>
      <c r="F76" s="62">
        <f>IFERROR((F74-E74)*10000,"n/a")</f>
        <v>-62.18835421106406</v>
      </c>
      <c r="G76" s="62" t="s">
        <v>34</v>
      </c>
      <c r="H76" s="62">
        <f>IFERROR((H74-F74)*10000,"n/a")</f>
        <v>-7.270766498889691</v>
      </c>
      <c r="I76" s="62">
        <f>IFERROR((I74-H74)*10000,"n/a")</f>
        <v>45.672462961788284</v>
      </c>
      <c r="J76" s="64">
        <f>IFERROR((J74-I74)*10000,"n/a")</f>
        <v>-7.3268119580560676</v>
      </c>
      <c r="K76" s="45"/>
    </row>
    <row r="77">
      <c r="B77" s="49" t="s">
        <v>122</v>
      </c>
      <c r="C77" s="9">
        <v>0.002</v>
      </c>
      <c r="D77" s="9">
        <v>0</v>
      </c>
      <c r="E77" s="9">
        <v>0</v>
      </c>
      <c r="F77" s="9">
        <v>0</v>
      </c>
      <c r="G77" s="9">
        <v>0</v>
      </c>
      <c r="H77" s="9">
        <v>0.001</v>
      </c>
      <c r="I77" s="9">
        <v>0.004</v>
      </c>
      <c r="J77" s="58">
        <v>0.004</v>
      </c>
      <c r="K77" s="45" t="s">
        <v>195</v>
      </c>
    </row>
    <row r="78">
      <c r="B78" s="49" t="s">
        <v>124</v>
      </c>
      <c r="C78" s="9">
        <v>-0.001</v>
      </c>
      <c r="D78" s="9">
        <v>0.003</v>
      </c>
      <c r="E78" s="9">
        <v>0</v>
      </c>
      <c r="F78" s="9">
        <v>-0.001</v>
      </c>
      <c r="G78" s="9">
        <v>0.001</v>
      </c>
      <c r="H78" s="9">
        <v>-0.001</v>
      </c>
      <c r="I78" s="9">
        <v>-0.003</v>
      </c>
      <c r="J78" s="58">
        <v>-0.002</v>
      </c>
      <c r="K78" s="45" t="s">
        <v>196</v>
      </c>
    </row>
    <row r="79">
      <c r="B79" s="49" t="s">
        <v>125</v>
      </c>
      <c r="C79" s="19">
        <f>IFERROR((1+C71)/((1+C77)*(1+C78))-1,"n/a")</f>
        <v>0.09490728253203295</v>
      </c>
      <c r="D79" s="19">
        <f>IFERROR((1+D71)/((1+D77)*(1+D78))-1,"n/a")</f>
        <v>0.08275174476570313</v>
      </c>
      <c r="E79" s="19">
        <f>IFERROR((1+E71)/((1+E77)*(1+E78))-1,"n/a")</f>
        <v>0.08299999999999996</v>
      </c>
      <c r="F79" s="19">
        <f>IFERROR((1+F71)/((1+F77)*(1+F78))-1,"n/a")</f>
        <v>0.07907907907907918</v>
      </c>
      <c r="G79" s="19">
        <f>IFERROR((1+G71)/((1+G77)*(1+G78))-1,"n/a")</f>
        <v>0.08491508491508504</v>
      </c>
      <c r="H79" s="19">
        <f>IFERROR((1+H71)/((1+H77)*(1+H78))-1,"n/a")</f>
        <v>0.08944522436143743</v>
      </c>
      <c r="I79" s="19">
        <f>IFERROR((1+I71)/((1+I77)*(1+I78))-1,"n/a")</f>
        <v>0.1149745698968252</v>
      </c>
      <c r="J79" s="46">
        <f>IFERROR((1+J71)/((1+J77)*(1+J78))-1,"n/a")</f>
        <v>0.10482746891484651</v>
      </c>
      <c r="K79" s="45" t="s">
        <v>126</v>
      </c>
    </row>
    <row r="80">
      <c r="B80" s="24" t="s">
        <v>197</v>
      </c>
      <c r="C80" s="10"/>
      <c r="D80" s="10"/>
      <c r="E80" s="10"/>
      <c r="F80" s="10"/>
      <c r="G80" s="10"/>
      <c r="H80" s="10"/>
      <c r="I80" s="10"/>
      <c r="J80" s="51"/>
      <c r="K80" s="45" t="s">
        <v>198</v>
      </c>
    </row>
    <row r="81">
      <c r="B81" s="2" t="s">
        <v>199</v>
      </c>
      <c r="C81" s="4">
        <f>Inputs!F207</f>
        <v>1724.7</v>
      </c>
      <c r="D81" s="20">
        <f>C90</f>
        <v>1783.1</v>
      </c>
      <c r="E81" s="20">
        <f>D90</f>
        <v>2024.6</v>
      </c>
      <c r="F81" s="20">
        <f>E90</f>
        <v>2211</v>
      </c>
      <c r="G81" s="20">
        <f>C81</f>
        <v>1724.7</v>
      </c>
      <c r="H81" s="20">
        <f>F90</f>
        <v>2340.7</v>
      </c>
      <c r="I81" s="20">
        <f>H90</f>
        <v>2403.3</v>
      </c>
      <c r="J81" s="48">
        <f>I90</f>
        <v>2818.3</v>
      </c>
      <c r="K81" s="45"/>
    </row>
    <row r="82">
      <c r="B82" s="49" t="s">
        <v>150</v>
      </c>
      <c r="C82" s="33">
        <f>IFERROR(IF(OR(ABS(Inputs!C204)&lt;0.5,C81*Inputs!C204&lt;0),"n/m",C81/Inputs!C204-1),"n/a")</f>
        <v>0.17414391721696498</v>
      </c>
      <c r="D82" s="33">
        <f>IFERROR(IF(OR(ABS(Inputs!D204)&lt;0.5,D81*Inputs!D204&lt;0),"n/m",D81/Inputs!D204-1),"n/a")</f>
        <v>0.1266902565398711</v>
      </c>
      <c r="E82" s="33">
        <f>IFERROR(IF(OR(ABS(Inputs!E204)&lt;0.5,E81*Inputs!E204&lt;0),"n/m",E81/Inputs!E204-1),"n/a")</f>
        <v>0.24063974508241914</v>
      </c>
      <c r="F82" s="33">
        <f>IFERROR(IF(OR(ABS(Inputs!F204)&lt;0.5,F81*Inputs!F204&lt;0),"n/m",F81/Inputs!F204-1),"n/a")</f>
        <v>0.25496651152230676</v>
      </c>
      <c r="G82" s="33">
        <f>IFERROR(IF(OR(ABS(Inputs!G204)&lt;0.5,G81*Inputs!G204&lt;0),"n/m",G81/Inputs!G204-1),"n/a")</f>
        <v>0.17414391721696498</v>
      </c>
      <c r="H82" s="19">
        <f>IFERROR(IF(OR(ABS(C81)&lt;0.5,H81*C81&lt;0),"n/m",H81/C81-1),"n/a")</f>
        <v>0.35716356467791477</v>
      </c>
      <c r="I82" s="19">
        <f>IFERROR(IF(OR(ABS(D81)&lt;0.5,I81*D81&lt;0),"n/m",I81/D81-1),"n/a")</f>
        <v>0.3478212102518088</v>
      </c>
      <c r="J82" s="46">
        <f>IFERROR(IF(OR(ABS(E81)&lt;0.5,J81*E81&lt;0),"n/m",J81/E81-1),"n/a")</f>
        <v>0.3920280549244297</v>
      </c>
      <c r="K82" s="45"/>
    </row>
    <row r="83">
      <c r="B83" s="42" t="s">
        <v>118</v>
      </c>
      <c r="C83" s="4">
        <f>IFERROR(C81-Inputs!F204,"n/a")</f>
        <v>-37.09999999999991</v>
      </c>
      <c r="D83" s="20">
        <f>IFERROR(D81-C81,"n/a")</f>
        <v>58.399999999999864</v>
      </c>
      <c r="E83" s="20">
        <f>IFERROR(E81-D81,"n/a")</f>
        <v>241.5</v>
      </c>
      <c r="F83" s="20">
        <f>IFERROR(F81-E81,"n/a")</f>
        <v>186.4000000000001</v>
      </c>
      <c r="G83" s="20" t="s">
        <v>34</v>
      </c>
      <c r="H83" s="20">
        <f>IFERROR(H81-F81,"n/a")</f>
        <v>129.69999999999982</v>
      </c>
      <c r="I83" s="20">
        <f>IFERROR(I81-H81,"n/a")</f>
        <v>62.600000000000364</v>
      </c>
      <c r="J83" s="48">
        <f>IFERROR(J81-I81,"n/a")</f>
        <v>415</v>
      </c>
      <c r="K83" s="45"/>
    </row>
    <row r="84">
      <c r="B84" s="2" t="s">
        <v>200</v>
      </c>
      <c r="C84" s="12">
        <v>16.4</v>
      </c>
      <c r="D84" s="12">
        <v>193</v>
      </c>
      <c r="E84" s="12">
        <v>140</v>
      </c>
      <c r="F84" s="12">
        <v>62.8</v>
      </c>
      <c r="G84" s="20">
        <f>SUM(C84:F84)</f>
        <v>412.2</v>
      </c>
      <c r="H84" s="12">
        <v>-41</v>
      </c>
      <c r="I84" s="12">
        <v>376</v>
      </c>
      <c r="J84" s="48" t="s">
        <v>34</v>
      </c>
      <c r="K84" s="45" t="s">
        <v>201</v>
      </c>
    </row>
    <row r="85">
      <c r="B85" s="49" t="s">
        <v>150</v>
      </c>
      <c r="C85" s="33">
        <f>IFERROR(IF(OR(ABS(Inputs!C205)&lt;0.5,C84*Inputs!C205&lt;0),"n/m",C84/Inputs!C205-1),"n/a")</f>
        <v>-0.8232758620689655</v>
      </c>
      <c r="D85" s="33">
        <f>IFERROR(IF(OR(ABS(Inputs!D205)&lt;0.5,D84*Inputs!D205&lt;0),"n/m",D84/Inputs!D205-1),"n/a")</f>
        <v>8.10377358490566</v>
      </c>
      <c r="E85" s="33">
        <f>IFERROR(IF(OR(ABS(Inputs!E205)&lt;0.5,E84*Inputs!E205&lt;0),"n/m",E84/Inputs!E205-1),"n/a")</f>
        <v>0.25786163522012573</v>
      </c>
      <c r="F85" s="33" t="str">
        <f>IFERROR(IF(OR(ABS(Inputs!F205)&lt;0.5,F84*Inputs!F205&lt;0),"n/m",F84/Inputs!F205-1),"n/a")</f>
        <v>n/m</v>
      </c>
      <c r="G85" s="33">
        <f>IFERROR(IF(OR(ABS(Inputs!G205)&lt;0.5,G84*Inputs!G205&lt;0),"n/m",G84/Inputs!G205-1),"n/a")</f>
        <v>1.9442857142857144</v>
      </c>
      <c r="H85" s="19" t="str">
        <f>IFERROR(IF(OR(ABS(C84)&lt;0.5,H84*C84&lt;0),"n/m",H84/C84-1),"n/a")</f>
        <v>n/m</v>
      </c>
      <c r="I85" s="19">
        <f>IFERROR(IF(OR(ABS(D84)&lt;0.5,I84*D84&lt;0),"n/m",I84/D84-1),"n/a")</f>
        <v>0.9481865284974094</v>
      </c>
      <c r="J85" s="46" t="str">
        <f>IFERROR(IF(OR(ABS(E84)&lt;0.5,J84*E84&lt;0),"n/m",J84/E84-1),"n/a")</f>
        <v>n/a</v>
      </c>
      <c r="K85" s="45"/>
    </row>
    <row r="86">
      <c r="B86" s="42" t="s">
        <v>118</v>
      </c>
      <c r="C86" s="4">
        <f>IFERROR(C84-Inputs!F205,"n/a")</f>
        <v>101.69999999999999</v>
      </c>
      <c r="D86" s="20">
        <f>IFERROR(D84-C84,"n/a")</f>
        <v>176.6</v>
      </c>
      <c r="E86" s="20">
        <f>IFERROR(E84-D84,"n/a")</f>
        <v>-53</v>
      </c>
      <c r="F86" s="20">
        <f>IFERROR(F84-E84,"n/a")</f>
        <v>-77.2</v>
      </c>
      <c r="G86" s="20" t="s">
        <v>34</v>
      </c>
      <c r="H86" s="20">
        <f>IFERROR(H84-F84,"n/a")</f>
        <v>-103.8</v>
      </c>
      <c r="I86" s="20">
        <f>IFERROR(I84-H84,"n/a")</f>
        <v>417</v>
      </c>
      <c r="J86" s="48" t="str">
        <f>IFERROR(J84-I84,"n/a")</f>
        <v>n/a</v>
      </c>
      <c r="K86" s="45"/>
    </row>
    <row r="87">
      <c r="B87" s="2" t="s">
        <v>202</v>
      </c>
      <c r="C87" s="12">
        <v>42</v>
      </c>
      <c r="D87" s="12">
        <v>48.5</v>
      </c>
      <c r="E87" s="12">
        <v>46.4</v>
      </c>
      <c r="F87" s="12">
        <v>66.9</v>
      </c>
      <c r="G87" s="20">
        <f>SUM(C87:F87)</f>
        <v>203.8</v>
      </c>
      <c r="H87" s="12">
        <v>103</v>
      </c>
      <c r="I87" s="12">
        <v>39</v>
      </c>
      <c r="J87" s="48" t="s">
        <v>34</v>
      </c>
      <c r="K87" s="45" t="s">
        <v>203</v>
      </c>
    </row>
    <row r="88">
      <c r="B88" s="49" t="s">
        <v>150</v>
      </c>
      <c r="C88" s="33">
        <f>IFERROR(IF(OR(ABS(Inputs!C206)&lt;0.5,C87*Inputs!C206&lt;0),"n/m",C87/Inputs!C206-1),"n/a")</f>
        <v>1.009569377990431</v>
      </c>
      <c r="D88" s="33">
        <f>IFERROR(IF(OR(ABS(Inputs!D206)&lt;0.5,D87*Inputs!D206&lt;0),"n/m",D87/Inputs!D206-1),"n/a")</f>
        <v>0.7259786476868326</v>
      </c>
      <c r="E88" s="33">
        <f>IFERROR(IF(OR(ABS(Inputs!E206)&lt;0.5,E87*Inputs!E206&lt;0),"n/m",E87/Inputs!E206-1),"n/a")</f>
        <v>1.494623655913978</v>
      </c>
      <c r="F88" s="33">
        <f>IFERROR(IF(OR(ABS(Inputs!F206)&lt;0.5,F87*Inputs!F206&lt;0),"n/m",F87/Inputs!F206-1),"n/a")</f>
        <v>0.38796680497925307</v>
      </c>
      <c r="G88" s="33">
        <f>IFERROR(IF(OR(ABS(Inputs!G206)&lt;0.5,G87*Inputs!G206&lt;0),"n/m",G87/Inputs!G206-1),"n/a")</f>
        <v>0.7599309153713298</v>
      </c>
      <c r="H88" s="19">
        <f>IFERROR(IF(OR(ABS(C87)&lt;0.5,H87*C87&lt;0),"n/m",H87/C87-1),"n/a")</f>
        <v>1.4523809523809526</v>
      </c>
      <c r="I88" s="19">
        <f>IFERROR(IF(OR(ABS(D87)&lt;0.5,I87*D87&lt;0),"n/m",I87/D87-1),"n/a")</f>
        <v>-0.19587628865979378</v>
      </c>
      <c r="J88" s="46" t="str">
        <f>IFERROR(IF(OR(ABS(E87)&lt;0.5,J87*E87&lt;0),"n/m",J87/E87-1),"n/a")</f>
        <v>n/a</v>
      </c>
      <c r="K88" s="45"/>
    </row>
    <row r="89">
      <c r="B89" s="42" t="s">
        <v>118</v>
      </c>
      <c r="C89" s="4">
        <f>IFERROR(C87-Inputs!F206,"n/a")</f>
        <v>-6.200000000000003</v>
      </c>
      <c r="D89" s="20">
        <f>IFERROR(D87-C87,"n/a")</f>
        <v>6.5</v>
      </c>
      <c r="E89" s="20">
        <f>IFERROR(E87-D87,"n/a")</f>
        <v>-2.1000000000000014</v>
      </c>
      <c r="F89" s="20">
        <f>IFERROR(F87-E87,"n/a")</f>
        <v>20.500000000000007</v>
      </c>
      <c r="G89" s="20" t="s">
        <v>34</v>
      </c>
      <c r="H89" s="20">
        <f>IFERROR(H87-F87,"n/a")</f>
        <v>36.099999999999994</v>
      </c>
      <c r="I89" s="20">
        <f>IFERROR(I87-H87,"n/a")</f>
        <v>-64</v>
      </c>
      <c r="J89" s="48" t="str">
        <f>IFERROR(J87-I87,"n/a")</f>
        <v>n/a</v>
      </c>
      <c r="K89" s="45"/>
    </row>
    <row r="90">
      <c r="B90" s="24" t="s">
        <v>204</v>
      </c>
      <c r="C90" s="44">
        <v>1783.1</v>
      </c>
      <c r="D90" s="44">
        <v>2024.6</v>
      </c>
      <c r="E90" s="44">
        <v>2211</v>
      </c>
      <c r="F90" s="44">
        <v>2340.7</v>
      </c>
      <c r="G90" s="60">
        <f>F90</f>
        <v>2340.7</v>
      </c>
      <c r="H90" s="44">
        <v>2403.3</v>
      </c>
      <c r="I90" s="44">
        <v>2818.3</v>
      </c>
      <c r="J90" s="86">
        <v>2905.5</v>
      </c>
      <c r="K90" s="45" t="s">
        <v>205</v>
      </c>
    </row>
    <row r="91">
      <c r="B91" s="49" t="s">
        <v>150</v>
      </c>
      <c r="C91" s="33">
        <f>IFERROR(IF(OR(ABS(Inputs!C207)&lt;0.5,C90*Inputs!C207&lt;0),"n/m",C90/Inputs!C207-1),"n/a")</f>
        <v>0.1266902565398711</v>
      </c>
      <c r="D91" s="33">
        <f>IFERROR(IF(OR(ABS(Inputs!D207)&lt;0.5,D90*Inputs!D207&lt;0),"n/m",D90/Inputs!D207-1),"n/a")</f>
        <v>0.24063974508241914</v>
      </c>
      <c r="E91" s="33">
        <f>IFERROR(IF(OR(ABS(Inputs!E207)&lt;0.5,E90*Inputs!E207&lt;0),"n/m",E90/Inputs!E207-1),"n/a")</f>
        <v>0.25496651152230676</v>
      </c>
      <c r="F91" s="33">
        <f>IFERROR(IF(OR(ABS(Inputs!F207)&lt;0.5,F90*Inputs!F207&lt;0),"n/m",F90/Inputs!F207-1),"n/a")</f>
        <v>0.35716356467791477</v>
      </c>
      <c r="G91" s="33">
        <f>IFERROR(IF(OR(ABS(Inputs!G207)&lt;0.5,G90*Inputs!G207&lt;0),"n/m",G90/Inputs!G207-1),"n/a")</f>
        <v>0.35716356467791477</v>
      </c>
      <c r="H91" s="19">
        <f>IFERROR(IF(OR(ABS(C90)&lt;0.5,H90*C90&lt;0),"n/m",H90/C90-1),"n/a")</f>
        <v>0.3478212102518088</v>
      </c>
      <c r="I91" s="19">
        <f>IFERROR(IF(OR(ABS(D90)&lt;0.5,I90*D90&lt;0),"n/m",I90/D90-1),"n/a")</f>
        <v>0.3920280549244297</v>
      </c>
      <c r="J91" s="46">
        <f>IFERROR(IF(OR(ABS(E90)&lt;0.5,J90*E90&lt;0),"n/m",J90/E90-1),"n/a")</f>
        <v>0.31411126187245597</v>
      </c>
      <c r="K91" s="45"/>
    </row>
    <row r="92">
      <c r="B92" s="42" t="s">
        <v>118</v>
      </c>
      <c r="C92" s="4">
        <f>IFERROR(C90-Inputs!F207,"n/a")</f>
        <v>58.399999999999864</v>
      </c>
      <c r="D92" s="20">
        <f>IFERROR(D90-C90,"n/a")</f>
        <v>241.5</v>
      </c>
      <c r="E92" s="20">
        <f>IFERROR(E90-D90,"n/a")</f>
        <v>186.4000000000001</v>
      </c>
      <c r="F92" s="20">
        <f>IFERROR(F90-E90,"n/a")</f>
        <v>129.69999999999982</v>
      </c>
      <c r="G92" s="20" t="s">
        <v>34</v>
      </c>
      <c r="H92" s="20">
        <f>IFERROR(H90-F90,"n/a")</f>
        <v>62.600000000000364</v>
      </c>
      <c r="I92" s="20">
        <f>IFERROR(I90-H90,"n/a")</f>
        <v>415</v>
      </c>
      <c r="J92" s="48">
        <f>IFERROR(J90-I90,"n/a")</f>
        <v>87.19999999999982</v>
      </c>
      <c r="K92" s="45"/>
    </row>
    <row r="93">
      <c r="B93" s="42" t="s">
        <v>206</v>
      </c>
      <c r="C93" s="20">
        <f>C90-C81-C84-C87</f>
        <v>0</v>
      </c>
      <c r="D93" s="20">
        <f>D90-D81-D84-D87</f>
        <v>0</v>
      </c>
      <c r="E93" s="20">
        <f>E90-E81-E84-E87</f>
        <v>0</v>
      </c>
      <c r="F93" s="20">
        <f>F90-F81-F84-F87</f>
        <v>0</v>
      </c>
      <c r="G93" s="20">
        <f>G90-G81-G84-G87</f>
        <v>0</v>
      </c>
      <c r="H93" s="20">
        <f>H90-H81-H84-H87</f>
        <v>0.6000000000003638</v>
      </c>
      <c r="I93" s="20">
        <f>I90-I81-I84-I87</f>
        <v>0</v>
      </c>
      <c r="J93" s="48" t="s">
        <v>34</v>
      </c>
      <c r="K93" s="45"/>
    </row>
    <row r="94">
      <c r="B94" s="2" t="s">
        <v>207</v>
      </c>
      <c r="C94" s="12">
        <v>1754.8</v>
      </c>
      <c r="D94" s="12">
        <v>1730.7</v>
      </c>
      <c r="E94" s="12">
        <v>2055.6</v>
      </c>
      <c r="F94" s="12">
        <v>2240.8</v>
      </c>
      <c r="G94" s="20" t="s">
        <v>34</v>
      </c>
      <c r="H94" s="12">
        <v>2429.9</v>
      </c>
      <c r="I94" s="12">
        <v>2576.4</v>
      </c>
      <c r="J94" s="53">
        <v>2792.2</v>
      </c>
      <c r="K94" s="45" t="s">
        <v>208</v>
      </c>
    </row>
    <row r="95">
      <c r="B95" s="49" t="s">
        <v>150</v>
      </c>
      <c r="C95" s="33">
        <f>IFERROR(IF(OR(ABS(Inputs!C208)&lt;0.5,C94*Inputs!C208&lt;0),"n/m",C94/Inputs!C208-1),"n/a")</f>
        <v>0.20373165043215802</v>
      </c>
      <c r="D95" s="33">
        <f>IFERROR(IF(OR(ABS(Inputs!D208)&lt;0.5,D94*Inputs!D208&lt;0),"n/m",D94/Inputs!D208-1),"n/a")</f>
        <v>0.11975931677018647</v>
      </c>
      <c r="E95" s="33">
        <f>IFERROR(IF(OR(ABS(Inputs!E208)&lt;0.5,E94*Inputs!E208&lt;0),"n/m",E94/Inputs!E208-1),"n/a")</f>
        <v>0.23392760669908141</v>
      </c>
      <c r="F95" s="33">
        <f>IFERROR(IF(OR(ABS(Inputs!F208)&lt;0.5,F94*Inputs!F208&lt;0),"n/m",F94/Inputs!F208-1),"n/a")</f>
        <v>0.27804711116180925</v>
      </c>
      <c r="G95" s="33" t="str">
        <f>IFERROR(IF(OR(ABS(Inputs!G208)&lt;0.5,G94*Inputs!G208&lt;0),"n/m",G94/Inputs!G208-1),"n/a")</f>
        <v>n/a</v>
      </c>
      <c r="H95" s="19">
        <f>IFERROR(IF(OR(ABS(C94)&lt;0.5,H94*C94&lt;0),"n/m",H94/C94-1),"n/a")</f>
        <v>0.38471620697515396</v>
      </c>
      <c r="I95" s="19">
        <f>IFERROR(IF(OR(ABS(D94)&lt;0.5,I94*D94&lt;0),"n/m",I94/D94-1),"n/a")</f>
        <v>0.4886462125151674</v>
      </c>
      <c r="J95" s="46">
        <f>IFERROR(IF(OR(ABS(E94)&lt;0.5,J94*E94&lt;0),"n/m",J94/E94-1),"n/a")</f>
        <v>0.35833819809301426</v>
      </c>
      <c r="K95" s="45"/>
    </row>
    <row r="96">
      <c r="B96" s="42" t="s">
        <v>118</v>
      </c>
      <c r="C96" s="4">
        <f>IFERROR(C94-Inputs!F208,"n/a")</f>
        <v>1.5</v>
      </c>
      <c r="D96" s="20">
        <f>IFERROR(D94-C94,"n/a")</f>
        <v>-24.09999999999991</v>
      </c>
      <c r="E96" s="20">
        <f>IFERROR(E94-D94,"n/a")</f>
        <v>324.89999999999986</v>
      </c>
      <c r="F96" s="20">
        <f>IFERROR(F94-E94,"n/a")</f>
        <v>185.20000000000027</v>
      </c>
      <c r="G96" s="20" t="s">
        <v>34</v>
      </c>
      <c r="H96" s="20">
        <f>IFERROR(H94-F94,"n/a")</f>
        <v>189.0999999999999</v>
      </c>
      <c r="I96" s="20">
        <f>IFERROR(I94-H94,"n/a")</f>
        <v>146.5</v>
      </c>
      <c r="J96" s="48">
        <f>IFERROR(J94-I94,"n/a")</f>
        <v>215.79999999999973</v>
      </c>
      <c r="K96" s="45"/>
    </row>
    <row r="97">
      <c r="B97" s="2" t="s">
        <v>209</v>
      </c>
      <c r="C97" s="12">
        <v>1821.2</v>
      </c>
      <c r="D97" s="12">
        <v>1898.8</v>
      </c>
      <c r="E97" s="12">
        <v>2100.7</v>
      </c>
      <c r="F97" s="12">
        <v>2260.2</v>
      </c>
      <c r="G97" s="20" t="s">
        <v>34</v>
      </c>
      <c r="H97" s="12">
        <v>2539.4</v>
      </c>
      <c r="I97" s="12">
        <v>2745.9</v>
      </c>
      <c r="J97" s="53">
        <v>2911.5</v>
      </c>
      <c r="K97" s="45"/>
    </row>
    <row r="98">
      <c r="B98" s="49" t="s">
        <v>150</v>
      </c>
      <c r="C98" s="33">
        <f>IFERROR(IF(OR(ABS(Inputs!C209)&lt;0.5,C97*Inputs!C209&lt;0),"n/m",C97/Inputs!C209-1),"n/a")</f>
        <v>0.21106530123686662</v>
      </c>
      <c r="D98" s="33">
        <f>IFERROR(IF(OR(ABS(Inputs!D209)&lt;0.5,D97*Inputs!D209&lt;0),"n/m",D97/Inputs!D209-1),"n/a")</f>
        <v>0.18704676169042256</v>
      </c>
      <c r="E98" s="33">
        <f>IFERROR(IF(OR(ABS(Inputs!E209)&lt;0.5,E97*Inputs!E209&lt;0),"n/m",E97/Inputs!E209-1),"n/a")</f>
        <v>0.26838546069315283</v>
      </c>
      <c r="F98" s="33">
        <f>IFERROR(IF(OR(ABS(Inputs!F209)&lt;0.5,F97*Inputs!F209&lt;0),"n/m",F97/Inputs!F209-1),"n/a")</f>
        <v>0.29205968101526314</v>
      </c>
      <c r="G98" s="33" t="str">
        <f>IFERROR(IF(OR(ABS(Inputs!G209)&lt;0.5,G97*Inputs!G209&lt;0),"n/m",G97/Inputs!G209-1),"n/a")</f>
        <v>n/a</v>
      </c>
      <c r="H98" s="19">
        <f>IFERROR(IF(OR(ABS(C97)&lt;0.5,H97*C97&lt;0),"n/m",H97/C97-1),"n/a")</f>
        <v>0.3943553700856579</v>
      </c>
      <c r="I98" s="19">
        <f>IFERROR(IF(OR(ABS(D97)&lt;0.5,I97*D97&lt;0),"n/m",I97/D97-1),"n/a")</f>
        <v>0.4461238677059196</v>
      </c>
      <c r="J98" s="46">
        <f>IFERROR(IF(OR(ABS(E97)&lt;0.5,J97*E97&lt;0),"n/m",J97/E97-1),"n/a")</f>
        <v>0.38596658256771565</v>
      </c>
      <c r="K98" s="45"/>
    </row>
    <row r="99">
      <c r="B99" s="42" t="s">
        <v>118</v>
      </c>
      <c r="C99" s="4">
        <f>IFERROR(C97-Inputs!F209,"n/a")</f>
        <v>71.90000000000009</v>
      </c>
      <c r="D99" s="20">
        <f>IFERROR(D97-C97,"n/a")</f>
        <v>77.59999999999991</v>
      </c>
      <c r="E99" s="20">
        <f>IFERROR(E97-D97,"n/a")</f>
        <v>201.89999999999986</v>
      </c>
      <c r="F99" s="20">
        <f>IFERROR(F97-E97,"n/a")</f>
        <v>159.5</v>
      </c>
      <c r="G99" s="20" t="s">
        <v>34</v>
      </c>
      <c r="H99" s="20">
        <f>IFERROR(H97-F97,"n/a")</f>
        <v>279.2000000000003</v>
      </c>
      <c r="I99" s="20">
        <f>IFERROR(I97-H97,"n/a")</f>
        <v>206.5</v>
      </c>
      <c r="J99" s="48">
        <f>IFERROR(J97-I97,"n/a")</f>
        <v>165.5999999999999</v>
      </c>
      <c r="K99" s="45"/>
    </row>
    <row r="100">
      <c r="B100" s="2" t="s">
        <v>210</v>
      </c>
      <c r="C100" s="12">
        <v>1807.6</v>
      </c>
      <c r="D100" s="12">
        <v>1975.6</v>
      </c>
      <c r="E100" s="12">
        <v>2171</v>
      </c>
      <c r="F100" s="12">
        <v>2318.5</v>
      </c>
      <c r="G100" s="20" t="s">
        <v>34</v>
      </c>
      <c r="H100" s="12">
        <v>2449.4</v>
      </c>
      <c r="I100" s="12">
        <v>2795.1</v>
      </c>
      <c r="J100" s="53">
        <v>2930.1</v>
      </c>
      <c r="K100" s="45"/>
    </row>
    <row r="101">
      <c r="B101" s="49" t="s">
        <v>150</v>
      </c>
      <c r="C101" s="33">
        <f>IFERROR(IF(OR(ABS(Inputs!C210)&lt;0.5,C100*Inputs!C210&lt;0),"n/m",C100/Inputs!C210-1),"n/a")</f>
        <v>0.15560669991049725</v>
      </c>
      <c r="D101" s="33">
        <f>IFERROR(IF(OR(ABS(Inputs!D210)&lt;0.5,D100*Inputs!D210&lt;0),"n/m",D100/Inputs!D210-1),"n/a")</f>
        <v>0.21523036230546833</v>
      </c>
      <c r="E101" s="33">
        <f>IFERROR(IF(OR(ABS(Inputs!E210)&lt;0.5,E100*Inputs!E210&lt;0),"n/m",E100/Inputs!E210-1),"n/a")</f>
        <v>0.26996197718631176</v>
      </c>
      <c r="F101" s="33">
        <f>IFERROR(IF(OR(ABS(Inputs!F210)&lt;0.5,F100*Inputs!F210&lt;0),"n/m",F100/Inputs!F210-1),"n/a")</f>
        <v>0.3168058158686886</v>
      </c>
      <c r="G101" s="33" t="str">
        <f>IFERROR(IF(OR(ABS(Inputs!G210)&lt;0.5,G100*Inputs!G210&lt;0),"n/m",G100/Inputs!G210-1),"n/a")</f>
        <v>n/a</v>
      </c>
      <c r="H101" s="19">
        <f>IFERROR(IF(OR(ABS(C100)&lt;0.5,H100*C100&lt;0),"n/m",H100/C100-1),"n/a")</f>
        <v>0.35505642841336593</v>
      </c>
      <c r="I101" s="19">
        <f>IFERROR(IF(OR(ABS(D100)&lt;0.5,I100*D100&lt;0),"n/m",I100/D100-1),"n/a")</f>
        <v>0.41481069042316254</v>
      </c>
      <c r="J101" s="46">
        <f>IFERROR(IF(OR(ABS(E100)&lt;0.5,J100*E100&lt;0),"n/m",J100/E100-1),"n/a")</f>
        <v>0.34965453707968663</v>
      </c>
      <c r="K101" s="45"/>
    </row>
    <row r="102">
      <c r="B102" s="42" t="s">
        <v>118</v>
      </c>
      <c r="C102" s="4">
        <f>IFERROR(C100-Inputs!F210,"n/a")</f>
        <v>46.899999999999864</v>
      </c>
      <c r="D102" s="20">
        <f>IFERROR(D100-C100,"n/a")</f>
        <v>168</v>
      </c>
      <c r="E102" s="20">
        <f>IFERROR(E100-D100,"n/a")</f>
        <v>195.4000000000001</v>
      </c>
      <c r="F102" s="20">
        <f>IFERROR(F100-E100,"n/a")</f>
        <v>147.5</v>
      </c>
      <c r="G102" s="20" t="s">
        <v>34</v>
      </c>
      <c r="H102" s="20">
        <f>IFERROR(H100-F100,"n/a")</f>
        <v>130.9000000000001</v>
      </c>
      <c r="I102" s="20">
        <f>IFERROR(I100-H100,"n/a")</f>
        <v>345.6999999999998</v>
      </c>
      <c r="J102" s="48">
        <f>IFERROR(J100-I100,"n/a")</f>
        <v>135</v>
      </c>
      <c r="K102" s="45"/>
    </row>
    <row r="103">
      <c r="B103" s="2" t="s">
        <v>211</v>
      </c>
      <c r="C103" s="12">
        <v>1793.7</v>
      </c>
      <c r="D103" s="12">
        <v>1868.7</v>
      </c>
      <c r="E103" s="12">
        <v>2108.4</v>
      </c>
      <c r="F103" s="12">
        <v>2274.5</v>
      </c>
      <c r="G103" s="20">
        <f>AVERAGE(C103:F103)</f>
        <v>2011.325</v>
      </c>
      <c r="H103" s="12">
        <v>2471</v>
      </c>
      <c r="I103" s="12">
        <v>2706</v>
      </c>
      <c r="J103" s="48">
        <f>AVERAGE(J94,J97,J100)</f>
        <v>2877.933333333333</v>
      </c>
      <c r="K103" s="45" t="s">
        <v>212</v>
      </c>
    </row>
    <row r="104">
      <c r="B104" s="49" t="s">
        <v>150</v>
      </c>
      <c r="C104" s="33">
        <f>IFERROR(IF(OR(ABS(Inputs!C211)&lt;0.5,C103*Inputs!C211&lt;0),"n/m",C103/Inputs!C211-1),"n/a")</f>
        <v>0.18882555673382817</v>
      </c>
      <c r="D104" s="33">
        <f>IFERROR(IF(OR(ABS(Inputs!D211)&lt;0.5,D103*Inputs!D211&lt;0),"n/m",D103/Inputs!D211-1),"n/a")</f>
        <v>0.17483968313843845</v>
      </c>
      <c r="E104" s="33">
        <f>IFERROR(IF(OR(ABS(Inputs!E211)&lt;0.5,E103*Inputs!E211&lt;0),"n/m",E103/Inputs!E211-1),"n/a")</f>
        <v>0.25724508050089456</v>
      </c>
      <c r="F104" s="33">
        <f>IFERROR(IF(OR(ABS(Inputs!F211)&lt;0.5,F103*Inputs!F211&lt;0),"n/m",F103/Inputs!F211-1),"n/a")</f>
        <v>0.29571607610800954</v>
      </c>
      <c r="G104" s="33">
        <f>IFERROR(IF(OR(ABS(Inputs!G211)&lt;0.5,G103*Inputs!G211&lt;0),"n/m",G103/Inputs!G211-1),"n/a")</f>
        <v>0.2317502602731336</v>
      </c>
      <c r="H104" s="19">
        <f>IFERROR(IF(OR(ABS(C103)&lt;0.5,H103*C103&lt;0),"n/m",H103/C103-1),"n/a")</f>
        <v>0.377599375592351</v>
      </c>
      <c r="I104" s="19">
        <f>IFERROR(IF(OR(ABS(D103)&lt;0.5,I103*D103&lt;0),"n/m",I103/D103-1),"n/a")</f>
        <v>0.4480655000802696</v>
      </c>
      <c r="J104" s="46">
        <f>IFERROR(IF(OR(ABS(E103)&lt;0.5,J103*E103&lt;0),"n/m",J103/E103-1),"n/a")</f>
        <v>0.3649845064187691</v>
      </c>
      <c r="K104" s="45"/>
    </row>
    <row r="105">
      <c r="B105" s="42" t="s">
        <v>118</v>
      </c>
      <c r="C105" s="4">
        <f>IFERROR(C103-Inputs!F211,"n/a")</f>
        <v>38.299999999999955</v>
      </c>
      <c r="D105" s="20">
        <f>IFERROR(D103-C103,"n/a")</f>
        <v>75</v>
      </c>
      <c r="E105" s="20">
        <f>IFERROR(E103-D103,"n/a")</f>
        <v>239.70000000000005</v>
      </c>
      <c r="F105" s="20">
        <f>IFERROR(F103-E103,"n/a")</f>
        <v>166.0999999999999</v>
      </c>
      <c r="G105" s="20" t="s">
        <v>34</v>
      </c>
      <c r="H105" s="20">
        <f>IFERROR(H103-F103,"n/a")</f>
        <v>196.5</v>
      </c>
      <c r="I105" s="20">
        <f>IFERROR(I103-H103,"n/a")</f>
        <v>235</v>
      </c>
      <c r="J105" s="48">
        <f>IFERROR(J103-I103,"n/a")</f>
        <v>171.93333333333294</v>
      </c>
      <c r="K105" s="45"/>
    </row>
    <row r="106">
      <c r="B106" s="42" t="s">
        <v>213</v>
      </c>
      <c r="C106" s="20">
        <f>AVERAGE(C94,C97,C100)</f>
        <v>1794.5333333333335</v>
      </c>
      <c r="D106" s="20">
        <f>AVERAGE(D94,D97,D100)</f>
        <v>1868.3666666666668</v>
      </c>
      <c r="E106" s="20">
        <f>AVERAGE(E94,E97,E100)</f>
        <v>2109.1</v>
      </c>
      <c r="F106" s="20">
        <f>AVERAGE(F94,F97,F100)</f>
        <v>2273.1666666666665</v>
      </c>
      <c r="G106" s="20" t="s">
        <v>34</v>
      </c>
      <c r="H106" s="20">
        <f>AVERAGE(H94,H97,H100)</f>
        <v>2472.9</v>
      </c>
      <c r="I106" s="20">
        <f>AVERAGE(I94,I97,I100)</f>
        <v>2705.7999999999997</v>
      </c>
      <c r="J106" s="48">
        <f>AVERAGE(J94,J97,J100)</f>
        <v>2877.933333333333</v>
      </c>
      <c r="K106" s="45"/>
    </row>
    <row r="107">
      <c r="B107" s="2" t="s">
        <v>214</v>
      </c>
      <c r="C107" s="27">
        <f>Inputs!F212</f>
        <v>2.44</v>
      </c>
      <c r="D107" s="79">
        <f>C108</f>
        <v>2.43</v>
      </c>
      <c r="E107" s="79">
        <f>D108</f>
        <v>2.43</v>
      </c>
      <c r="F107" s="79">
        <f>E108</f>
        <v>2.41</v>
      </c>
      <c r="G107" s="79">
        <f>C107</f>
        <v>2.44</v>
      </c>
      <c r="H107" s="79">
        <f>F108</f>
        <v>2.41</v>
      </c>
      <c r="I107" s="79">
        <f>H108</f>
        <v>2.35</v>
      </c>
      <c r="J107" s="87">
        <f>I108</f>
        <v>2.28</v>
      </c>
      <c r="K107" s="45"/>
    </row>
    <row r="108">
      <c r="B108" s="2" t="s">
        <v>215</v>
      </c>
      <c r="C108" s="81">
        <v>2.43</v>
      </c>
      <c r="D108" s="81">
        <v>2.43</v>
      </c>
      <c r="E108" s="81">
        <v>2.41</v>
      </c>
      <c r="F108" s="81">
        <v>2.41</v>
      </c>
      <c r="G108" s="79">
        <f>F108</f>
        <v>2.41</v>
      </c>
      <c r="H108" s="81">
        <v>2.35</v>
      </c>
      <c r="I108" s="81">
        <v>2.28</v>
      </c>
      <c r="J108" s="85">
        <v>2.27</v>
      </c>
      <c r="K108" s="45" t="s">
        <v>216</v>
      </c>
    </row>
    <row r="109">
      <c r="B109" s="49" t="s">
        <v>120</v>
      </c>
      <c r="C109" s="83">
        <f>C108-Inputs!C212</f>
        <v>-0.04999999999999982</v>
      </c>
      <c r="D109" s="83">
        <f>D108-Inputs!D212</f>
        <v>-0.040000000000000036</v>
      </c>
      <c r="E109" s="83">
        <f>E108-Inputs!E212</f>
        <v>-0.029999999999999805</v>
      </c>
      <c r="F109" s="83">
        <f>F108-Inputs!F212</f>
        <v>-0.029999999999999805</v>
      </c>
      <c r="G109" s="83">
        <f>G108-Inputs!G212</f>
        <v>-0.029999999999999805</v>
      </c>
      <c r="H109" s="80">
        <f>H108-C108</f>
        <v>-0.08000000000000007</v>
      </c>
      <c r="I109" s="80">
        <f>I108-D108</f>
        <v>-0.15000000000000036</v>
      </c>
      <c r="J109" s="82">
        <f>J108-E108</f>
        <v>-0.14000000000000012</v>
      </c>
      <c r="K109" s="45"/>
    </row>
    <row r="110">
      <c r="B110" s="49" t="s">
        <v>121</v>
      </c>
      <c r="C110" s="80">
        <f>C108-C107</f>
        <v>-0.009999999999999787</v>
      </c>
      <c r="D110" s="80">
        <f>D108-C108</f>
        <v>0</v>
      </c>
      <c r="E110" s="80">
        <f>E108-D108</f>
        <v>-0.020000000000000018</v>
      </c>
      <c r="F110" s="80">
        <f>F108-E108</f>
        <v>0</v>
      </c>
      <c r="G110" s="80" t="s">
        <v>34</v>
      </c>
      <c r="H110" s="80">
        <f>H108-F108</f>
        <v>-0.06000000000000005</v>
      </c>
      <c r="I110" s="80">
        <f>I108-H108</f>
        <v>-0.07000000000000028</v>
      </c>
      <c r="J110" s="82">
        <f>J108-I108</f>
        <v>-0.009999999999999787</v>
      </c>
      <c r="K110" s="45"/>
    </row>
    <row r="111">
      <c r="B111" s="2" t="s">
        <v>217</v>
      </c>
      <c r="C111" s="79">
        <f>C117/(C103*1000*C7/365)*10000</f>
        <v>2.554929909002496</v>
      </c>
      <c r="D111" s="79">
        <f>D117/(D103*1000*D7/365)*10000</f>
        <v>2.549930403518459</v>
      </c>
      <c r="E111" s="79">
        <f>E117/(E103*1000*E7/365)*10000</f>
        <v>2.497025356132406</v>
      </c>
      <c r="F111" s="79">
        <f>F117/(F103*1000*F7/365)*10000</f>
        <v>2.5030584839477386</v>
      </c>
      <c r="G111" s="79">
        <f>G117/(G103*1000*G7/365)*10000</f>
        <v>2.5256982337513825</v>
      </c>
      <c r="H111" s="79">
        <f>H117/(H103*1000*H7/365)*10000</f>
        <v>2.489792706506587</v>
      </c>
      <c r="I111" s="79">
        <f>I117/(I103*1000*I7/365)*10000</f>
        <v>2.386434703507874</v>
      </c>
      <c r="J111" s="87">
        <f>AVERAGE(J107,J108)*J114</f>
        <v>2.358851296502469</v>
      </c>
      <c r="K111" s="45" t="s">
        <v>218</v>
      </c>
    </row>
    <row r="112">
      <c r="B112" s="49" t="s">
        <v>120</v>
      </c>
      <c r="C112" s="80" t="s">
        <v>34</v>
      </c>
      <c r="D112" s="80" t="s">
        <v>34</v>
      </c>
      <c r="E112" s="80" t="s">
        <v>34</v>
      </c>
      <c r="F112" s="80" t="s">
        <v>34</v>
      </c>
      <c r="G112" s="80" t="s">
        <v>34</v>
      </c>
      <c r="H112" s="80">
        <f>H111-C111</f>
        <v>-0.06513720249590893</v>
      </c>
      <c r="I112" s="80">
        <f>I111-D111</f>
        <v>-0.16349570001058478</v>
      </c>
      <c r="J112" s="82">
        <f>J111-E111</f>
        <v>-0.13817405962993723</v>
      </c>
      <c r="K112" s="45"/>
    </row>
    <row r="113">
      <c r="B113" s="49" t="s">
        <v>121</v>
      </c>
      <c r="C113" s="80" t="s">
        <v>34</v>
      </c>
      <c r="D113" s="80">
        <f>D111-C111</f>
        <v>-0.004999505484037048</v>
      </c>
      <c r="E113" s="80">
        <f>E111-D111</f>
        <v>-0.05290504738605284</v>
      </c>
      <c r="F113" s="80">
        <f>F111-E111</f>
        <v>0.006033127815332495</v>
      </c>
      <c r="G113" s="80" t="s">
        <v>34</v>
      </c>
      <c r="H113" s="80">
        <f>H111-F111</f>
        <v>-0.013265777441151538</v>
      </c>
      <c r="I113" s="80">
        <f>I111-H111</f>
        <v>-0.1033580029987129</v>
      </c>
      <c r="J113" s="82">
        <f>J111-I111</f>
        <v>-0.02758340700540529</v>
      </c>
      <c r="K113" s="45"/>
    </row>
    <row r="114">
      <c r="B114" s="30" t="s">
        <v>219</v>
      </c>
      <c r="C114" s="19">
        <f>C111/AVERAGE(C107,C108)</f>
        <v>1.0492525293644748</v>
      </c>
      <c r="D114" s="19">
        <f>D111/AVERAGE(D107,D108)</f>
        <v>1.0493540755219994</v>
      </c>
      <c r="E114" s="19">
        <f>E111/AVERAGE(E107,E108)</f>
        <v>1.0318286595588455</v>
      </c>
      <c r="F114" s="19">
        <f>F111/AVERAGE(F107,F108)</f>
        <v>1.038613478816489</v>
      </c>
      <c r="G114" s="19" t="s">
        <v>34</v>
      </c>
      <c r="H114" s="19">
        <f>H111/AVERAGE(H107,H108)</f>
        <v>1.046131389288482</v>
      </c>
      <c r="I114" s="19">
        <f>I111/AVERAGE(I107,I108)</f>
        <v>1.0308573233295353</v>
      </c>
      <c r="J114" s="46">
        <f>AVERAGE(E114,F114,H114,I114)</f>
        <v>1.036857712748338</v>
      </c>
      <c r="K114" s="45" t="s">
        <v>191</v>
      </c>
    </row>
    <row r="115">
      <c r="B115" s="49" t="s">
        <v>120</v>
      </c>
      <c r="C115" s="62" t="s">
        <v>34</v>
      </c>
      <c r="D115" s="62" t="s">
        <v>34</v>
      </c>
      <c r="E115" s="62" t="s">
        <v>34</v>
      </c>
      <c r="F115" s="62" t="s">
        <v>34</v>
      </c>
      <c r="G115" s="62" t="s">
        <v>34</v>
      </c>
      <c r="H115" s="62">
        <f>IFERROR((H114-C114)*10000,"n/a")</f>
        <v>-31.211400759927344</v>
      </c>
      <c r="I115" s="62">
        <f>IFERROR((I114-D114)*10000,"n/a")</f>
        <v>-184.9675219246416</v>
      </c>
      <c r="J115" s="64">
        <f>IFERROR((J114-E114)*10000,"n/a")</f>
        <v>50.29053189492538</v>
      </c>
      <c r="K115" s="45"/>
    </row>
    <row r="116">
      <c r="B116" s="49" t="s">
        <v>121</v>
      </c>
      <c r="C116" s="62" t="s">
        <v>34</v>
      </c>
      <c r="D116" s="62">
        <f>IFERROR((D114-C114)*10000,"n/a")</f>
        <v>1.015461575246679</v>
      </c>
      <c r="E116" s="62">
        <f>IFERROR((E114-D114)*10000,"n/a")</f>
        <v>-175.25415963153935</v>
      </c>
      <c r="F116" s="62">
        <f>IFERROR((F114-E114)*10000,"n/a")</f>
        <v>67.84819257643404</v>
      </c>
      <c r="G116" s="62" t="s">
        <v>34</v>
      </c>
      <c r="H116" s="62">
        <f>IFERROR((H114-F114)*10000,"n/a")</f>
        <v>75.17910471993127</v>
      </c>
      <c r="I116" s="62">
        <f>IFERROR((I114-H114)*10000,"n/a")</f>
        <v>-152.74065958946758</v>
      </c>
      <c r="J116" s="64">
        <f>IFERROR((J114-I114)*10000,"n/a")</f>
        <v>60.00389418802765</v>
      </c>
      <c r="K116" s="45"/>
    </row>
    <row r="117">
      <c r="B117" s="2" t="s">
        <v>220</v>
      </c>
      <c r="C117" s="12">
        <v>113</v>
      </c>
      <c r="D117" s="12">
        <v>118.8</v>
      </c>
      <c r="E117" s="12">
        <v>132.7</v>
      </c>
      <c r="F117" s="12">
        <v>143.5</v>
      </c>
      <c r="G117" s="20">
        <f>SUM(C117:F117)</f>
        <v>508</v>
      </c>
      <c r="H117" s="12">
        <v>151.7</v>
      </c>
      <c r="I117" s="12">
        <v>161</v>
      </c>
      <c r="J117" s="48">
        <f>J103*1000*J7/365*J111/10000</f>
        <v>171.110340619576</v>
      </c>
      <c r="K117" s="45" t="s">
        <v>221</v>
      </c>
    </row>
    <row r="118">
      <c r="B118" s="49" t="s">
        <v>116</v>
      </c>
      <c r="C118" s="19" t="s">
        <v>34</v>
      </c>
      <c r="D118" s="19" t="s">
        <v>34</v>
      </c>
      <c r="E118" s="9">
        <v>0.24</v>
      </c>
      <c r="F118" s="9">
        <v>0.29</v>
      </c>
      <c r="G118" s="19" t="s">
        <v>34</v>
      </c>
      <c r="H118" s="19">
        <f>IFERROR(IF(OR(ABS(C117)&lt;0.5,H117*C117&lt;0),"n/m",H117/C117-1),"n/a")</f>
        <v>0.3424778761061946</v>
      </c>
      <c r="I118" s="19">
        <f>IFERROR(IF(OR(ABS(D117)&lt;0.5,I117*D117&lt;0),"n/m",I117/D117-1),"n/a")</f>
        <v>0.3552188552188553</v>
      </c>
      <c r="J118" s="46">
        <f>IFERROR(IF(OR(ABS(E117)&lt;0.5,J117*E117&lt;0),"n/m",J117/E117-1),"n/a")</f>
        <v>0.28945245380238127</v>
      </c>
      <c r="K118" s="45"/>
    </row>
    <row r="119">
      <c r="B119" s="49" t="s">
        <v>117</v>
      </c>
      <c r="C119" s="19" t="s">
        <v>34</v>
      </c>
      <c r="D119" s="19">
        <f>IFERROR(IF(OR(ABS(C117)&lt;0.5,D117*C117&lt;0),"n/m",D117/C117-1),"n/a")</f>
        <v>0.051327433628318486</v>
      </c>
      <c r="E119" s="19">
        <f>IFERROR(IF(OR(ABS(D117)&lt;0.5,E117*D117&lt;0),"n/m",E117/D117-1),"n/a")</f>
        <v>0.117003367003367</v>
      </c>
      <c r="F119" s="19">
        <f>IFERROR(IF(OR(ABS(E117)&lt;0.5,F117*E117&lt;0),"n/m",F117/E117-1),"n/a")</f>
        <v>0.08138658628485307</v>
      </c>
      <c r="G119" s="19" t="s">
        <v>34</v>
      </c>
      <c r="H119" s="19">
        <f>IFERROR(IF(OR(ABS(F117)&lt;0.5,H117*F117&lt;0),"n/m",H117/F117-1),"n/a")</f>
        <v>0.05714285714285716</v>
      </c>
      <c r="I119" s="19">
        <f>IFERROR(IF(OR(ABS(H117)&lt;0.5,I117*H117&lt;0),"n/m",I117/H117-1),"n/a")</f>
        <v>0.061305207646671134</v>
      </c>
      <c r="J119" s="46">
        <f>IFERROR(IF(OR(ABS(I117)&lt;0.5,J117*I117&lt;0),"n/m",J117/I117-1),"n/a")</f>
        <v>0.0627971467054409</v>
      </c>
      <c r="K119" s="45"/>
    </row>
    <row r="120">
      <c r="B120" s="42" t="s">
        <v>118</v>
      </c>
      <c r="C120" s="20" t="s">
        <v>34</v>
      </c>
      <c r="D120" s="20">
        <f>IFERROR(D117-C117,"n/a")</f>
        <v>5.799999999999997</v>
      </c>
      <c r="E120" s="20">
        <f>IFERROR(E117-D117,"n/a")</f>
        <v>13.899999999999991</v>
      </c>
      <c r="F120" s="20">
        <f>IFERROR(F117-E117,"n/a")</f>
        <v>10.800000000000011</v>
      </c>
      <c r="G120" s="20" t="s">
        <v>34</v>
      </c>
      <c r="H120" s="20">
        <f>IFERROR(H117-F117,"n/a")</f>
        <v>8.199999999999989</v>
      </c>
      <c r="I120" s="20">
        <f>IFERROR(I117-H117,"n/a")</f>
        <v>9.300000000000011</v>
      </c>
      <c r="J120" s="48">
        <f>IFERROR(J117-I117,"n/a")</f>
        <v>10.110340619575993</v>
      </c>
      <c r="K120" s="45"/>
    </row>
    <row r="121">
      <c r="B121" s="49" t="s">
        <v>119</v>
      </c>
      <c r="C121" s="33">
        <f>IFERROR(C117/'Revenue summary'!C40,"n/a")</f>
        <v>0.15150986959424853</v>
      </c>
      <c r="D121" s="33">
        <f>IFERROR(D117/'Revenue summary'!D40,"n/a")</f>
        <v>0.1537507813723422</v>
      </c>
      <c r="E121" s="33">
        <f>IFERROR(E117/'Revenue summary'!E40,"n/a")</f>
        <v>0.1672493717120437</v>
      </c>
      <c r="F121" s="33">
        <f>IFERROR(F117/'Revenue summary'!F40,"n/a")</f>
        <v>0.17446214596949894</v>
      </c>
      <c r="G121" s="33">
        <f>IFERROR(G117/'Revenue summary'!G40,"n/a")</f>
        <v>0.16206943526777665</v>
      </c>
      <c r="H121" s="33">
        <f>IFERROR(H117/'Revenue summary'!H40,"n/a")</f>
        <v>0.17830277385989657</v>
      </c>
      <c r="I121" s="33">
        <f>IFERROR(I117/'Revenue summary'!I40,"n/a")</f>
        <v>0.18569780853517878</v>
      </c>
      <c r="J121" s="69">
        <f>IFERROR(J117/'Revenue summary'!J40,"n/a")</f>
        <v>0.1928273591894611</v>
      </c>
      <c r="K121" s="45"/>
    </row>
    <row r="122">
      <c r="B122" s="65" t="s">
        <v>120</v>
      </c>
      <c r="C122" s="62" t="s">
        <v>34</v>
      </c>
      <c r="D122" s="62" t="s">
        <v>34</v>
      </c>
      <c r="E122" s="62" t="s">
        <v>34</v>
      </c>
      <c r="F122" s="62" t="s">
        <v>34</v>
      </c>
      <c r="G122" s="62" t="s">
        <v>34</v>
      </c>
      <c r="H122" s="62">
        <f>IFERROR((H121-C121)*10000,"n/a")</f>
        <v>267.92904265648036</v>
      </c>
      <c r="I122" s="62">
        <f>IFERROR((I121-D121)*10000,"n/a")</f>
        <v>319.47027162836594</v>
      </c>
      <c r="J122" s="64">
        <f>IFERROR((J121-E121)*10000,"n/a")</f>
        <v>255.7798747741738</v>
      </c>
      <c r="K122" s="45"/>
    </row>
    <row r="123">
      <c r="B123" s="65" t="s">
        <v>121</v>
      </c>
      <c r="C123" s="62" t="s">
        <v>34</v>
      </c>
      <c r="D123" s="62">
        <f>IFERROR((D121-C121)*10000,"n/a")</f>
        <v>22.409117780936572</v>
      </c>
      <c r="E123" s="62">
        <f>IFERROR((E121-D121)*10000,"n/a")</f>
        <v>134.98590339701522</v>
      </c>
      <c r="F123" s="62">
        <f>IFERROR((F121-E121)*10000,"n/a")</f>
        <v>72.12774257455229</v>
      </c>
      <c r="G123" s="62" t="s">
        <v>34</v>
      </c>
      <c r="H123" s="62">
        <f>IFERROR((H121-F121)*10000,"n/a")</f>
        <v>38.4062789039763</v>
      </c>
      <c r="I123" s="62">
        <f>IFERROR((I121-H121)*10000,"n/a")</f>
        <v>73.95034675282214</v>
      </c>
      <c r="J123" s="64">
        <f>IFERROR((J121-I121)*10000,"n/a")</f>
        <v>71.29550654282308</v>
      </c>
      <c r="K123" s="45"/>
    </row>
    <row r="124">
      <c r="B124" s="49" t="s">
        <v>122</v>
      </c>
      <c r="C124" s="19" t="s">
        <v>34</v>
      </c>
      <c r="D124" s="19" t="s">
        <v>34</v>
      </c>
      <c r="E124" s="19" t="s">
        <v>34</v>
      </c>
      <c r="F124" s="19" t="s">
        <v>34</v>
      </c>
      <c r="G124" s="19" t="s">
        <v>34</v>
      </c>
      <c r="H124" s="19" t="s">
        <v>34</v>
      </c>
      <c r="I124" s="19" t="s">
        <v>34</v>
      </c>
      <c r="J124" s="46" t="s">
        <v>34</v>
      </c>
      <c r="K124" s="45" t="s">
        <v>222</v>
      </c>
    </row>
    <row r="125">
      <c r="B125" s="49" t="s">
        <v>124</v>
      </c>
      <c r="C125" s="19" t="s">
        <v>34</v>
      </c>
      <c r="D125" s="19" t="s">
        <v>34</v>
      </c>
      <c r="E125" s="19" t="s">
        <v>34</v>
      </c>
      <c r="F125" s="19" t="s">
        <v>34</v>
      </c>
      <c r="G125" s="19" t="s">
        <v>34</v>
      </c>
      <c r="H125" s="19" t="s">
        <v>34</v>
      </c>
      <c r="I125" s="19" t="s">
        <v>34</v>
      </c>
      <c r="J125" s="46" t="s">
        <v>34</v>
      </c>
      <c r="K125" s="45" t="s">
        <v>223</v>
      </c>
    </row>
    <row r="126">
      <c r="B126" s="49" t="s">
        <v>125</v>
      </c>
      <c r="C126" s="19" t="s">
        <v>34</v>
      </c>
      <c r="D126" s="19" t="s">
        <v>34</v>
      </c>
      <c r="E126" s="19" t="s">
        <v>34</v>
      </c>
      <c r="F126" s="19" t="s">
        <v>34</v>
      </c>
      <c r="G126" s="19" t="s">
        <v>34</v>
      </c>
      <c r="H126" s="19" t="s">
        <v>34</v>
      </c>
      <c r="I126" s="19" t="s">
        <v>34</v>
      </c>
      <c r="J126" s="46" t="s">
        <v>34</v>
      </c>
      <c r="K126" s="45" t="s">
        <v>224</v>
      </c>
    </row>
    <row r="127">
      <c r="B127" s="24" t="s">
        <v>225</v>
      </c>
      <c r="C127" s="10"/>
      <c r="D127" s="10"/>
      <c r="E127" s="10"/>
      <c r="F127" s="10"/>
      <c r="G127" s="10"/>
      <c r="H127" s="10"/>
      <c r="I127" s="10"/>
      <c r="J127" s="51"/>
      <c r="K127" s="45" t="s">
        <v>226</v>
      </c>
    </row>
    <row r="128">
      <c r="B128" s="24" t="s">
        <v>227</v>
      </c>
      <c r="C128" s="44">
        <v>697.227</v>
      </c>
      <c r="D128" s="44">
        <v>757.298</v>
      </c>
      <c r="E128" s="44">
        <v>799.744</v>
      </c>
      <c r="F128" s="44">
        <v>852.464</v>
      </c>
      <c r="G128" s="60">
        <f>F128</f>
        <v>852.464</v>
      </c>
      <c r="H128" s="44">
        <v>872</v>
      </c>
      <c r="I128" s="44">
        <v>948.2</v>
      </c>
      <c r="J128" s="50">
        <f>J131+J137+J134</f>
        <v>965.1760999999999</v>
      </c>
      <c r="K128" s="45" t="s">
        <v>228</v>
      </c>
    </row>
    <row r="129">
      <c r="B129" s="49" t="s">
        <v>150</v>
      </c>
      <c r="C129" s="33">
        <f>IFERROR(IF(OR(ABS(Inputs!C213)&lt;0.5,C128*Inputs!C213&lt;0),"n/m",C128/Inputs!C213-1),"n/a")</f>
        <v>0.1255926810250052</v>
      </c>
      <c r="D129" s="33">
        <f>IFERROR(IF(OR(ABS(Inputs!D213)&lt;0.5,D128*Inputs!D213&lt;0),"n/m",D128/Inputs!D213-1),"n/a")</f>
        <v>0.17081805968049402</v>
      </c>
      <c r="E129" s="33">
        <f>IFERROR(IF(OR(ABS(Inputs!E213)&lt;0.5,E128*Inputs!E213&lt;0),"n/m",E128/Inputs!E213-1),"n/a")</f>
        <v>0.17013674498362752</v>
      </c>
      <c r="F129" s="33">
        <f>IFERROR(IF(OR(ABS(Inputs!F213)&lt;0.5,F128*Inputs!F213&lt;0),"n/m",F128/Inputs!F213-1),"n/a")</f>
        <v>0.2562116949774462</v>
      </c>
      <c r="G129" s="33">
        <f>IFERROR(IF(OR(ABS(Inputs!G213)&lt;0.5,G128*Inputs!G213&lt;0),"n/m",G128/Inputs!G213-1),"n/a")</f>
        <v>0.2562116949774462</v>
      </c>
      <c r="H129" s="19">
        <f>IFERROR(IF(OR(ABS(C128)&lt;0.5,H128*C128&lt;0),"n/m",H128/C128-1),"n/a")</f>
        <v>0.2506687205171343</v>
      </c>
      <c r="I129" s="19">
        <f>IFERROR(IF(OR(ABS(D128)&lt;0.5,I128*D128&lt;0),"n/m",I128/D128-1),"n/a")</f>
        <v>0.25208306373448774</v>
      </c>
      <c r="J129" s="46">
        <f>IFERROR(IF(OR(ABS(E128)&lt;0.5,J128*E128&lt;0),"n/m",J128/E128-1),"n/a")</f>
        <v>0.2068563190220869</v>
      </c>
      <c r="K129" s="45"/>
    </row>
    <row r="130">
      <c r="B130" s="42" t="s">
        <v>118</v>
      </c>
      <c r="C130" s="4">
        <f>IFERROR(C128-Inputs!F213,"n/a")</f>
        <v>18.62799999999993</v>
      </c>
      <c r="D130" s="20">
        <f>IFERROR(D128-C128,"n/a")</f>
        <v>60.071000000000026</v>
      </c>
      <c r="E130" s="20">
        <f>IFERROR(E128-D128,"n/a")</f>
        <v>42.446000000000026</v>
      </c>
      <c r="F130" s="20">
        <f>IFERROR(F128-E128,"n/a")</f>
        <v>52.72000000000003</v>
      </c>
      <c r="G130" s="20" t="s">
        <v>34</v>
      </c>
      <c r="H130" s="20">
        <f>IFERROR(H128-F128,"n/a")</f>
        <v>19.535999999999945</v>
      </c>
      <c r="I130" s="20">
        <f>IFERROR(I128-H128,"n/a")</f>
        <v>76.20000000000005</v>
      </c>
      <c r="J130" s="48">
        <f>IFERROR(J128-I128,"n/a")</f>
        <v>16.97609999999986</v>
      </c>
      <c r="K130" s="45"/>
    </row>
    <row r="131">
      <c r="B131" s="2" t="s">
        <v>229</v>
      </c>
      <c r="C131" s="20">
        <f>C90*C108/10</f>
        <v>433.2933</v>
      </c>
      <c r="D131" s="20">
        <f>D90*D108/10</f>
        <v>491.9778</v>
      </c>
      <c r="E131" s="20">
        <f>E90*E108/10</f>
        <v>532.851</v>
      </c>
      <c r="F131" s="20">
        <f>F90*F108/10</f>
        <v>564.1087</v>
      </c>
      <c r="G131" s="20">
        <f>G90*G108/10</f>
        <v>564.1087</v>
      </c>
      <c r="H131" s="20">
        <f>H90*H108/10</f>
        <v>564.7755000000001</v>
      </c>
      <c r="I131" s="20">
        <f>I90*I108/10</f>
        <v>642.5724</v>
      </c>
      <c r="J131" s="48">
        <f>J90*J108/10</f>
        <v>659.5485</v>
      </c>
      <c r="K131" s="45"/>
    </row>
    <row r="132">
      <c r="B132" s="49" t="s">
        <v>150</v>
      </c>
      <c r="C132" s="19" t="s">
        <v>34</v>
      </c>
      <c r="D132" s="19" t="s">
        <v>34</v>
      </c>
      <c r="E132" s="19" t="s">
        <v>34</v>
      </c>
      <c r="F132" s="19" t="s">
        <v>34</v>
      </c>
      <c r="G132" s="19" t="s">
        <v>34</v>
      </c>
      <c r="H132" s="19">
        <f>IFERROR(IF(OR(ABS(C131)&lt;0.5,H131*C131&lt;0),"n/m",H131/C131-1),"n/a")</f>
        <v>0.3034484955110086</v>
      </c>
      <c r="I132" s="19">
        <f>IFERROR(IF(OR(ABS(D131)&lt;0.5,I131*D131&lt;0),"n/m",I131/D131-1),"n/a")</f>
        <v>0.30610039721304494</v>
      </c>
      <c r="J132" s="46">
        <f>IFERROR(IF(OR(ABS(E131)&lt;0.5,J131*E131&lt;0),"n/m",J131/E131-1),"n/a")</f>
        <v>0.23777284831969903</v>
      </c>
      <c r="K132" s="45"/>
    </row>
    <row r="133">
      <c r="B133" s="42" t="s">
        <v>118</v>
      </c>
      <c r="C133" s="20" t="s">
        <v>34</v>
      </c>
      <c r="D133" s="20">
        <f>IFERROR(D131-C131,"n/a")</f>
        <v>58.684500000000014</v>
      </c>
      <c r="E133" s="20">
        <f>IFERROR(E131-D131,"n/a")</f>
        <v>40.8732</v>
      </c>
      <c r="F133" s="20">
        <f>IFERROR(F131-E131,"n/a")</f>
        <v>31.2577</v>
      </c>
      <c r="G133" s="20" t="s">
        <v>34</v>
      </c>
      <c r="H133" s="20">
        <f>IFERROR(H131-F131,"n/a")</f>
        <v>0.6668000000000802</v>
      </c>
      <c r="I133" s="20">
        <f>IFERROR(I131-H131,"n/a")</f>
        <v>77.79689999999994</v>
      </c>
      <c r="J133" s="48">
        <f>IFERROR(J131-I131,"n/a")</f>
        <v>16.976099999999974</v>
      </c>
      <c r="K133" s="45"/>
    </row>
    <row r="134">
      <c r="B134" s="2" t="s">
        <v>230</v>
      </c>
      <c r="C134" s="12">
        <v>58.2</v>
      </c>
      <c r="D134" s="12">
        <v>59.5</v>
      </c>
      <c r="E134" s="12">
        <v>56.6</v>
      </c>
      <c r="F134" s="12">
        <v>56.6</v>
      </c>
      <c r="G134" s="20">
        <f>F134</f>
        <v>56.6</v>
      </c>
      <c r="H134" s="12">
        <v>64.8</v>
      </c>
      <c r="I134" s="12">
        <v>64.3</v>
      </c>
      <c r="J134" s="48">
        <f>I134</f>
        <v>64.3</v>
      </c>
      <c r="K134" s="45" t="s">
        <v>231</v>
      </c>
    </row>
    <row r="135">
      <c r="B135" s="49" t="s">
        <v>150</v>
      </c>
      <c r="C135" s="19" t="s">
        <v>34</v>
      </c>
      <c r="D135" s="19" t="s">
        <v>34</v>
      </c>
      <c r="E135" s="19" t="s">
        <v>34</v>
      </c>
      <c r="F135" s="19" t="s">
        <v>34</v>
      </c>
      <c r="G135" s="19" t="s">
        <v>34</v>
      </c>
      <c r="H135" s="19">
        <f>IFERROR(IF(OR(ABS(C134)&lt;0.5,H134*C134&lt;0),"n/m",H134/C134-1),"n/a")</f>
        <v>0.11340206185566992</v>
      </c>
      <c r="I135" s="19">
        <f>IFERROR(IF(OR(ABS(D134)&lt;0.5,I134*D134&lt;0),"n/m",I134/D134-1),"n/a")</f>
        <v>0.08067226890756296</v>
      </c>
      <c r="J135" s="46">
        <f>IFERROR(IF(OR(ABS(E134)&lt;0.5,J134*E134&lt;0),"n/m",J134/E134-1),"n/a")</f>
        <v>0.13604240282685498</v>
      </c>
      <c r="K135" s="45"/>
    </row>
    <row r="136">
      <c r="B136" s="42" t="s">
        <v>118</v>
      </c>
      <c r="C136" s="20" t="s">
        <v>34</v>
      </c>
      <c r="D136" s="20">
        <f>IFERROR(D134-C134,"n/a")</f>
        <v>1.2999999999999972</v>
      </c>
      <c r="E136" s="20">
        <f>IFERROR(E134-D134,"n/a")</f>
        <v>-2.8999999999999986</v>
      </c>
      <c r="F136" s="20">
        <f>IFERROR(F134-E134,"n/a")</f>
        <v>0</v>
      </c>
      <c r="G136" s="20" t="s">
        <v>34</v>
      </c>
      <c r="H136" s="20">
        <f>IFERROR(H134-F134,"n/a")</f>
        <v>8.199999999999996</v>
      </c>
      <c r="I136" s="20">
        <f>IFERROR(I134-H134,"n/a")</f>
        <v>-0.5</v>
      </c>
      <c r="J136" s="48">
        <f>IFERROR(J134-I134,"n/a")</f>
        <v>0</v>
      </c>
      <c r="K136" s="45"/>
    </row>
    <row r="137">
      <c r="B137" s="2" t="s">
        <v>232</v>
      </c>
      <c r="C137" s="20">
        <f>C128-C131-C134</f>
        <v>205.7337</v>
      </c>
      <c r="D137" s="20">
        <f>D128-D131-D134</f>
        <v>205.8202</v>
      </c>
      <c r="E137" s="20">
        <f>E128-E131-E134</f>
        <v>210.29300000000003</v>
      </c>
      <c r="F137" s="20">
        <f>F128-F131-F134</f>
        <v>231.75530000000006</v>
      </c>
      <c r="G137" s="20">
        <f>G128-G131-G134</f>
        <v>231.75530000000006</v>
      </c>
      <c r="H137" s="20">
        <f>H128-H131-H134</f>
        <v>242.4244999999999</v>
      </c>
      <c r="I137" s="20">
        <f>I128-I131-I134</f>
        <v>241.32760000000002</v>
      </c>
      <c r="J137" s="48">
        <f>I137</f>
        <v>241.32760000000002</v>
      </c>
      <c r="K137" s="45" t="s">
        <v>233</v>
      </c>
    </row>
    <row r="138">
      <c r="B138" s="49" t="s">
        <v>150</v>
      </c>
      <c r="C138" s="19" t="s">
        <v>34</v>
      </c>
      <c r="D138" s="19" t="s">
        <v>34</v>
      </c>
      <c r="E138" s="19" t="s">
        <v>34</v>
      </c>
      <c r="F138" s="19" t="s">
        <v>34</v>
      </c>
      <c r="G138" s="19" t="s">
        <v>34</v>
      </c>
      <c r="H138" s="19">
        <f>IFERROR(IF(OR(ABS(C137)&lt;0.5,H137*C137&lt;0),"n/m",H137/C137-1),"n/a")</f>
        <v>0.17834122460248336</v>
      </c>
      <c r="I138" s="19">
        <f>IFERROR(IF(OR(ABS(D137)&lt;0.5,I137*D137&lt;0),"n/m",I137/D137-1),"n/a")</f>
        <v>0.17251659458109558</v>
      </c>
      <c r="J138" s="46">
        <f>IFERROR(IF(OR(ABS(E137)&lt;0.5,J137*E137&lt;0),"n/m",J137/E137-1),"n/a")</f>
        <v>0.14757790321123365</v>
      </c>
      <c r="K138" s="45"/>
    </row>
    <row r="139">
      <c r="B139" s="42" t="s">
        <v>118</v>
      </c>
      <c r="C139" s="20" t="s">
        <v>34</v>
      </c>
      <c r="D139" s="20">
        <f>IFERROR(D137-C137,"n/a")</f>
        <v>0.08650000000000091</v>
      </c>
      <c r="E139" s="20">
        <f>IFERROR(E137-D137,"n/a")</f>
        <v>4.472800000000035</v>
      </c>
      <c r="F139" s="20">
        <f>IFERROR(F137-E137,"n/a")</f>
        <v>21.462300000000027</v>
      </c>
      <c r="G139" s="20" t="s">
        <v>34</v>
      </c>
      <c r="H139" s="20">
        <f>IFERROR(H137-F137,"n/a")</f>
        <v>10.669199999999847</v>
      </c>
      <c r="I139" s="20">
        <f>IFERROR(I137-H137,"n/a")</f>
        <v>-1.0968999999998914</v>
      </c>
      <c r="J139" s="48">
        <f>IFERROR(J137-I137,"n/a")</f>
        <v>0</v>
      </c>
      <c r="K139" s="45"/>
    </row>
    <row r="140">
      <c r="B140" s="30" t="s">
        <v>234</v>
      </c>
      <c r="C140" s="19" t="s">
        <v>34</v>
      </c>
      <c r="D140" s="19">
        <f>D143/(C137/4)</f>
        <v>0.9799075212276841</v>
      </c>
      <c r="E140" s="19">
        <f>E143/(D137/4)</f>
        <v>0.9853260272801212</v>
      </c>
      <c r="F140" s="19">
        <f>F143/(E137/4)</f>
        <v>1.0271383260498446</v>
      </c>
      <c r="G140" s="19" t="s">
        <v>34</v>
      </c>
      <c r="H140" s="19">
        <f>H143/(F137/4)</f>
        <v>0.9768924378428452</v>
      </c>
      <c r="I140" s="19">
        <f>I143/(H137/4)</f>
        <v>0.9239990182510435</v>
      </c>
      <c r="J140" s="46">
        <f>AVERAGE(E140,F140,H140,I140)</f>
        <v>0.9783389523559636</v>
      </c>
      <c r="K140" s="45" t="s">
        <v>235</v>
      </c>
    </row>
    <row r="141">
      <c r="B141" s="49" t="s">
        <v>120</v>
      </c>
      <c r="C141" s="62" t="s">
        <v>34</v>
      </c>
      <c r="D141" s="62" t="s">
        <v>34</v>
      </c>
      <c r="E141" s="62" t="s">
        <v>34</v>
      </c>
      <c r="F141" s="62" t="s">
        <v>34</v>
      </c>
      <c r="G141" s="62" t="s">
        <v>34</v>
      </c>
      <c r="H141" s="62" t="str">
        <f>IFERROR((H140-C140)*10000,"n/a")</f>
        <v>n/a</v>
      </c>
      <c r="I141" s="62">
        <f>IFERROR((I140-D140)*10000,"n/a")</f>
        <v>-559.0850297664063</v>
      </c>
      <c r="J141" s="64">
        <f>IFERROR((J140-E140)*10000,"n/a")</f>
        <v>-69.87074924157622</v>
      </c>
      <c r="K141" s="45"/>
    </row>
    <row r="142">
      <c r="B142" s="49" t="s">
        <v>121</v>
      </c>
      <c r="C142" s="62" t="s">
        <v>34</v>
      </c>
      <c r="D142" s="62" t="str">
        <f>IFERROR((D140-C140)*10000,"n/a")</f>
        <v>n/a</v>
      </c>
      <c r="E142" s="62">
        <f>IFERROR((E140-D140)*10000,"n/a")</f>
        <v>54.185060524370996</v>
      </c>
      <c r="F142" s="62">
        <f>IFERROR((F140-E140)*10000,"n/a")</f>
        <v>418.12298769723367</v>
      </c>
      <c r="G142" s="62" t="s">
        <v>34</v>
      </c>
      <c r="H142" s="62">
        <f>IFERROR((H140-F140)*10000,"n/a")</f>
        <v>-502.45888206999376</v>
      </c>
      <c r="I142" s="62">
        <f>IFERROR((I140-H140)*10000,"n/a")</f>
        <v>-528.9341959180172</v>
      </c>
      <c r="J142" s="64">
        <f>IFERROR((J140-I140)*10000,"n/a")</f>
        <v>543.3993410492011</v>
      </c>
      <c r="K142" s="45"/>
    </row>
    <row r="143">
      <c r="B143" s="2" t="s">
        <v>236</v>
      </c>
      <c r="C143" s="12">
        <v>49.9</v>
      </c>
      <c r="D143" s="12">
        <v>50.4</v>
      </c>
      <c r="E143" s="12">
        <v>50.7</v>
      </c>
      <c r="F143" s="12">
        <v>54</v>
      </c>
      <c r="G143" s="20">
        <f>SUM(C143:F143)</f>
        <v>205</v>
      </c>
      <c r="H143" s="12">
        <v>56.6</v>
      </c>
      <c r="I143" s="12">
        <v>56</v>
      </c>
      <c r="J143" s="48">
        <f>I137/4*J140</f>
        <v>59.02504783964476</v>
      </c>
      <c r="K143" s="45" t="s">
        <v>237</v>
      </c>
    </row>
    <row r="144">
      <c r="B144" s="49" t="s">
        <v>116</v>
      </c>
      <c r="C144" s="19" t="s">
        <v>34</v>
      </c>
      <c r="D144" s="19" t="s">
        <v>34</v>
      </c>
      <c r="E144" s="9">
        <v>0.08</v>
      </c>
      <c r="F144" s="9">
        <v>0.08</v>
      </c>
      <c r="G144" s="19" t="s">
        <v>34</v>
      </c>
      <c r="H144" s="19">
        <f>IFERROR(IF(OR(ABS(C143)&lt;0.5,H143*C143&lt;0),"n/m",H143/C143-1),"n/a")</f>
        <v>0.13426853707414832</v>
      </c>
      <c r="I144" s="19">
        <f>IFERROR(IF(OR(ABS(D143)&lt;0.5,I143*D143&lt;0),"n/m",I143/D143-1),"n/a")</f>
        <v>0.11111111111111116</v>
      </c>
      <c r="J144" s="46">
        <f>IFERROR(IF(OR(ABS(E143)&lt;0.5,J143*E143&lt;0),"n/m",J143/E143-1),"n/a")</f>
        <v>0.16420212701468961</v>
      </c>
      <c r="K144" s="45"/>
    </row>
    <row r="145">
      <c r="B145" s="49" t="s">
        <v>117</v>
      </c>
      <c r="C145" s="19" t="s">
        <v>34</v>
      </c>
      <c r="D145" s="19">
        <f>IFERROR(IF(OR(ABS(C143)&lt;0.5,D143*C143&lt;0),"n/m",D143/C143-1),"n/a")</f>
        <v>0.01002004008016022</v>
      </c>
      <c r="E145" s="19">
        <f>IFERROR(IF(OR(ABS(D143)&lt;0.5,E143*D143&lt;0),"n/m",E143/D143-1),"n/a")</f>
        <v>0.005952380952380931</v>
      </c>
      <c r="F145" s="19">
        <f>IFERROR(IF(OR(ABS(E143)&lt;0.5,F143*E143&lt;0),"n/m",F143/E143-1),"n/a")</f>
        <v>0.06508875739644959</v>
      </c>
      <c r="G145" s="19" t="s">
        <v>34</v>
      </c>
      <c r="H145" s="19">
        <f>IFERROR(IF(OR(ABS(F143)&lt;0.5,H143*F143&lt;0),"n/m",H143/F143-1),"n/a")</f>
        <v>0.04814814814814827</v>
      </c>
      <c r="I145" s="19">
        <f>IFERROR(IF(OR(ABS(H143)&lt;0.5,I143*H143&lt;0),"n/m",I143/H143-1),"n/a")</f>
        <v>-0.010600706713780994</v>
      </c>
      <c r="J145" s="46">
        <f>IFERROR(IF(OR(ABS(I143)&lt;0.5,J143*I143&lt;0),"n/m",J143/I143-1),"n/a")</f>
        <v>0.054018711422227916</v>
      </c>
      <c r="K145" s="45"/>
    </row>
    <row r="146">
      <c r="B146" s="42" t="s">
        <v>118</v>
      </c>
      <c r="C146" s="20" t="s">
        <v>34</v>
      </c>
      <c r="D146" s="20">
        <f>IFERROR(D143-C143,"n/a")</f>
        <v>0.5</v>
      </c>
      <c r="E146" s="20">
        <f>IFERROR(E143-D143,"n/a")</f>
        <v>0.30000000000000426</v>
      </c>
      <c r="F146" s="20">
        <f>IFERROR(F143-E143,"n/a")</f>
        <v>3.299999999999997</v>
      </c>
      <c r="G146" s="20" t="s">
        <v>34</v>
      </c>
      <c r="H146" s="20">
        <f>IFERROR(H143-F143,"n/a")</f>
        <v>2.6000000000000014</v>
      </c>
      <c r="I146" s="20">
        <f>IFERROR(I143-H143,"n/a")</f>
        <v>-0.6000000000000014</v>
      </c>
      <c r="J146" s="48">
        <f>IFERROR(J143-I143,"n/a")</f>
        <v>3.0250478396447633</v>
      </c>
      <c r="K146" s="45"/>
    </row>
    <row r="147">
      <c r="B147" s="49" t="s">
        <v>119</v>
      </c>
      <c r="C147" s="33">
        <f>IFERROR(C143/'Revenue summary'!C40,"n/a")</f>
        <v>0.06690568577657524</v>
      </c>
      <c r="D147" s="33">
        <f>IFERROR(D143/'Revenue summary'!D40,"n/a")</f>
        <v>0.06522760421856941</v>
      </c>
      <c r="E147" s="33">
        <f>IFERROR(E143/'Revenue summary'!E40,"n/a")</f>
        <v>0.06390009906405891</v>
      </c>
      <c r="F147" s="33">
        <f>IFERROR(F143/'Revenue summary'!F40,"n/a")</f>
        <v>0.06565126050420168</v>
      </c>
      <c r="G147" s="33">
        <f>IFERROR(G143/'Revenue summary'!G40,"n/a")</f>
        <v>0.06540203588561853</v>
      </c>
      <c r="H147" s="33">
        <f>IFERROR(H143/'Revenue summary'!H40,"n/a")</f>
        <v>0.06652562294311237</v>
      </c>
      <c r="I147" s="33">
        <f>IFERROR(I143/'Revenue summary'!I40,"n/a")</f>
        <v>0.06459054209919261</v>
      </c>
      <c r="J147" s="69">
        <f>IFERROR(J143/'Revenue summary'!J40,"n/a")</f>
        <v>0.06651640140355246</v>
      </c>
      <c r="K147" s="45"/>
    </row>
    <row r="148">
      <c r="B148" s="65" t="s">
        <v>120</v>
      </c>
      <c r="C148" s="62" t="s">
        <v>34</v>
      </c>
      <c r="D148" s="62" t="s">
        <v>34</v>
      </c>
      <c r="E148" s="62" t="s">
        <v>34</v>
      </c>
      <c r="F148" s="62" t="s">
        <v>34</v>
      </c>
      <c r="G148" s="62" t="s">
        <v>34</v>
      </c>
      <c r="H148" s="62">
        <f>IFERROR((H147-C147)*10000,"n/a")</f>
        <v>-3.800628334628686</v>
      </c>
      <c r="I148" s="62">
        <f>IFERROR((I147-D147)*10000,"n/a")</f>
        <v>-6.370621193767939</v>
      </c>
      <c r="J148" s="64">
        <f>IFERROR((J147-E147)*10000,"n/a")</f>
        <v>26.163023394935454</v>
      </c>
      <c r="K148" s="45"/>
    </row>
    <row r="149">
      <c r="B149" s="65" t="s">
        <v>121</v>
      </c>
      <c r="C149" s="62" t="s">
        <v>34</v>
      </c>
      <c r="D149" s="62">
        <f>IFERROR((D147-C147)*10000,"n/a")</f>
        <v>-16.780815580058338</v>
      </c>
      <c r="E149" s="62">
        <f>IFERROR((E147-D147)*10000,"n/a")</f>
        <v>-13.275051545104944</v>
      </c>
      <c r="F149" s="62">
        <f>IFERROR((F147-E147)*10000,"n/a")</f>
        <v>17.511614401427707</v>
      </c>
      <c r="G149" s="62" t="s">
        <v>34</v>
      </c>
      <c r="H149" s="62">
        <f>IFERROR((H147-F147)*10000,"n/a")</f>
        <v>8.743624389106891</v>
      </c>
      <c r="I149" s="62">
        <f>IFERROR((I147-H147)*10000,"n/a")</f>
        <v>-19.350808439197593</v>
      </c>
      <c r="J149" s="64">
        <f>IFERROR((J147-I147)*10000,"n/a")</f>
        <v>19.25859304359845</v>
      </c>
      <c r="K149" s="45"/>
    </row>
    <row r="150">
      <c r="B150" s="49" t="s">
        <v>122</v>
      </c>
      <c r="C150" s="19" t="s">
        <v>34</v>
      </c>
      <c r="D150" s="19" t="s">
        <v>34</v>
      </c>
      <c r="E150" s="19" t="s">
        <v>34</v>
      </c>
      <c r="F150" s="19" t="s">
        <v>34</v>
      </c>
      <c r="G150" s="19" t="s">
        <v>34</v>
      </c>
      <c r="H150" s="19" t="s">
        <v>34</v>
      </c>
      <c r="I150" s="19" t="s">
        <v>34</v>
      </c>
      <c r="J150" s="46" t="s">
        <v>34</v>
      </c>
      <c r="K150" s="45" t="s">
        <v>222</v>
      </c>
    </row>
    <row r="151">
      <c r="B151" s="49" t="s">
        <v>124</v>
      </c>
      <c r="C151" s="19" t="s">
        <v>34</v>
      </c>
      <c r="D151" s="19" t="s">
        <v>34</v>
      </c>
      <c r="E151" s="19" t="s">
        <v>34</v>
      </c>
      <c r="F151" s="19" t="s">
        <v>34</v>
      </c>
      <c r="G151" s="19" t="s">
        <v>34</v>
      </c>
      <c r="H151" s="19" t="s">
        <v>34</v>
      </c>
      <c r="I151" s="19" t="s">
        <v>34</v>
      </c>
      <c r="J151" s="46" t="s">
        <v>34</v>
      </c>
      <c r="K151" s="45" t="s">
        <v>223</v>
      </c>
    </row>
    <row r="152">
      <c r="B152" s="49" t="s">
        <v>125</v>
      </c>
      <c r="C152" s="19" t="s">
        <v>34</v>
      </c>
      <c r="D152" s="19" t="s">
        <v>34</v>
      </c>
      <c r="E152" s="19" t="s">
        <v>34</v>
      </c>
      <c r="F152" s="19" t="s">
        <v>34</v>
      </c>
      <c r="G152" s="19" t="s">
        <v>34</v>
      </c>
      <c r="H152" s="19" t="s">
        <v>34</v>
      </c>
      <c r="I152" s="19" t="s">
        <v>34</v>
      </c>
      <c r="J152" s="46" t="s">
        <v>34</v>
      </c>
      <c r="K152" s="45" t="s">
        <v>224</v>
      </c>
    </row>
    <row r="153">
      <c r="B153" s="2" t="s">
        <v>238</v>
      </c>
      <c r="C153" s="12">
        <v>24.9</v>
      </c>
      <c r="D153" s="12">
        <v>25.1</v>
      </c>
      <c r="E153" s="12">
        <v>22.8</v>
      </c>
      <c r="F153" s="12">
        <v>23.2</v>
      </c>
      <c r="G153" s="20">
        <f>SUM(C153:F153)</f>
        <v>96</v>
      </c>
      <c r="H153" s="12">
        <v>29</v>
      </c>
      <c r="I153" s="12">
        <v>29.6</v>
      </c>
      <c r="J153" s="48" t="s">
        <v>34</v>
      </c>
      <c r="K153" s="45" t="s">
        <v>239</v>
      </c>
    </row>
    <row r="154">
      <c r="B154" s="49" t="s">
        <v>150</v>
      </c>
      <c r="C154" s="19" t="s">
        <v>34</v>
      </c>
      <c r="D154" s="19" t="s">
        <v>34</v>
      </c>
      <c r="E154" s="19" t="s">
        <v>34</v>
      </c>
      <c r="F154" s="19" t="s">
        <v>34</v>
      </c>
      <c r="G154" s="19" t="s">
        <v>34</v>
      </c>
      <c r="H154" s="19">
        <f>IFERROR(IF(OR(ABS(C153)&lt;0.5,H153*C153&lt;0),"n/m",H153/C153-1),"n/a")</f>
        <v>0.16465863453815266</v>
      </c>
      <c r="I154" s="19">
        <f>IFERROR(IF(OR(ABS(D153)&lt;0.5,I153*D153&lt;0),"n/m",I153/D153-1),"n/a")</f>
        <v>0.17928286852589648</v>
      </c>
      <c r="J154" s="46" t="str">
        <f>IFERROR(IF(OR(ABS(E153)&lt;0.5,J153*E153&lt;0),"n/m",J153/E153-1),"n/a")</f>
        <v>n/a</v>
      </c>
      <c r="K154" s="45"/>
    </row>
    <row r="155">
      <c r="B155" s="42" t="s">
        <v>118</v>
      </c>
      <c r="C155" s="20" t="s">
        <v>34</v>
      </c>
      <c r="D155" s="20">
        <f>IFERROR(D153-C153,"n/a")</f>
        <v>0.20000000000000284</v>
      </c>
      <c r="E155" s="20">
        <f>IFERROR(E153-D153,"n/a")</f>
        <v>-2.3000000000000007</v>
      </c>
      <c r="F155" s="20">
        <f>IFERROR(F153-E153,"n/a")</f>
        <v>0.3999999999999986</v>
      </c>
      <c r="G155" s="20" t="s">
        <v>34</v>
      </c>
      <c r="H155" s="20">
        <f>IFERROR(H153-F153,"n/a")</f>
        <v>5.800000000000001</v>
      </c>
      <c r="I155" s="20">
        <f>IFERROR(I153-H153,"n/a")</f>
        <v>0.6000000000000014</v>
      </c>
      <c r="J155" s="48" t="str">
        <f>IFERROR(J153-I153,"n/a")</f>
        <v>n/a</v>
      </c>
      <c r="K155" s="45"/>
    </row>
    <row r="156">
      <c r="B156" s="30" t="s">
        <v>240</v>
      </c>
      <c r="C156" s="19" t="s">
        <v>34</v>
      </c>
      <c r="D156" s="19">
        <f>D159/(C134/4)</f>
        <v>1.0240549828178693</v>
      </c>
      <c r="E156" s="19">
        <f>E159/(D134/4)</f>
        <v>0.9546218487394957</v>
      </c>
      <c r="F156" s="19">
        <f>F159/(E134/4)</f>
        <v>1.0035335689045937</v>
      </c>
      <c r="G156" s="19" t="s">
        <v>34</v>
      </c>
      <c r="H156" s="19">
        <f>H159/(F134/4)</f>
        <v>1.1448763250883398</v>
      </c>
      <c r="I156" s="19">
        <f>I159/(H134/4)</f>
        <v>0.9938271604938272</v>
      </c>
      <c r="J156" s="58">
        <v>1</v>
      </c>
      <c r="K156" s="45" t="s">
        <v>241</v>
      </c>
    </row>
    <row r="157">
      <c r="B157" s="49" t="s">
        <v>120</v>
      </c>
      <c r="C157" s="62" t="s">
        <v>34</v>
      </c>
      <c r="D157" s="62" t="s">
        <v>34</v>
      </c>
      <c r="E157" s="62" t="s">
        <v>34</v>
      </c>
      <c r="F157" s="62" t="s">
        <v>34</v>
      </c>
      <c r="G157" s="62" t="s">
        <v>34</v>
      </c>
      <c r="H157" s="62" t="str">
        <f>IFERROR((H156-C156)*10000,"n/a")</f>
        <v>n/a</v>
      </c>
      <c r="I157" s="62">
        <f>IFERROR((I156-D156)*10000,"n/a")</f>
        <v>-302.27822324042086</v>
      </c>
      <c r="J157" s="64">
        <f>IFERROR((J156-E156)*10000,"n/a")</f>
        <v>453.7815126050426</v>
      </c>
      <c r="K157" s="45"/>
    </row>
    <row r="158">
      <c r="B158" s="49" t="s">
        <v>121</v>
      </c>
      <c r="C158" s="62" t="s">
        <v>34</v>
      </c>
      <c r="D158" s="62" t="str">
        <f>IFERROR((D156-C156)*10000,"n/a")</f>
        <v>n/a</v>
      </c>
      <c r="E158" s="62">
        <f>IFERROR((E156-D156)*10000,"n/a")</f>
        <v>-694.331340783736</v>
      </c>
      <c r="F158" s="62">
        <f>IFERROR((F156-E156)*10000,"n/a")</f>
        <v>489.11720165097927</v>
      </c>
      <c r="G158" s="62" t="s">
        <v>34</v>
      </c>
      <c r="H158" s="62">
        <f>IFERROR((H156-F156)*10000,"n/a")</f>
        <v>1413.4275618374613</v>
      </c>
      <c r="I158" s="62">
        <f>IFERROR((I156-H156)*10000,"n/a")</f>
        <v>-1510.4916459451256</v>
      </c>
      <c r="J158" s="64">
        <f>IFERROR((J156-I156)*10000,"n/a")</f>
        <v>61.72839506172756</v>
      </c>
      <c r="K158" s="45"/>
    </row>
    <row r="159">
      <c r="B159" s="2" t="s">
        <v>242</v>
      </c>
      <c r="C159" s="12">
        <v>14.5</v>
      </c>
      <c r="D159" s="12">
        <v>14.9</v>
      </c>
      <c r="E159" s="12">
        <v>14.2</v>
      </c>
      <c r="F159" s="12">
        <v>14.2</v>
      </c>
      <c r="G159" s="20">
        <f>SUM(C159:F159)</f>
        <v>57.8</v>
      </c>
      <c r="H159" s="20">
        <f>H169-H117-H143</f>
        <v>16.20000000000001</v>
      </c>
      <c r="I159" s="12">
        <v>16.1</v>
      </c>
      <c r="J159" s="48">
        <f>I134/4*J156</f>
        <v>16.075</v>
      </c>
      <c r="K159" s="45" t="s">
        <v>243</v>
      </c>
    </row>
    <row r="160">
      <c r="B160" s="49" t="s">
        <v>116</v>
      </c>
      <c r="C160" s="19" t="s">
        <v>34</v>
      </c>
      <c r="D160" s="19" t="s">
        <v>34</v>
      </c>
      <c r="E160" s="9">
        <v>-0.04</v>
      </c>
      <c r="F160" s="9">
        <v>-0.01</v>
      </c>
      <c r="G160" s="19" t="s">
        <v>34</v>
      </c>
      <c r="H160" s="19">
        <f>IFERROR(IF(OR(ABS(C159)&lt;0.5,H159*C159&lt;0),"n/m",H159/C159-1),"n/a")</f>
        <v>0.1172413793103455</v>
      </c>
      <c r="I160" s="19">
        <f>IFERROR(IF(OR(ABS(D159)&lt;0.5,I159*D159&lt;0),"n/m",I159/D159-1),"n/a")</f>
        <v>0.08053691275167796</v>
      </c>
      <c r="J160" s="46">
        <f>IFERROR(IF(OR(ABS(E159)&lt;0.5,J159*E159&lt;0),"n/m",J159/E159-1),"n/a")</f>
        <v>0.13204225352112675</v>
      </c>
      <c r="K160" s="45"/>
    </row>
    <row r="161">
      <c r="B161" s="49" t="s">
        <v>117</v>
      </c>
      <c r="C161" s="19" t="s">
        <v>34</v>
      </c>
      <c r="D161" s="19">
        <f>IFERROR(IF(OR(ABS(C159)&lt;0.5,D159*C159&lt;0),"n/m",D159/C159-1),"n/a")</f>
        <v>0.02758620689655178</v>
      </c>
      <c r="E161" s="19">
        <f>IFERROR(IF(OR(ABS(D159)&lt;0.5,E159*D159&lt;0),"n/m",E159/D159-1),"n/a")</f>
        <v>-0.046979865771812124</v>
      </c>
      <c r="F161" s="19">
        <f>IFERROR(IF(OR(ABS(E159)&lt;0.5,F159*E159&lt;0),"n/m",F159/E159-1),"n/a")</f>
        <v>0</v>
      </c>
      <c r="G161" s="19" t="s">
        <v>34</v>
      </c>
      <c r="H161" s="19">
        <f>IFERROR(IF(OR(ABS(F159)&lt;0.5,H159*F159&lt;0),"n/m",H159/F159-1),"n/a")</f>
        <v>0.1408450704225359</v>
      </c>
      <c r="I161" s="19">
        <f>IFERROR(IF(OR(ABS(H159)&lt;0.5,I159*H159&lt;0),"n/m",I159/H159-1),"n/a")</f>
        <v>-0.006172839506173311</v>
      </c>
      <c r="J161" s="46">
        <f>IFERROR(IF(OR(ABS(I159)&lt;0.5,J159*I159&lt;0),"n/m",J159/I159-1),"n/a")</f>
        <v>-0.0015527950310559868</v>
      </c>
      <c r="K161" s="45"/>
    </row>
    <row r="162">
      <c r="B162" s="42" t="s">
        <v>118</v>
      </c>
      <c r="C162" s="20" t="s">
        <v>34</v>
      </c>
      <c r="D162" s="20">
        <f>IFERROR(D159-C159,"n/a")</f>
        <v>0.40000000000000036</v>
      </c>
      <c r="E162" s="20">
        <f>IFERROR(E159-D159,"n/a")</f>
        <v>-0.7000000000000011</v>
      </c>
      <c r="F162" s="20">
        <f>IFERROR(F159-E159,"n/a")</f>
        <v>0</v>
      </c>
      <c r="G162" s="20" t="s">
        <v>34</v>
      </c>
      <c r="H162" s="20">
        <f>IFERROR(H159-F159,"n/a")</f>
        <v>2.0000000000000107</v>
      </c>
      <c r="I162" s="20">
        <f>IFERROR(I159-H159,"n/a")</f>
        <v>-0.10000000000000853</v>
      </c>
      <c r="J162" s="48">
        <f>IFERROR(J159-I159,"n/a")</f>
        <v>-0.02500000000000213</v>
      </c>
      <c r="K162" s="45"/>
    </row>
    <row r="163">
      <c r="B163" s="49" t="s">
        <v>119</v>
      </c>
      <c r="C163" s="33">
        <f>IFERROR(C159/'Revenue summary'!C40,"n/a")</f>
        <v>0.01944153193908499</v>
      </c>
      <c r="D163" s="33">
        <f>IFERROR(D159/'Revenue summary'!D40,"n/a")</f>
        <v>0.019283557596362782</v>
      </c>
      <c r="E163" s="33">
        <f>IFERROR(E159/'Revenue summary'!E40,"n/a")</f>
        <v>0.01789706916587054</v>
      </c>
      <c r="F163" s="33">
        <f>IFERROR(F159/'Revenue summary'!F40,"n/a")</f>
        <v>0.01726384998443822</v>
      </c>
      <c r="G163" s="33">
        <f>IFERROR(G159/'Revenue summary'!G40,"n/a")</f>
        <v>0.01844018377653049</v>
      </c>
      <c r="H163" s="33">
        <f>IFERROR(H159/'Revenue summary'!H40,"n/a")</f>
        <v>0.01904090267983076</v>
      </c>
      <c r="I163" s="33">
        <f>IFERROR(I159/'Revenue summary'!I40,"n/a")</f>
        <v>0.01856978085351788</v>
      </c>
      <c r="J163" s="69">
        <f>IFERROR(J159/'Revenue summary'!J40,"n/a")</f>
        <v>0.01811521026576674</v>
      </c>
      <c r="K163" s="45"/>
    </row>
    <row r="164">
      <c r="B164" s="65" t="s">
        <v>120</v>
      </c>
      <c r="C164" s="62" t="s">
        <v>34</v>
      </c>
      <c r="D164" s="62" t="s">
        <v>34</v>
      </c>
      <c r="E164" s="62" t="s">
        <v>34</v>
      </c>
      <c r="F164" s="62" t="s">
        <v>34</v>
      </c>
      <c r="G164" s="62" t="s">
        <v>34</v>
      </c>
      <c r="H164" s="62">
        <f>IFERROR((H163-C163)*10000,"n/a")</f>
        <v>-4.006292592542287</v>
      </c>
      <c r="I164" s="62">
        <f>IFERROR((I163-D163)*10000,"n/a")</f>
        <v>-7.137767428449029</v>
      </c>
      <c r="J164" s="64">
        <f>IFERROR((J163-E163)*10000,"n/a")</f>
        <v>2.181410998962005</v>
      </c>
      <c r="K164" s="45"/>
    </row>
    <row r="165">
      <c r="B165" s="65" t="s">
        <v>121</v>
      </c>
      <c r="C165" s="62" t="s">
        <v>34</v>
      </c>
      <c r="D165" s="62">
        <f>IFERROR((D163-C163)*10000,"n/a")</f>
        <v>-1.5797434272220647</v>
      </c>
      <c r="E165" s="62">
        <f>IFERROR((E163-D163)*10000,"n/a")</f>
        <v>-13.864884304922407</v>
      </c>
      <c r="F165" s="62">
        <f>IFERROR((F163-E163)*10000,"n/a")</f>
        <v>-6.332191814323214</v>
      </c>
      <c r="G165" s="62" t="s">
        <v>34</v>
      </c>
      <c r="H165" s="62">
        <f>IFERROR((H163-F163)*10000,"n/a")</f>
        <v>17.770526953925398</v>
      </c>
      <c r="I165" s="62">
        <f>IFERROR((I163-H163)*10000,"n/a")</f>
        <v>-4.711218263128806</v>
      </c>
      <c r="J165" s="64">
        <f>IFERROR((J163-I163)*10000,"n/a")</f>
        <v>-4.545705877511373</v>
      </c>
      <c r="K165" s="45"/>
    </row>
    <row r="166">
      <c r="B166" s="49" t="s">
        <v>122</v>
      </c>
      <c r="C166" s="19" t="s">
        <v>34</v>
      </c>
      <c r="D166" s="19" t="s">
        <v>34</v>
      </c>
      <c r="E166" s="19" t="s">
        <v>34</v>
      </c>
      <c r="F166" s="19" t="s">
        <v>34</v>
      </c>
      <c r="G166" s="19" t="s">
        <v>34</v>
      </c>
      <c r="H166" s="19" t="s">
        <v>34</v>
      </c>
      <c r="I166" s="19" t="s">
        <v>34</v>
      </c>
      <c r="J166" s="46" t="s">
        <v>34</v>
      </c>
      <c r="K166" s="45" t="s">
        <v>222</v>
      </c>
    </row>
    <row r="167">
      <c r="B167" s="49" t="s">
        <v>124</v>
      </c>
      <c r="C167" s="19" t="s">
        <v>34</v>
      </c>
      <c r="D167" s="19" t="s">
        <v>34</v>
      </c>
      <c r="E167" s="19" t="s">
        <v>34</v>
      </c>
      <c r="F167" s="19" t="s">
        <v>34</v>
      </c>
      <c r="G167" s="19" t="s">
        <v>34</v>
      </c>
      <c r="H167" s="19" t="s">
        <v>34</v>
      </c>
      <c r="I167" s="19" t="s">
        <v>34</v>
      </c>
      <c r="J167" s="46" t="s">
        <v>34</v>
      </c>
      <c r="K167" s="45" t="s">
        <v>223</v>
      </c>
    </row>
    <row r="168">
      <c r="B168" s="49" t="s">
        <v>125</v>
      </c>
      <c r="C168" s="19" t="s">
        <v>34</v>
      </c>
      <c r="D168" s="19" t="s">
        <v>34</v>
      </c>
      <c r="E168" s="19" t="s">
        <v>34</v>
      </c>
      <c r="F168" s="19" t="s">
        <v>34</v>
      </c>
      <c r="G168" s="19" t="s">
        <v>34</v>
      </c>
      <c r="H168" s="19" t="s">
        <v>34</v>
      </c>
      <c r="I168" s="19" t="s">
        <v>34</v>
      </c>
      <c r="J168" s="46" t="s">
        <v>34</v>
      </c>
      <c r="K168" s="45" t="s">
        <v>224</v>
      </c>
    </row>
    <row r="169">
      <c r="B169" s="2" t="s">
        <v>244</v>
      </c>
      <c r="C169" s="12">
        <v>177.415</v>
      </c>
      <c r="D169" s="12">
        <v>184.072</v>
      </c>
      <c r="E169" s="12">
        <v>197.515</v>
      </c>
      <c r="F169" s="12">
        <v>211.668</v>
      </c>
      <c r="G169" s="20">
        <f>SUM(C169:F169)</f>
        <v>770.67</v>
      </c>
      <c r="H169" s="12">
        <v>224.5</v>
      </c>
      <c r="I169" s="12">
        <v>233.1</v>
      </c>
      <c r="J169" s="48" t="s">
        <v>34</v>
      </c>
      <c r="K169" s="45" t="s">
        <v>245</v>
      </c>
    </row>
    <row r="170">
      <c r="B170" s="42" t="s">
        <v>246</v>
      </c>
      <c r="C170" s="20">
        <f>C169-(C117+C143+C159)</f>
        <v>0.014999999999986358</v>
      </c>
      <c r="D170" s="20">
        <f>D169-(D117+D143+D159)</f>
        <v>-0.027999999999991587</v>
      </c>
      <c r="E170" s="20">
        <f>E169-(E117+E143+E159)</f>
        <v>-0.08499999999997954</v>
      </c>
      <c r="F170" s="20">
        <f>F169-(F117+F143+F159)</f>
        <v>-0.031999999999982265</v>
      </c>
      <c r="G170" s="20">
        <f>G169-(G117+G143+G159)</f>
        <v>-0.12999999999999545</v>
      </c>
      <c r="H170" s="20">
        <f>H169-(H117+H143+H159)</f>
        <v>0</v>
      </c>
      <c r="I170" s="20">
        <f>I169-(I117+I143+I159)</f>
        <v>0</v>
      </c>
      <c r="J170" s="53">
        <v>0</v>
      </c>
      <c r="K170" s="45" t="s">
        <v>247</v>
      </c>
    </row>
    <row r="171">
      <c r="B171" s="24" t="s">
        <v>248</v>
      </c>
      <c r="C171" s="60">
        <f>C117+C143+C159+C170</f>
        <v>177.415</v>
      </c>
      <c r="D171" s="60">
        <f>D117+D143+D159+D170</f>
        <v>184.072</v>
      </c>
      <c r="E171" s="60">
        <f>E117+E143+E159+E170</f>
        <v>197.515</v>
      </c>
      <c r="F171" s="60">
        <f>F117+F143+F159+F170</f>
        <v>211.668</v>
      </c>
      <c r="G171" s="60">
        <f>G117+G143+G159+G170</f>
        <v>770.67</v>
      </c>
      <c r="H171" s="60">
        <f>H117+H143+H159+H170</f>
        <v>224.5</v>
      </c>
      <c r="I171" s="60">
        <f>I117+I143+I159+I170</f>
        <v>233.1</v>
      </c>
      <c r="J171" s="50">
        <f>J117+J143+J159+J170</f>
        <v>246.21038845922075</v>
      </c>
      <c r="K171" s="45"/>
    </row>
    <row r="172">
      <c r="B172" s="49" t="s">
        <v>116</v>
      </c>
      <c r="C172" s="9">
        <v>0.181</v>
      </c>
      <c r="D172" s="9">
        <v>0.127</v>
      </c>
      <c r="E172" s="9">
        <v>0.171</v>
      </c>
      <c r="F172" s="9">
        <v>0.207</v>
      </c>
      <c r="G172" s="9">
        <v>0.172</v>
      </c>
      <c r="H172" s="19">
        <f>IFERROR(IF(OR(ABS(C171)&lt;0.5,H171*C171&lt;0),"n/m",H171/C171-1),"n/a")</f>
        <v>0.26539469605163046</v>
      </c>
      <c r="I172" s="19">
        <f>IFERROR(IF(OR(ABS(D171)&lt;0.5,I171*D171&lt;0),"n/m",I171/D171-1),"n/a")</f>
        <v>0.26635229692728934</v>
      </c>
      <c r="J172" s="46">
        <f>IFERROR(IF(OR(ABS(E171)&lt;0.5,J171*E171&lt;0),"n/m",J171/E171-1),"n/a")</f>
        <v>0.24654020433496582</v>
      </c>
      <c r="K172" s="45"/>
    </row>
    <row r="173">
      <c r="B173" s="49" t="s">
        <v>117</v>
      </c>
      <c r="C173" s="19" t="s">
        <v>34</v>
      </c>
      <c r="D173" s="19">
        <f>IFERROR(IF(OR(ABS(C171)&lt;0.5,D171*C171&lt;0),"n/m",D171/C171-1),"n/a")</f>
        <v>0.03752219372657328</v>
      </c>
      <c r="E173" s="19">
        <f>IFERROR(IF(OR(ABS(D171)&lt;0.5,E171*D171&lt;0),"n/m",E171/D171-1),"n/a")</f>
        <v>0.07303120518058148</v>
      </c>
      <c r="F173" s="19">
        <f>IFERROR(IF(OR(ABS(E171)&lt;0.5,F171*E171&lt;0),"n/m",F171/E171-1),"n/a")</f>
        <v>0.07165531731767216</v>
      </c>
      <c r="G173" s="19" t="s">
        <v>34</v>
      </c>
      <c r="H173" s="19">
        <f>IFERROR(IF(OR(ABS(F171)&lt;0.5,H171*F171&lt;0),"n/m",H171/F171-1),"n/a")</f>
        <v>0.060623240168565795</v>
      </c>
      <c r="I173" s="19">
        <f>IFERROR(IF(OR(ABS(H171)&lt;0.5,I171*H171&lt;0),"n/m",I171/H171-1),"n/a")</f>
        <v>0.038307349665924306</v>
      </c>
      <c r="J173" s="46">
        <f>IFERROR(IF(OR(ABS(I171)&lt;0.5,J171*I171&lt;0),"n/m",J171/I171-1),"n/a")</f>
        <v>0.05624362273367978</v>
      </c>
      <c r="K173" s="45"/>
    </row>
    <row r="174">
      <c r="B174" s="42" t="s">
        <v>118</v>
      </c>
      <c r="C174" s="20" t="s">
        <v>34</v>
      </c>
      <c r="D174" s="20">
        <f>IFERROR(D171-C171,"n/a")</f>
        <v>6.657000000000011</v>
      </c>
      <c r="E174" s="20">
        <f>IFERROR(E171-D171,"n/a")</f>
        <v>13.442999999999984</v>
      </c>
      <c r="F174" s="20">
        <f>IFERROR(F171-E171,"n/a")</f>
        <v>14.15300000000002</v>
      </c>
      <c r="G174" s="20" t="s">
        <v>34</v>
      </c>
      <c r="H174" s="20">
        <f>IFERROR(H171-F171,"n/a")</f>
        <v>12.831999999999994</v>
      </c>
      <c r="I174" s="20">
        <f>IFERROR(I171-H171,"n/a")</f>
        <v>8.599999999999994</v>
      </c>
      <c r="J174" s="48">
        <f>IFERROR(J171-I171,"n/a")</f>
        <v>13.110388459220758</v>
      </c>
      <c r="K174" s="45"/>
    </row>
    <row r="175">
      <c r="B175" s="49" t="s">
        <v>119</v>
      </c>
      <c r="C175" s="33">
        <f>IFERROR(C171/'Revenue summary'!C40,"n/a")</f>
        <v>0.23787719923950093</v>
      </c>
      <c r="D175" s="33">
        <f>IFERROR(D171/'Revenue summary'!D40,"n/a")</f>
        <v>0.23822570562937517</v>
      </c>
      <c r="E175" s="33">
        <f>IFERROR(E171/'Revenue summary'!E40,"n/a")</f>
        <v>0.24893940959837466</v>
      </c>
      <c r="F175" s="33">
        <f>IFERROR(F171/'Revenue summary'!F40,"n/a")</f>
        <v>0.2573383520074697</v>
      </c>
      <c r="G175" s="33">
        <f>IFERROR(G171/'Revenue summary'!G40,"n/a")</f>
        <v>0.24587018046814454</v>
      </c>
      <c r="H175" s="33">
        <f>IFERROR(H171/'Revenue summary'!H40,"n/a")</f>
        <v>0.2638692994828397</v>
      </c>
      <c r="I175" s="33">
        <f>IFERROR(I171/'Revenue summary'!I40,"n/a")</f>
        <v>0.2688581314878893</v>
      </c>
      <c r="J175" s="69">
        <f>IFERROR(J171/'Revenue summary'!J40,"n/a")</f>
        <v>0.2774589708587803</v>
      </c>
      <c r="K175" s="45"/>
    </row>
    <row r="176">
      <c r="B176" s="65" t="s">
        <v>120</v>
      </c>
      <c r="C176" s="62" t="s">
        <v>34</v>
      </c>
      <c r="D176" s="62" t="s">
        <v>34</v>
      </c>
      <c r="E176" s="62" t="s">
        <v>34</v>
      </c>
      <c r="F176" s="62" t="s">
        <v>34</v>
      </c>
      <c r="G176" s="62" t="s">
        <v>34</v>
      </c>
      <c r="H176" s="62">
        <f>IFERROR((H175-C175)*10000,"n/a")</f>
        <v>259.92100243338786</v>
      </c>
      <c r="I176" s="62">
        <f>IFERROR((I175-D175)*10000,"n/a")</f>
        <v>306.32425858514114</v>
      </c>
      <c r="J176" s="64">
        <f>IFERROR((J175-E175)*10000,"n/a")</f>
        <v>285.1956126040564</v>
      </c>
      <c r="K176" s="45"/>
    </row>
    <row r="177">
      <c r="B177" s="65" t="s">
        <v>121</v>
      </c>
      <c r="C177" s="62" t="s">
        <v>34</v>
      </c>
      <c r="D177" s="62">
        <f>IFERROR((D175-C175)*10000,"n/a")</f>
        <v>3.4850638987424243</v>
      </c>
      <c r="E177" s="62">
        <f>IFERROR((E175-D175)*10000,"n/a")</f>
        <v>107.13703968999482</v>
      </c>
      <c r="F177" s="62">
        <f>IFERROR((F175-E175)*10000,"n/a")</f>
        <v>83.98942409095028</v>
      </c>
      <c r="G177" s="62" t="s">
        <v>34</v>
      </c>
      <c r="H177" s="62">
        <f>IFERROR((H175-F175)*10000,"n/a")</f>
        <v>65.3094747537003</v>
      </c>
      <c r="I177" s="62">
        <f>IFERROR((I175-H175)*10000,"n/a")</f>
        <v>49.88832005049571</v>
      </c>
      <c r="J177" s="64">
        <f>IFERROR((J175-I175)*10000,"n/a")</f>
        <v>86.00839370891012</v>
      </c>
      <c r="K177" s="45"/>
    </row>
    <row r="178">
      <c r="B178" s="49" t="s">
        <v>122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0.001</v>
      </c>
      <c r="I178" s="9">
        <v>0.001</v>
      </c>
      <c r="J178" s="58">
        <v>0</v>
      </c>
      <c r="K178" s="45" t="s">
        <v>195</v>
      </c>
    </row>
    <row r="179">
      <c r="B179" s="49" t="s">
        <v>124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0.001</v>
      </c>
      <c r="I179" s="9">
        <v>-0.001</v>
      </c>
      <c r="J179" s="58">
        <v>0</v>
      </c>
      <c r="K179" s="45" t="s">
        <v>196</v>
      </c>
    </row>
    <row r="180">
      <c r="B180" s="49" t="s">
        <v>125</v>
      </c>
      <c r="C180" s="19">
        <f>IFERROR((1+C172)/((1+C178)*(1+C179))-1,"n/a")</f>
        <v>0.18100000000000005</v>
      </c>
      <c r="D180" s="19">
        <f>IFERROR((1+D172)/((1+D178)*(1+D179))-1,"n/a")</f>
        <v>0.127</v>
      </c>
      <c r="E180" s="19">
        <f>IFERROR((1+E172)/((1+E178)*(1+E179))-1,"n/a")</f>
        <v>0.17100000000000004</v>
      </c>
      <c r="F180" s="19">
        <f>IFERROR((1+F172)/((1+F178)*(1+F179))-1,"n/a")</f>
        <v>0.20700000000000007</v>
      </c>
      <c r="G180" s="19">
        <f>IFERROR((1+G172)/((1+G178)*(1+G179))-1,"n/a")</f>
        <v>0.17199999999999993</v>
      </c>
      <c r="H180" s="19">
        <f>IFERROR((1+H172)/((1+H178)*(1+H179))-1,"n/a")</f>
        <v>0.2628676977883564</v>
      </c>
      <c r="I180" s="19">
        <f>IFERROR((1+I172)/((1+I178)*(1+I179))-1,"n/a")</f>
        <v>0.2663535632808529</v>
      </c>
      <c r="J180" s="46">
        <f>IFERROR((1+J172)/((1+J178)*(1+J179))-1,"n/a")</f>
        <v>0.24654020433496582</v>
      </c>
      <c r="K180" s="45" t="s">
        <v>126</v>
      </c>
    </row>
    <row r="181">
      <c r="B181" s="24" t="s">
        <v>129</v>
      </c>
      <c r="C181" s="10"/>
      <c r="D181" s="10"/>
      <c r="E181" s="10"/>
      <c r="F181" s="10"/>
      <c r="G181" s="10"/>
      <c r="H181" s="10"/>
      <c r="I181" s="10"/>
      <c r="J181" s="51"/>
      <c r="K181" s="45"/>
    </row>
    <row r="182">
      <c r="B182" s="2" t="s">
        <v>249</v>
      </c>
      <c r="C182" s="12">
        <v>12.374</v>
      </c>
      <c r="D182" s="12">
        <v>17.473</v>
      </c>
      <c r="E182" s="12">
        <v>12.657</v>
      </c>
      <c r="F182" s="12">
        <v>23.518</v>
      </c>
      <c r="G182" s="20">
        <f>SUM(C182:F182)</f>
        <v>66.022</v>
      </c>
      <c r="H182" s="12">
        <v>16.7</v>
      </c>
      <c r="I182" s="12">
        <v>14.9</v>
      </c>
      <c r="J182" s="48" t="s">
        <v>34</v>
      </c>
      <c r="K182" s="45" t="s">
        <v>250</v>
      </c>
    </row>
    <row r="183">
      <c r="B183" s="49" t="s">
        <v>150</v>
      </c>
      <c r="C183" s="9">
        <v>-0.034</v>
      </c>
      <c r="D183" s="9">
        <v>-0.029</v>
      </c>
      <c r="E183" s="9">
        <v>-0.08800000000000001</v>
      </c>
      <c r="F183" s="9">
        <v>0.29600000000000004</v>
      </c>
      <c r="G183" s="9">
        <v>0.051</v>
      </c>
      <c r="H183" s="19">
        <f>IFERROR(IF(OR(ABS(C182)&lt;0.5,H182*C182&lt;0),"n/m",H182/C182-1),"n/a")</f>
        <v>0.3496040084047194</v>
      </c>
      <c r="I183" s="19">
        <f>IFERROR(IF(OR(ABS(D182)&lt;0.5,I182*D182&lt;0),"n/m",I182/D182-1),"n/a")</f>
        <v>-0.14725576603903157</v>
      </c>
      <c r="J183" s="46" t="str">
        <f>IFERROR(IF(OR(ABS(E182)&lt;0.5,J182*E182&lt;0),"n/m",J182/E182-1),"n/a")</f>
        <v>n/a</v>
      </c>
      <c r="K183" s="45"/>
    </row>
    <row r="184">
      <c r="B184" s="42" t="s">
        <v>118</v>
      </c>
      <c r="C184" s="20" t="s">
        <v>34</v>
      </c>
      <c r="D184" s="20">
        <f>IFERROR(D182-C182,"n/a")</f>
        <v>5.098999999999998</v>
      </c>
      <c r="E184" s="20">
        <f>IFERROR(E182-D182,"n/a")</f>
        <v>-4.815999999999999</v>
      </c>
      <c r="F184" s="20">
        <f>IFERROR(F182-E182,"n/a")</f>
        <v>10.861</v>
      </c>
      <c r="G184" s="20" t="s">
        <v>34</v>
      </c>
      <c r="H184" s="20">
        <f>IFERROR(H182-F182,"n/a")</f>
        <v>-6.818000000000001</v>
      </c>
      <c r="I184" s="20">
        <f>IFERROR(I182-H182,"n/a")</f>
        <v>-1.799999999999999</v>
      </c>
      <c r="J184" s="48" t="str">
        <f>IFERROR(J182-I182,"n/a")</f>
        <v>n/a</v>
      </c>
      <c r="K184" s="45"/>
    </row>
    <row r="185">
      <c r="B185" s="2" t="s">
        <v>251</v>
      </c>
      <c r="C185" s="12">
        <v>10.998</v>
      </c>
      <c r="D185" s="12">
        <v>15.114</v>
      </c>
      <c r="E185" s="12">
        <v>11.076</v>
      </c>
      <c r="F185" s="12">
        <v>21.053</v>
      </c>
      <c r="G185" s="20">
        <f>SUM(C185:F185)</f>
        <v>58.241</v>
      </c>
      <c r="H185" s="12">
        <v>17.6</v>
      </c>
      <c r="I185" s="12">
        <v>14.9</v>
      </c>
      <c r="J185" s="53">
        <v>12.5</v>
      </c>
      <c r="K185" s="45" t="s">
        <v>252</v>
      </c>
    </row>
    <row r="186">
      <c r="B186" s="49" t="s">
        <v>116</v>
      </c>
      <c r="C186" s="9">
        <v>0.032</v>
      </c>
      <c r="D186" s="9">
        <v>-0.105</v>
      </c>
      <c r="E186" s="9">
        <v>-0.101</v>
      </c>
      <c r="F186" s="9">
        <v>0.282</v>
      </c>
      <c r="G186" s="9">
        <v>0.035</v>
      </c>
      <c r="H186" s="19">
        <f>IFERROR(IF(OR(ABS(C185)&lt;0.5,H185*C185&lt;0),"n/m",H185/C185-1),"n/a")</f>
        <v>0.6002909619930898</v>
      </c>
      <c r="I186" s="19">
        <f>IFERROR(IF(OR(ABS(D185)&lt;0.5,I185*D185&lt;0),"n/m",I185/D185-1),"n/a")</f>
        <v>-0.014159057827180077</v>
      </c>
      <c r="J186" s="46">
        <f>IFERROR(IF(OR(ABS(E185)&lt;0.5,J185*E185&lt;0),"n/m",J185/E185-1),"n/a")</f>
        <v>0.12856626941133986</v>
      </c>
      <c r="K186" s="45"/>
    </row>
    <row r="187">
      <c r="B187" s="49" t="s">
        <v>117</v>
      </c>
      <c r="C187" s="19" t="s">
        <v>34</v>
      </c>
      <c r="D187" s="19">
        <f>IFERROR(IF(OR(ABS(C185)&lt;0.5,D185*C185&lt;0),"n/m",D185/C185-1),"n/a")</f>
        <v>0.37424986361156587</v>
      </c>
      <c r="E187" s="19">
        <f>IFERROR(IF(OR(ABS(D185)&lt;0.5,E185*D185&lt;0),"n/m",E185/D185-1),"n/a")</f>
        <v>-0.26716951171099645</v>
      </c>
      <c r="F187" s="19">
        <f>IFERROR(IF(OR(ABS(E185)&lt;0.5,F185*E185&lt;0),"n/m",F185/E185-1),"n/a")</f>
        <v>0.9007764535933549</v>
      </c>
      <c r="G187" s="19" t="s">
        <v>34</v>
      </c>
      <c r="H187" s="19">
        <f>IFERROR(IF(OR(ABS(F185)&lt;0.5,H185*F185&lt;0),"n/m",H185/F185-1),"n/a")</f>
        <v>-0.1640146297439794</v>
      </c>
      <c r="I187" s="19">
        <f>IFERROR(IF(OR(ABS(H185)&lt;0.5,I185*H185&lt;0),"n/m",I185/H185-1),"n/a")</f>
        <v>-0.15340909090909094</v>
      </c>
      <c r="J187" s="46">
        <f>IFERROR(IF(OR(ABS(I185)&lt;0.5,J185*I185&lt;0),"n/m",J185/I185-1),"n/a")</f>
        <v>-0.1610738255033557</v>
      </c>
      <c r="K187" s="45"/>
    </row>
    <row r="188">
      <c r="B188" s="42" t="s">
        <v>118</v>
      </c>
      <c r="C188" s="20" t="s">
        <v>34</v>
      </c>
      <c r="D188" s="20">
        <f>IFERROR(D185-C185,"n/a")</f>
        <v>4.116000000000001</v>
      </c>
      <c r="E188" s="20">
        <f>IFERROR(E185-D185,"n/a")</f>
        <v>-4.038</v>
      </c>
      <c r="F188" s="20">
        <f>IFERROR(F185-E185,"n/a")</f>
        <v>9.977</v>
      </c>
      <c r="G188" s="20" t="s">
        <v>34</v>
      </c>
      <c r="H188" s="20">
        <f>IFERROR(H185-F185,"n/a")</f>
        <v>-3.4529999999999994</v>
      </c>
      <c r="I188" s="20">
        <f>IFERROR(I185-H185,"n/a")</f>
        <v>-2.700000000000001</v>
      </c>
      <c r="J188" s="48">
        <f>IFERROR(J185-I185,"n/a")</f>
        <v>-2.4000000000000004</v>
      </c>
      <c r="K188" s="45"/>
    </row>
    <row r="189">
      <c r="B189" s="49" t="s">
        <v>119</v>
      </c>
      <c r="C189" s="33">
        <f>IFERROR(C185/'Revenue summary'!C40,"n/a")</f>
        <v>0.014746066776969428</v>
      </c>
      <c r="D189" s="33">
        <f>IFERROR(D185/'Revenue summary'!D40,"n/a")</f>
        <v>0.019560516074592423</v>
      </c>
      <c r="E189" s="33">
        <f>IFERROR(E185/'Revenue summary'!E40,"n/a")</f>
        <v>0.013959713949379024</v>
      </c>
      <c r="F189" s="33">
        <f>IFERROR(F185/'Revenue summary'!F40,"n/a")</f>
        <v>0.02559548124805478</v>
      </c>
      <c r="G189" s="33">
        <f>IFERROR(G185/'Revenue summary'!G40,"n/a")</f>
        <v>0.018580877912264922</v>
      </c>
      <c r="H189" s="33">
        <f>IFERROR(H185/'Revenue summary'!H40,"n/a")</f>
        <v>0.02068641278796427</v>
      </c>
      <c r="I189" s="33">
        <f>IFERROR(I185/'Revenue summary'!I40,"n/a")</f>
        <v>0.01718569780853518</v>
      </c>
      <c r="J189" s="69">
        <f>IFERROR(J185/'Revenue summary'!J40,"n/a")</f>
        <v>0.014086477656117218</v>
      </c>
      <c r="K189" s="45"/>
    </row>
    <row r="190">
      <c r="B190" s="65" t="s">
        <v>120</v>
      </c>
      <c r="C190" s="62" t="s">
        <v>34</v>
      </c>
      <c r="D190" s="62" t="s">
        <v>34</v>
      </c>
      <c r="E190" s="62" t="s">
        <v>34</v>
      </c>
      <c r="F190" s="62" t="s">
        <v>34</v>
      </c>
      <c r="G190" s="62" t="s">
        <v>34</v>
      </c>
      <c r="H190" s="62">
        <f>IFERROR((H189-C189)*10000,"n/a")</f>
        <v>59.40346010994843</v>
      </c>
      <c r="I190" s="62">
        <f>IFERROR((I189-D189)*10000,"n/a")</f>
        <v>-23.74818266057243</v>
      </c>
      <c r="J190" s="64">
        <f>IFERROR((J189-E189)*10000,"n/a")</f>
        <v>1.2676370673819424</v>
      </c>
      <c r="K190" s="45"/>
    </row>
    <row r="191">
      <c r="B191" s="65" t="s">
        <v>121</v>
      </c>
      <c r="C191" s="62" t="s">
        <v>34</v>
      </c>
      <c r="D191" s="62">
        <f>IFERROR((D189-C189)*10000,"n/a")</f>
        <v>48.14449297622994</v>
      </c>
      <c r="E191" s="62">
        <f>IFERROR((E189-D189)*10000,"n/a")</f>
        <v>-56.008021252133986</v>
      </c>
      <c r="F191" s="62">
        <f>IFERROR((F189-E189)*10000,"n/a")</f>
        <v>116.35767298675758</v>
      </c>
      <c r="G191" s="62" t="s">
        <v>34</v>
      </c>
      <c r="H191" s="62">
        <f>IFERROR((H189-F189)*10000,"n/a")</f>
        <v>-49.0906846009051</v>
      </c>
      <c r="I191" s="62">
        <f>IFERROR((I189-H189)*10000,"n/a")</f>
        <v>-35.00714979429092</v>
      </c>
      <c r="J191" s="64">
        <f>IFERROR((J189-I189)*10000,"n/a")</f>
        <v>-30.992201524179617</v>
      </c>
      <c r="K191" s="45"/>
    </row>
    <row r="192">
      <c r="B192" s="49" t="s">
        <v>122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0.006999999999999999</v>
      </c>
      <c r="J192" s="58">
        <v>0</v>
      </c>
      <c r="K192" s="45" t="s">
        <v>195</v>
      </c>
    </row>
    <row r="193">
      <c r="B193" s="49" t="s">
        <v>124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58">
        <v>0</v>
      </c>
      <c r="K193" s="45" t="s">
        <v>196</v>
      </c>
    </row>
    <row r="194">
      <c r="B194" s="49" t="s">
        <v>125</v>
      </c>
      <c r="C194" s="19">
        <f>IFERROR((1+C186)/((1+C192)*(1+C193))-1,"n/a")</f>
        <v>0.03200000000000003</v>
      </c>
      <c r="D194" s="19">
        <f>IFERROR((1+D186)/((1+D192)*(1+D193))-1,"n/a")</f>
        <v>-0.10499999999999998</v>
      </c>
      <c r="E194" s="19">
        <f>IFERROR((1+E186)/((1+E192)*(1+E193))-1,"n/a")</f>
        <v>-0.10099999999999998</v>
      </c>
      <c r="F194" s="19">
        <f>IFERROR((1+F186)/((1+F192)*(1+F193))-1,"n/a")</f>
        <v>0.28200000000000003</v>
      </c>
      <c r="G194" s="19">
        <f>IFERROR((1+G186)/((1+G192)*(1+G193))-1,"n/a")</f>
        <v>0.03499999999999992</v>
      </c>
      <c r="H194" s="19">
        <f>IFERROR((1+H186)/((1+H192)*(1+H193))-1,"n/a")</f>
        <v>0.6002909619930898</v>
      </c>
      <c r="I194" s="19">
        <f>IFERROR((1+I186)/((1+I192)*(1+I193))-1,"n/a")</f>
        <v>-0.02101197400911614</v>
      </c>
      <c r="J194" s="46">
        <f>IFERROR((1+J186)/((1+J192)*(1+J193))-1,"n/a")</f>
        <v>0.12856626941133986</v>
      </c>
      <c r="K194" s="45" t="s">
        <v>126</v>
      </c>
    </row>
    <row r="195">
      <c r="B195" s="30" t="s">
        <v>253</v>
      </c>
      <c r="C195" s="19">
        <f>IFERROR(C185/C182,"n/a")</f>
        <v>0.8887990948763536</v>
      </c>
      <c r="D195" s="19">
        <f>IFERROR(D185/D182,"n/a")</f>
        <v>0.8649917014822871</v>
      </c>
      <c r="E195" s="19">
        <f>IFERROR(E185/E182,"n/a")</f>
        <v>0.8750888836217113</v>
      </c>
      <c r="F195" s="19">
        <f>IFERROR(F185/F182,"n/a")</f>
        <v>0.8951866655327834</v>
      </c>
      <c r="G195" s="19">
        <f>IFERROR(G185/G182,"n/a")</f>
        <v>0.8821453454908968</v>
      </c>
      <c r="H195" s="19">
        <f>IFERROR(H185/H182,"n/a")</f>
        <v>1.0538922155688624</v>
      </c>
      <c r="I195" s="19">
        <f>IFERROR(I185/I182,"n/a")</f>
        <v>1</v>
      </c>
      <c r="J195" s="46" t="s">
        <v>34</v>
      </c>
      <c r="K195" s="45"/>
    </row>
    <row r="196">
      <c r="B196" s="49" t="s">
        <v>120</v>
      </c>
      <c r="C196" s="62" t="s">
        <v>34</v>
      </c>
      <c r="D196" s="62" t="s">
        <v>34</v>
      </c>
      <c r="E196" s="62" t="s">
        <v>34</v>
      </c>
      <c r="F196" s="62" t="s">
        <v>34</v>
      </c>
      <c r="G196" s="62" t="s">
        <v>34</v>
      </c>
      <c r="H196" s="62">
        <f>IFERROR((H195-C195)*10000,"n/a")</f>
        <v>1650.9312069250882</v>
      </c>
      <c r="I196" s="62">
        <f>IFERROR((I195-D195)*10000,"n/a")</f>
        <v>1350.082985177129</v>
      </c>
      <c r="J196" s="64" t="str">
        <f>IFERROR((J195-E195)*10000,"n/a")</f>
        <v>n/a</v>
      </c>
      <c r="K196" s="45"/>
    </row>
    <row r="197">
      <c r="B197" s="49" t="s">
        <v>121</v>
      </c>
      <c r="C197" s="62" t="s">
        <v>34</v>
      </c>
      <c r="D197" s="62">
        <f>IFERROR((D195-C195)*10000,"n/a")</f>
        <v>-238.07393394066457</v>
      </c>
      <c r="E197" s="62">
        <f>IFERROR((E195-D195)*10000,"n/a")</f>
        <v>100.97182139424233</v>
      </c>
      <c r="F197" s="62">
        <f>IFERROR((F195-E195)*10000,"n/a")</f>
        <v>200.97781911072033</v>
      </c>
      <c r="G197" s="62" t="s">
        <v>34</v>
      </c>
      <c r="H197" s="62">
        <f>IFERROR((H195-F195)*10000,"n/a")</f>
        <v>1587.0555003607901</v>
      </c>
      <c r="I197" s="62">
        <f>IFERROR((I195-H195)*10000,"n/a")</f>
        <v>-538.9221556886237</v>
      </c>
      <c r="J197" s="64" t="str">
        <f>IFERROR((J195-I195)*10000,"n/a")</f>
        <v>n/a</v>
      </c>
      <c r="K197" s="45"/>
    </row>
    <row r="198">
      <c r="B198" s="24" t="s">
        <v>254</v>
      </c>
      <c r="C198" s="10"/>
      <c r="D198" s="10"/>
      <c r="E198" s="10"/>
      <c r="F198" s="10"/>
      <c r="G198" s="10"/>
      <c r="H198" s="10"/>
      <c r="I198" s="10"/>
      <c r="J198" s="51"/>
      <c r="K198" s="45"/>
    </row>
    <row r="199">
      <c r="B199" s="24" t="s">
        <v>255</v>
      </c>
      <c r="C199" s="60">
        <f>C70+C171+C185</f>
        <v>421.743</v>
      </c>
      <c r="D199" s="60">
        <f>D70+D171+D185</f>
        <v>434.83299999999997</v>
      </c>
      <c r="E199" s="60">
        <f>E70+E171+E185</f>
        <v>451.15999999999997</v>
      </c>
      <c r="F199" s="60">
        <f>F70+F171+F185</f>
        <v>479.072</v>
      </c>
      <c r="G199" s="60">
        <f>G70+G171+G185</f>
        <v>1786.808</v>
      </c>
      <c r="H199" s="60">
        <f>H70+H171+H185</f>
        <v>496.3</v>
      </c>
      <c r="I199" s="60">
        <f>I70+I171+I185</f>
        <v>511</v>
      </c>
      <c r="J199" s="50">
        <f>J70+J171+J185</f>
        <v>527.2411325798861</v>
      </c>
      <c r="K199" s="45" t="s">
        <v>256</v>
      </c>
    </row>
    <row r="200">
      <c r="B200" s="49" t="s">
        <v>116</v>
      </c>
      <c r="C200" s="33">
        <f>IFERROR(IF(OR(ABS(Inputs!C215)&lt;0.5,C199*Inputs!C215&lt;0),"n/m",C199/Inputs!C215-1),"n/a")</f>
        <v>0.12804114777249964</v>
      </c>
      <c r="D200" s="33">
        <f>IFERROR(IF(OR(ABS(Inputs!D215)&lt;0.5,D199*Inputs!D215&lt;0),"n/m",D199/Inputs!D215-1),"n/a")</f>
        <v>0.09476776974360002</v>
      </c>
      <c r="E200" s="33">
        <f>IFERROR(IF(OR(ABS(Inputs!E215)&lt;0.5,E199*Inputs!E215&lt;0),"n/m",E199/Inputs!E215-1),"n/a")</f>
        <v>0.11429996887982163</v>
      </c>
      <c r="F200" s="33">
        <f>IFERROR(IF(OR(ABS(Inputs!F215)&lt;0.5,F199*Inputs!F215&lt;0),"n/m",F199/Inputs!F215-1),"n/a")</f>
        <v>0.14010742529135012</v>
      </c>
      <c r="G200" s="33">
        <f>IFERROR(IF(OR(ABS(Inputs!G215)&lt;0.5,G199*Inputs!G215&lt;0),"n/m",G199/Inputs!G215-1),"n/a")</f>
        <v>0.11945218009641989</v>
      </c>
      <c r="H200" s="19">
        <f>IFERROR(IF(OR(ABS(C199)&lt;0.5,H199*C199&lt;0),"n/m",H199/C199-1),"n/a")</f>
        <v>0.17678301714551292</v>
      </c>
      <c r="I200" s="19">
        <f>IFERROR(IF(OR(ABS(D199)&lt;0.5,I199*D199&lt;0),"n/m",I199/D199-1),"n/a")</f>
        <v>0.17516379851575214</v>
      </c>
      <c r="J200" s="46">
        <f>IFERROR(IF(OR(ABS(E199)&lt;0.5,J199*E199&lt;0),"n/m",J199/E199-1),"n/a")</f>
        <v>0.16863448129241543</v>
      </c>
      <c r="K200" s="45"/>
    </row>
    <row r="201">
      <c r="B201" s="49" t="s">
        <v>117</v>
      </c>
      <c r="C201" s="33">
        <f>IFERROR(IF(OR(ABS(Inputs!F215)&lt;0.5,C199*Inputs!F215&lt;0),"n/m",C199/Inputs!F215-1),"n/a")</f>
        <v>0.0036744494870286637</v>
      </c>
      <c r="D201" s="19">
        <f>IFERROR(IF(OR(ABS(C199)&lt;0.5,D199*C199&lt;0),"n/m",D199/C199-1),"n/a")</f>
        <v>0.031037859549535973</v>
      </c>
      <c r="E201" s="19">
        <f>IFERROR(IF(OR(ABS(D199)&lt;0.5,E199*D199&lt;0),"n/m",E199/D199-1),"n/a")</f>
        <v>0.037547748215981835</v>
      </c>
      <c r="F201" s="19">
        <f>IFERROR(IF(OR(ABS(E199)&lt;0.5,F199*E199&lt;0),"n/m",F199/E199-1),"n/a")</f>
        <v>0.06186718680734127</v>
      </c>
      <c r="G201" s="19" t="s">
        <v>34</v>
      </c>
      <c r="H201" s="19">
        <f>IFERROR(IF(OR(ABS(F199)&lt;0.5,H199*F199&lt;0),"n/m",H199/F199-1),"n/a")</f>
        <v>0.03596119163716516</v>
      </c>
      <c r="I201" s="19">
        <f>IFERROR(IF(OR(ABS(H199)&lt;0.5,I199*H199&lt;0),"n/m",I199/H199-1),"n/a")</f>
        <v>0.02961918194640334</v>
      </c>
      <c r="J201" s="46">
        <f>IFERROR(IF(OR(ABS(I199)&lt;0.5,J199*I199&lt;0),"n/m",J199/I199-1),"n/a")</f>
        <v>0.031783038316802514</v>
      </c>
      <c r="K201" s="45"/>
    </row>
    <row r="202">
      <c r="B202" s="42" t="s">
        <v>118</v>
      </c>
      <c r="C202" s="4">
        <f>IFERROR(C199-Inputs!F215,"n/a")</f>
        <v>1.5439999999999827</v>
      </c>
      <c r="D202" s="20">
        <f>IFERROR(D199-C199,"n/a")</f>
        <v>13.089999999999975</v>
      </c>
      <c r="E202" s="20">
        <f>IFERROR(E199-D199,"n/a")</f>
        <v>16.326999999999998</v>
      </c>
      <c r="F202" s="20">
        <f>IFERROR(F199-E199,"n/a")</f>
        <v>27.912000000000035</v>
      </c>
      <c r="G202" s="20" t="s">
        <v>34</v>
      </c>
      <c r="H202" s="20">
        <f>IFERROR(H199-F199,"n/a")</f>
        <v>17.22800000000001</v>
      </c>
      <c r="I202" s="20">
        <f>IFERROR(I199-H199,"n/a")</f>
        <v>14.699999999999989</v>
      </c>
      <c r="J202" s="48">
        <f>IFERROR(J199-I199,"n/a")</f>
        <v>16.241132579886084</v>
      </c>
      <c r="K202" s="45"/>
    </row>
    <row r="203">
      <c r="B203" s="49" t="s">
        <v>119</v>
      </c>
      <c r="C203" s="33">
        <f>IFERROR(C199/'Revenue summary'!C40,"n/a")</f>
        <v>0.5654710347990014</v>
      </c>
      <c r="D203" s="33">
        <f>IFERROR(D199/'Revenue summary'!D40,"n/a")</f>
        <v>0.5627602147851823</v>
      </c>
      <c r="E203" s="33">
        <f>IFERROR(E199/'Revenue summary'!E40,"n/a")</f>
        <v>0.5686226566812784</v>
      </c>
      <c r="F203" s="33">
        <f>IFERROR(F199/'Revenue summary'!F40,"n/a")</f>
        <v>0.5824385309679428</v>
      </c>
      <c r="G203" s="33">
        <f>IFERROR(G199/'Revenue summary'!G40,"n/a")</f>
        <v>0.5700530777400501</v>
      </c>
      <c r="H203" s="33">
        <f>IFERROR(H199/'Revenue summary'!H40,"n/a")</f>
        <v>0.5833333333333334</v>
      </c>
      <c r="I203" s="33">
        <f>IFERROR(I199/'Revenue summary'!I40,"n/a")</f>
        <v>0.5893886966551326</v>
      </c>
      <c r="J203" s="69">
        <f>IFERROR(J199/'Revenue summary'!J40,"n/a")</f>
        <v>0.5941576346778</v>
      </c>
      <c r="K203" s="45"/>
    </row>
    <row r="204">
      <c r="B204" s="65" t="s">
        <v>120</v>
      </c>
      <c r="C204" s="47">
        <f>IFERROR((C203-Inputs!C218)*10000,"n/a")</f>
        <v>156.30969501522873</v>
      </c>
      <c r="D204" s="47">
        <f>IFERROR((D203-Inputs!D218)*10000,"n/a")</f>
        <v>17.141507325457717</v>
      </c>
      <c r="E204" s="47">
        <f>IFERROR((E203-Inputs!E218)*10000,"n/a")</f>
        <v>99.37398541759568</v>
      </c>
      <c r="F204" s="47">
        <f>IFERROR((F203-Inputs!F218)*10000,"n/a")</f>
        <v>172.81955862597732</v>
      </c>
      <c r="G204" s="47">
        <f>IFERROR((G203-Inputs!G218)*10000,"n/a")</f>
        <v>112.03824485294001</v>
      </c>
      <c r="H204" s="62">
        <f>IFERROR((H203-C203)*10000,"n/a")</f>
        <v>178.62298534331967</v>
      </c>
      <c r="I204" s="62">
        <f>IFERROR((I203-D203)*10000,"n/a")</f>
        <v>266.2848186995026</v>
      </c>
      <c r="J204" s="64">
        <f>IFERROR((J203-E203)*10000,"n/a")</f>
        <v>255.34977996521602</v>
      </c>
      <c r="K204" s="45"/>
    </row>
    <row r="205">
      <c r="B205" s="65" t="s">
        <v>121</v>
      </c>
      <c r="C205" s="47">
        <f>IFERROR((C203-Inputs!F218)*10000,"n/a")</f>
        <v>3.1445969365628823</v>
      </c>
      <c r="D205" s="62">
        <f>IFERROR((D203-C203)*10000,"n/a")</f>
        <v>-27.108200138190597</v>
      </c>
      <c r="E205" s="62">
        <f>IFERROR((E203-D203)*10000,"n/a")</f>
        <v>58.624418960960824</v>
      </c>
      <c r="F205" s="62">
        <f>IFERROR((F203-E203)*10000,"n/a")</f>
        <v>138.1587428666442</v>
      </c>
      <c r="G205" s="62" t="s">
        <v>34</v>
      </c>
      <c r="H205" s="62">
        <f>IFERROR((H203-F203)*10000,"n/a")</f>
        <v>8.948023653905235</v>
      </c>
      <c r="I205" s="62">
        <f>IFERROR((I203-H203)*10000,"n/a")</f>
        <v>60.55363321799234</v>
      </c>
      <c r="J205" s="64">
        <f>IFERROR((J203-I203)*10000,"n/a")</f>
        <v>47.68938022667424</v>
      </c>
      <c r="K205" s="45"/>
    </row>
    <row r="206">
      <c r="B206" s="49" t="s">
        <v>122</v>
      </c>
      <c r="C206" s="9">
        <v>0.001</v>
      </c>
      <c r="D206" s="9">
        <v>0</v>
      </c>
      <c r="E206" s="9">
        <v>0</v>
      </c>
      <c r="F206" s="9">
        <v>0</v>
      </c>
      <c r="G206" s="9">
        <v>0</v>
      </c>
      <c r="H206" s="9">
        <v>0.001</v>
      </c>
      <c r="I206" s="9">
        <v>0.003</v>
      </c>
      <c r="J206" s="46">
        <f>(J77*E70+J178*E171+J192*E185)/E199</f>
        <v>0.002150625055412714</v>
      </c>
      <c r="K206" s="45" t="s">
        <v>195</v>
      </c>
    </row>
    <row r="207">
      <c r="B207" s="49" t="s">
        <v>124</v>
      </c>
      <c r="C207" s="9">
        <v>-0.001</v>
      </c>
      <c r="D207" s="9">
        <v>0.002</v>
      </c>
      <c r="E207" s="9">
        <v>0</v>
      </c>
      <c r="F207" s="9">
        <v>0</v>
      </c>
      <c r="G207" s="9">
        <v>0</v>
      </c>
      <c r="H207" s="9">
        <v>0</v>
      </c>
      <c r="I207" s="9">
        <v>-0.003</v>
      </c>
      <c r="J207" s="46">
        <f>(J78*E70+J179*E171+J193*E185)/E199</f>
        <v>-0.001075312527706357</v>
      </c>
      <c r="K207" s="45" t="s">
        <v>196</v>
      </c>
    </row>
    <row r="208">
      <c r="B208" s="49" t="s">
        <v>125</v>
      </c>
      <c r="C208" s="19">
        <f>IFERROR((1+C200)/((1+C206)*(1+C207))-1,"n/a")</f>
        <v>0.12804227581477567</v>
      </c>
      <c r="D208" s="19">
        <f>IFERROR((1+D200)/((1+D206)*(1+D207))-1,"n/a")</f>
        <v>0.09258260453453104</v>
      </c>
      <c r="E208" s="19">
        <f>IFERROR((1+E200)/((1+E206)*(1+E207))-1,"n/a")</f>
        <v>0.11429996887982163</v>
      </c>
      <c r="F208" s="19">
        <f>IFERROR((1+F200)/((1+F206)*(1+F207))-1,"n/a")</f>
        <v>0.14010742529135012</v>
      </c>
      <c r="G208" s="19">
        <f>IFERROR((1+G200)/((1+G206)*(1+G207))-1,"n/a")</f>
        <v>0.11945218009641989</v>
      </c>
      <c r="H208" s="19">
        <f>IFERROR((1+H200)/((1+H206)*(1+H207))-1,"n/a")</f>
        <v>0.17560740973577738</v>
      </c>
      <c r="I208" s="19">
        <f>IFERROR((1+I200)/((1+I206)*(1+I207))-1,"n/a")</f>
        <v>0.175174375085128</v>
      </c>
      <c r="J208" s="46">
        <f>IFERROR((1+J200)/((1+J206)*(1+J207))-1,"n/a")</f>
        <v>0.167381880611984</v>
      </c>
      <c r="K208" s="45" t="s">
        <v>126</v>
      </c>
    </row>
    <row r="209">
      <c r="B209" s="24" t="s">
        <v>257</v>
      </c>
      <c r="C209" s="10"/>
      <c r="D209" s="10"/>
      <c r="E209" s="10"/>
      <c r="F209" s="10"/>
      <c r="G209" s="10"/>
      <c r="H209" s="10"/>
      <c r="I209" s="10"/>
      <c r="J209" s="51"/>
      <c r="K209" s="45"/>
    </row>
    <row r="210">
      <c r="B210" s="2" t="s">
        <v>258</v>
      </c>
      <c r="C210" s="12">
        <v>110.172</v>
      </c>
      <c r="D210" s="12">
        <v>104.675</v>
      </c>
      <c r="E210" s="12">
        <v>100.897</v>
      </c>
      <c r="F210" s="12">
        <v>105.056</v>
      </c>
      <c r="G210" s="20">
        <f>SUM(C210:F210)</f>
        <v>420.8</v>
      </c>
      <c r="H210" s="12">
        <v>121.1</v>
      </c>
      <c r="I210" s="12">
        <v>113.2</v>
      </c>
      <c r="J210" s="53">
        <v>117</v>
      </c>
      <c r="K210" s="45" t="s">
        <v>259</v>
      </c>
    </row>
    <row r="211">
      <c r="B211" s="49" t="s">
        <v>150</v>
      </c>
      <c r="C211" s="33">
        <f>IFERROR(IF(OR(ABS(Inputs!C217)&lt;0.5,C210*Inputs!C217&lt;0),"n/m",C210/Inputs!C217-1),"n/a")</f>
        <v>0.14628766439154295</v>
      </c>
      <c r="D211" s="33">
        <f>IFERROR(IF(OR(ABS(Inputs!D217)&lt;0.5,D210*Inputs!D217&lt;0),"n/m",D210/Inputs!D217-1),"n/a")</f>
        <v>0.16045098778297606</v>
      </c>
      <c r="E211" s="33">
        <f>IFERROR(IF(OR(ABS(Inputs!E217)&lt;0.5,E210*Inputs!E217&lt;0),"n/m",E210/Inputs!E217-1),"n/a")</f>
        <v>0.11200872881169155</v>
      </c>
      <c r="F211" s="33">
        <f>IFERROR(IF(OR(ABS(Inputs!F217)&lt;0.5,F210*Inputs!F217&lt;0),"n/m",F210/Inputs!F217-1),"n/a")</f>
        <v>0.08257164349824286</v>
      </c>
      <c r="G211" s="33">
        <f>IFERROR(IF(OR(ABS(Inputs!G217)&lt;0.5,G210*Inputs!G217&lt;0),"n/m",G210/Inputs!G217-1),"n/a")</f>
        <v>0.12485999395868963</v>
      </c>
      <c r="H211" s="19">
        <f>IFERROR(IF(OR(ABS(C210)&lt;0.5,H210*C210&lt;0),"n/m",H210/C210-1),"n/a")</f>
        <v>0.09919035689648914</v>
      </c>
      <c r="I211" s="19">
        <f>IFERROR(IF(OR(ABS(D210)&lt;0.5,I210*D210&lt;0),"n/m",I210/D210-1),"n/a")</f>
        <v>0.08144256030570829</v>
      </c>
      <c r="J211" s="46">
        <f>IFERROR(IF(OR(ABS(E210)&lt;0.5,J210*E210&lt;0),"n/m",J210/E210-1),"n/a")</f>
        <v>0.15959840233109013</v>
      </c>
      <c r="K211" s="45"/>
    </row>
    <row r="212">
      <c r="B212" s="42" t="s">
        <v>118</v>
      </c>
      <c r="C212" s="4">
        <f>IFERROR(C210-Inputs!F217,"n/a")</f>
        <v>13.12899999999999</v>
      </c>
      <c r="D212" s="20">
        <f>IFERROR(D210-C210,"n/a")</f>
        <v>-5.497</v>
      </c>
      <c r="E212" s="20">
        <f>IFERROR(E210-D210,"n/a")</f>
        <v>-3.7779999999999916</v>
      </c>
      <c r="F212" s="20">
        <f>IFERROR(F210-E210,"n/a")</f>
        <v>4.158999999999992</v>
      </c>
      <c r="G212" s="20" t="s">
        <v>34</v>
      </c>
      <c r="H212" s="20">
        <f>IFERROR(H210-F210,"n/a")</f>
        <v>16.043999999999997</v>
      </c>
      <c r="I212" s="20">
        <f>IFERROR(I210-H210,"n/a")</f>
        <v>-7.8999999999999915</v>
      </c>
      <c r="J212" s="48">
        <f>IFERROR(J210-I210,"n/a")</f>
        <v>3.799999999999997</v>
      </c>
      <c r="K212" s="45"/>
    </row>
    <row r="213">
      <c r="B213" s="24" t="s">
        <v>260</v>
      </c>
      <c r="C213" s="60">
        <f>C199-C210</f>
        <v>311.571</v>
      </c>
      <c r="D213" s="60">
        <f>D199-D210</f>
        <v>330.15799999999996</v>
      </c>
      <c r="E213" s="60">
        <f>E199-E210</f>
        <v>350.263</v>
      </c>
      <c r="F213" s="60">
        <f>F199-F210</f>
        <v>374.016</v>
      </c>
      <c r="G213" s="60">
        <f>G199-G210</f>
        <v>1366.008</v>
      </c>
      <c r="H213" s="60">
        <f>H199-H210</f>
        <v>375.20000000000005</v>
      </c>
      <c r="I213" s="60">
        <f>I199-I210</f>
        <v>397.8</v>
      </c>
      <c r="J213" s="50">
        <f>J199-J210</f>
        <v>410.2411325798861</v>
      </c>
      <c r="K213" s="45"/>
    </row>
    <row r="214">
      <c r="B214" s="49" t="s">
        <v>150</v>
      </c>
      <c r="C214" s="33">
        <f>IFERROR(IF(OR(ABS(Inputs!C216)&lt;0.5,C213*Inputs!C216&lt;0),"n/m",C213/Inputs!C216-1),"n/a")</f>
        <v>0.12172739055299542</v>
      </c>
      <c r="D214" s="33">
        <f>IFERROR(IF(OR(ABS(Inputs!D216)&lt;0.5,D213*Inputs!D216&lt;0),"n/m",D213/Inputs!D216-1),"n/a")</f>
        <v>0.0754682562949931</v>
      </c>
      <c r="E214" s="33">
        <f>IFERROR(IF(OR(ABS(Inputs!E216)&lt;0.5,E213*Inputs!E216&lt;0),"n/m",E213/Inputs!E216-1),"n/a")</f>
        <v>0.11496173777964502</v>
      </c>
      <c r="F214" s="33">
        <f>IFERROR(IF(OR(ABS(Inputs!F216)&lt;0.5,F213*Inputs!F216&lt;0),"n/m",F213/Inputs!F216-1),"n/a")</f>
        <v>0.15738528760103487</v>
      </c>
      <c r="G214" s="33">
        <f>IFERROR(IF(OR(ABS(Inputs!G216)&lt;0.5,G213*Inputs!G216&lt;0),"n/m",G213/Inputs!G216-1),"n/a")</f>
        <v>0.11779675857204341</v>
      </c>
      <c r="H214" s="19">
        <f>IFERROR(IF(OR(ABS(C213)&lt;0.5,H213*C213&lt;0),"n/m",H213/C213-1),"n/a")</f>
        <v>0.20421990493338593</v>
      </c>
      <c r="I214" s="19">
        <f>IFERROR(IF(OR(ABS(D213)&lt;0.5,I213*D213&lt;0),"n/m",I213/D213-1),"n/a")</f>
        <v>0.20487766463329704</v>
      </c>
      <c r="J214" s="46">
        <f>IFERROR(IF(OR(ABS(E213)&lt;0.5,J213*E213&lt;0),"n/m",J213/E213-1),"n/a")</f>
        <v>0.17123742039520629</v>
      </c>
      <c r="K214" s="45"/>
    </row>
    <row r="215">
      <c r="B215" s="42" t="s">
        <v>118</v>
      </c>
      <c r="C215" s="4">
        <f>IFERROR(C213-Inputs!F216,"n/a")</f>
        <v>-11.58499999999998</v>
      </c>
      <c r="D215" s="20">
        <f>IFERROR(D213-C213,"n/a")</f>
        <v>18.586999999999932</v>
      </c>
      <c r="E215" s="20">
        <f>IFERROR(E213-D213,"n/a")</f>
        <v>20.105000000000018</v>
      </c>
      <c r="F215" s="20">
        <f>IFERROR(F213-E213,"n/a")</f>
        <v>23.753000000000043</v>
      </c>
      <c r="G215" s="20" t="s">
        <v>34</v>
      </c>
      <c r="H215" s="20">
        <f>IFERROR(H213-F213,"n/a")</f>
        <v>1.184000000000026</v>
      </c>
      <c r="I215" s="20">
        <f>IFERROR(I213-H213,"n/a")</f>
        <v>22.599999999999966</v>
      </c>
      <c r="J215" s="48">
        <f>IFERROR(J213-I213,"n/a")</f>
        <v>12.441132579886073</v>
      </c>
      <c r="K215" s="45"/>
    </row>
    <row r="216">
      <c r="B216" s="30" t="s">
        <v>261</v>
      </c>
      <c r="C216" s="19">
        <f>C213/C199</f>
        <v>0.7387698195346456</v>
      </c>
      <c r="D216" s="19">
        <f>D213/D199</f>
        <v>0.7592753999811421</v>
      </c>
      <c r="E216" s="19">
        <f>E213/E199</f>
        <v>0.7763609362532139</v>
      </c>
      <c r="F216" s="19">
        <f>F213/F199</f>
        <v>0.7807093714514729</v>
      </c>
      <c r="G216" s="19">
        <f>G213/G199</f>
        <v>0.7644962413421028</v>
      </c>
      <c r="H216" s="19">
        <f>H213/H199</f>
        <v>0.7559943582510579</v>
      </c>
      <c r="I216" s="19">
        <f>I213/I199</f>
        <v>0.7784735812133072</v>
      </c>
      <c r="J216" s="46">
        <f>J213/J199</f>
        <v>0.7780901512226523</v>
      </c>
      <c r="K216" s="45"/>
    </row>
    <row r="217">
      <c r="B217" s="49" t="s">
        <v>120</v>
      </c>
      <c r="C217" s="47">
        <f>IFERROR((C216-Inputs!C220)*10000,"n/a")</f>
        <v>-41.582414059971875</v>
      </c>
      <c r="D217" s="47">
        <f>IFERROR((D216-Inputs!D220)*10000,"n/a")</f>
        <v>-136.25363377636535</v>
      </c>
      <c r="E217" s="47">
        <f>IFERROR((E216-Inputs!E220)*10000,"n/a")</f>
        <v>4.607974473395116</v>
      </c>
      <c r="F217" s="47">
        <f>IFERROR((F216-Inputs!F220)*10000,"n/a")</f>
        <v>116.54709255703777</v>
      </c>
      <c r="G217" s="47">
        <f>IFERROR((G216-Inputs!G220)*10000,"n/a")</f>
        <v>-11.321946709160757</v>
      </c>
      <c r="H217" s="62">
        <f>IFERROR((H216-C216)*10000,"n/a")</f>
        <v>172.24538716412275</v>
      </c>
      <c r="I217" s="62">
        <f>IFERROR((I216-D216)*10000,"n/a")</f>
        <v>191.981812321651</v>
      </c>
      <c r="J217" s="64">
        <f>IFERROR((J216-E216)*10000,"n/a")</f>
        <v>17.292149694384527</v>
      </c>
      <c r="K217" s="45"/>
    </row>
    <row r="218">
      <c r="B218" s="49" t="s">
        <v>121</v>
      </c>
      <c r="C218" s="47">
        <f>IFERROR((C216-Inputs!F220)*10000,"n/a")</f>
        <v>-302.84842661123525</v>
      </c>
      <c r="D218" s="62">
        <f>IFERROR((D216-C216)*10000,"n/a")</f>
        <v>205.0558044649653</v>
      </c>
      <c r="E218" s="62">
        <f>IFERROR((E216-D216)*10000,"n/a")</f>
        <v>170.85536272071766</v>
      </c>
      <c r="F218" s="62">
        <f>IFERROR((F216-E216)*10000,"n/a")</f>
        <v>43.48435198259004</v>
      </c>
      <c r="G218" s="62" t="s">
        <v>34</v>
      </c>
      <c r="H218" s="62">
        <f>IFERROR((H216-F216)*10000,"n/a")</f>
        <v>-247.15013200415027</v>
      </c>
      <c r="I218" s="62">
        <f>IFERROR((I216-H216)*10000,"n/a")</f>
        <v>224.79222962249358</v>
      </c>
      <c r="J218" s="64">
        <f>IFERROR((J216-I216)*10000,"n/a")</f>
        <v>-3.8342999065488215</v>
      </c>
      <c r="K218" s="45"/>
    </row>
    <row r="219">
      <c r="B219" s="30" t="s">
        <v>262</v>
      </c>
      <c r="C219" s="19">
        <f>C210/C199</f>
        <v>0.2612301804653545</v>
      </c>
      <c r="D219" s="19">
        <f>D210/D199</f>
        <v>0.24072460001885781</v>
      </c>
      <c r="E219" s="19">
        <f>E210/E199</f>
        <v>0.2236390637467861</v>
      </c>
      <c r="F219" s="19">
        <f>F210/F199</f>
        <v>0.21929062854852716</v>
      </c>
      <c r="G219" s="19">
        <f>G210/G199</f>
        <v>0.23550375865789722</v>
      </c>
      <c r="H219" s="19">
        <f>H210/H199</f>
        <v>0.24400564174894215</v>
      </c>
      <c r="I219" s="19">
        <f>I210/I199</f>
        <v>0.22152641878669277</v>
      </c>
      <c r="J219" s="46">
        <f>J210/J199</f>
        <v>0.2219098487773476</v>
      </c>
      <c r="K219" s="45"/>
    </row>
    <row r="220">
      <c r="B220" s="49" t="s">
        <v>120</v>
      </c>
      <c r="C220" s="47">
        <f>IFERROR((C219-Inputs!C221)*10000,"n/a")</f>
        <v>41.58241405997298</v>
      </c>
      <c r="D220" s="47">
        <f>IFERROR((D219-Inputs!D221)*10000,"n/a")</f>
        <v>136.25363377636478</v>
      </c>
      <c r="E220" s="47">
        <f>IFERROR((E219-Inputs!E221)*10000,"n/a")</f>
        <v>-4.607974473395116</v>
      </c>
      <c r="F220" s="47">
        <f>IFERROR((F219-Inputs!F221)*10000,"n/a")</f>
        <v>-116.54709255703722</v>
      </c>
      <c r="G220" s="47">
        <f>IFERROR((G219-Inputs!G221)*10000,"n/a")</f>
        <v>11.321946709161034</v>
      </c>
      <c r="H220" s="62">
        <f>IFERROR((H219-C219)*10000,"n/a")</f>
        <v>-172.24538716412357</v>
      </c>
      <c r="I220" s="62">
        <f>IFERROR((I219-D219)*10000,"n/a")</f>
        <v>-191.98181232165047</v>
      </c>
      <c r="J220" s="64">
        <f>IFERROR((J219-E219)*10000,"n/a")</f>
        <v>-17.292149694385085</v>
      </c>
      <c r="K220" s="45"/>
    </row>
    <row r="221">
      <c r="B221" s="49" t="s">
        <v>121</v>
      </c>
      <c r="C221" s="47">
        <f>IFERROR((C219-Inputs!F221)*10000,"n/a")</f>
        <v>302.84842661123633</v>
      </c>
      <c r="D221" s="62">
        <f>IFERROR((D219-C219)*10000,"n/a")</f>
        <v>-205.05580446496697</v>
      </c>
      <c r="E221" s="62">
        <f>IFERROR((E219-D219)*10000,"n/a")</f>
        <v>-170.8553627207171</v>
      </c>
      <c r="F221" s="62">
        <f>IFERROR((F219-E219)*10000,"n/a")</f>
        <v>-43.48435198258949</v>
      </c>
      <c r="G221" s="62" t="s">
        <v>34</v>
      </c>
      <c r="H221" s="62">
        <f>IFERROR((H219-F219)*10000,"n/a")</f>
        <v>247.15013200414998</v>
      </c>
      <c r="I221" s="62">
        <f>IFERROR((I219-H219)*10000,"n/a")</f>
        <v>-224.79222962249383</v>
      </c>
      <c r="J221" s="64">
        <f>IFERROR((J219-I219)*10000,"n/a")</f>
        <v>3.8342999065482664</v>
      </c>
      <c r="K221" s="45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1:K11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263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156</v>
      </c>
      <c r="C9" s="10"/>
      <c r="D9" s="10"/>
      <c r="E9" s="10"/>
      <c r="F9" s="10"/>
      <c r="G9" s="10"/>
      <c r="H9" s="10"/>
      <c r="I9" s="10"/>
      <c r="J9" s="51"/>
      <c r="K9" s="45" t="s">
        <v>157</v>
      </c>
    </row>
    <row r="10">
      <c r="B10" s="2" t="s">
        <v>158</v>
      </c>
      <c r="C10" s="4">
        <f>Inputs!F235</f>
        <v>698.377</v>
      </c>
      <c r="D10" s="20">
        <f>C26</f>
        <v>707.792</v>
      </c>
      <c r="E10" s="20">
        <f>D26</f>
        <v>730.64</v>
      </c>
      <c r="F10" s="20">
        <f>E26</f>
        <v>742.404</v>
      </c>
      <c r="G10" s="20">
        <f>C10</f>
        <v>698.377</v>
      </c>
      <c r="H10" s="20">
        <f>F26</f>
        <v>757.366</v>
      </c>
      <c r="I10" s="20">
        <f>H26</f>
        <v>763.4</v>
      </c>
      <c r="J10" s="48">
        <f>I26</f>
        <v>773.3</v>
      </c>
      <c r="K10" s="45" t="s">
        <v>159</v>
      </c>
    </row>
    <row r="11">
      <c r="B11" s="49" t="s">
        <v>150</v>
      </c>
      <c r="C11" s="19" t="s">
        <v>34</v>
      </c>
      <c r="D11" s="98">
        <f>IFERROR(IF(OR(ABS(Inputs!C235)&lt;0.5,D10*Inputs!C235&lt;0),"n/m",D10/Inputs!C235-1),"n/a")</f>
        <v>0.06904463062565047</v>
      </c>
      <c r="E11" s="98">
        <f>IFERROR(IF(OR(ABS(Inputs!D235)&lt;0.5,E10*Inputs!D235&lt;0),"n/m",E10/Inputs!D235-1),"n/a")</f>
        <v>0.08305700042543163</v>
      </c>
      <c r="F11" s="98">
        <f>IFERROR(IF(OR(ABS(Inputs!E235)&lt;0.5,F10*Inputs!E235&lt;0),"n/m",F10/Inputs!E235-1),"n/a")</f>
        <v>0.07387322751843173</v>
      </c>
      <c r="G11" s="19" t="s">
        <v>34</v>
      </c>
      <c r="H11" s="19">
        <f>IFERROR(IF(OR(ABS(C10)&lt;0.5,H10*C10&lt;0),"n/m",H10/C10-1),"n/a")</f>
        <v>0.08446584008350788</v>
      </c>
      <c r="I11" s="19">
        <f>IFERROR(IF(OR(ABS(D10)&lt;0.5,I10*D10&lt;0),"n/m",I10/D10-1),"n/a")</f>
        <v>0.07856545425774786</v>
      </c>
      <c r="J11" s="46">
        <f>IFERROR(IF(OR(ABS(E10)&lt;0.5,J10*E10&lt;0),"n/m",J10/E10-1),"n/a")</f>
        <v>0.058387167414869046</v>
      </c>
      <c r="K11" s="45" t="s">
        <v>160</v>
      </c>
    </row>
    <row r="12">
      <c r="B12" s="42" t="s">
        <v>118</v>
      </c>
      <c r="C12" s="20" t="s">
        <v>34</v>
      </c>
      <c r="D12" s="20">
        <f>IFERROR(D10-C10,"n/a")</f>
        <v>9.415000000000077</v>
      </c>
      <c r="E12" s="20">
        <f>IFERROR(E10-D10,"n/a")</f>
        <v>22.847999999999956</v>
      </c>
      <c r="F12" s="20">
        <f>IFERROR(F10-E10,"n/a")</f>
        <v>11.76400000000001</v>
      </c>
      <c r="G12" s="20" t="s">
        <v>34</v>
      </c>
      <c r="H12" s="20">
        <f>IFERROR(H10-F10,"n/a")</f>
        <v>14.961999999999989</v>
      </c>
      <c r="I12" s="20">
        <f>IFERROR(I10-H10,"n/a")</f>
        <v>6.033999999999992</v>
      </c>
      <c r="J12" s="48">
        <f>IFERROR(J10-I10,"n/a")</f>
        <v>9.899999999999977</v>
      </c>
      <c r="K12" s="45"/>
    </row>
    <row r="13">
      <c r="B13" s="2" t="s">
        <v>161</v>
      </c>
      <c r="C13" s="12">
        <v>13.218</v>
      </c>
      <c r="D13" s="12">
        <v>25.744</v>
      </c>
      <c r="E13" s="12">
        <v>21.961</v>
      </c>
      <c r="F13" s="12">
        <v>27.728</v>
      </c>
      <c r="G13" s="20">
        <f>SUM(C13:F13)</f>
        <v>88.651</v>
      </c>
      <c r="H13" s="12">
        <v>17.1</v>
      </c>
      <c r="I13" s="12">
        <v>22.1</v>
      </c>
      <c r="J13" s="53">
        <v>22</v>
      </c>
      <c r="K13" s="45" t="s">
        <v>162</v>
      </c>
    </row>
    <row r="14">
      <c r="B14" s="49" t="s">
        <v>150</v>
      </c>
      <c r="C14" s="9">
        <v>-0.062</v>
      </c>
      <c r="D14" s="9">
        <v>0.21</v>
      </c>
      <c r="E14" s="9">
        <v>0.057</v>
      </c>
      <c r="F14" s="9">
        <v>0.055</v>
      </c>
      <c r="G14" s="9">
        <v>0.076</v>
      </c>
      <c r="H14" s="19">
        <f>IFERROR(IF(OR(ABS(C13)&lt;0.5,H13*C13&lt;0),"n/m",H13/C13-1),"n/a")</f>
        <v>0.29369042215161145</v>
      </c>
      <c r="I14" s="19">
        <f>IFERROR(IF(OR(ABS(D13)&lt;0.5,I13*D13&lt;0),"n/m",I13/D13-1),"n/a")</f>
        <v>-0.14154754505904277</v>
      </c>
      <c r="J14" s="46">
        <f>IFERROR(IF(OR(ABS(E13)&lt;0.5,J13*E13&lt;0),"n/m",J13/E13-1),"n/a")</f>
        <v>0.001775875415509276</v>
      </c>
      <c r="K14" s="45"/>
    </row>
    <row r="15">
      <c r="B15" s="42" t="s">
        <v>118</v>
      </c>
      <c r="C15" s="20" t="s">
        <v>34</v>
      </c>
      <c r="D15" s="20">
        <f>IFERROR(D13-C13,"n/a")</f>
        <v>12.526</v>
      </c>
      <c r="E15" s="20">
        <f>IFERROR(E13-D13,"n/a")</f>
        <v>-3.7830000000000013</v>
      </c>
      <c r="F15" s="20">
        <f>IFERROR(F13-E13,"n/a")</f>
        <v>5.767000000000003</v>
      </c>
      <c r="G15" s="20" t="s">
        <v>34</v>
      </c>
      <c r="H15" s="20">
        <f>IFERROR(H13-F13,"n/a")</f>
        <v>-10.628</v>
      </c>
      <c r="I15" s="20">
        <f>IFERROR(I13-H13,"n/a")</f>
        <v>5</v>
      </c>
      <c r="J15" s="48">
        <f>IFERROR(J13-I13,"n/a")</f>
        <v>-0.10000000000000142</v>
      </c>
      <c r="K15" s="45"/>
    </row>
    <row r="16">
      <c r="B16" s="2" t="s">
        <v>163</v>
      </c>
      <c r="C16" s="12">
        <v>-7.942</v>
      </c>
      <c r="D16" s="12">
        <v>-10.915</v>
      </c>
      <c r="E16" s="12">
        <v>-9.853</v>
      </c>
      <c r="F16" s="12">
        <v>-11.077</v>
      </c>
      <c r="G16" s="20">
        <f>SUM(C16:F16)</f>
        <v>-39.787</v>
      </c>
      <c r="H16" s="12">
        <v>-8.9</v>
      </c>
      <c r="I16" s="12">
        <v>-10.9</v>
      </c>
      <c r="J16" s="53">
        <v>-10</v>
      </c>
      <c r="K16" s="45" t="s">
        <v>164</v>
      </c>
    </row>
    <row r="17">
      <c r="B17" s="49" t="s">
        <v>150</v>
      </c>
      <c r="C17" s="9">
        <v>-0.264</v>
      </c>
      <c r="D17" s="9">
        <v>0.5820000000000001</v>
      </c>
      <c r="E17" s="9">
        <v>-0.044</v>
      </c>
      <c r="F17" s="9">
        <v>-0.003</v>
      </c>
      <c r="G17" s="9">
        <v>0.017</v>
      </c>
      <c r="H17" s="19">
        <f>IFERROR(IF(OR(ABS(C16)&lt;0.5,H16*C16&lt;0),"n/m",H16/C16-1),"n/a")</f>
        <v>0.12062452782674393</v>
      </c>
      <c r="I17" s="19">
        <f>IFERROR(IF(OR(ABS(D16)&lt;0.5,I16*D16&lt;0),"n/m",I16/D16-1),"n/a")</f>
        <v>-0.0013742556115435844</v>
      </c>
      <c r="J17" s="46">
        <f>IFERROR(IF(OR(ABS(E16)&lt;0.5,J16*E16&lt;0),"n/m",J16/E16-1),"n/a")</f>
        <v>0.01491931391454382</v>
      </c>
      <c r="K17" s="45"/>
    </row>
    <row r="18">
      <c r="B18" s="42" t="s">
        <v>118</v>
      </c>
      <c r="C18" s="20" t="s">
        <v>34</v>
      </c>
      <c r="D18" s="20">
        <f>IFERROR(D16-C16,"n/a")</f>
        <v>-2.972999999999999</v>
      </c>
      <c r="E18" s="20">
        <f>IFERROR(E16-D16,"n/a")</f>
        <v>1.0619999999999994</v>
      </c>
      <c r="F18" s="20">
        <f>IFERROR(F16-E16,"n/a")</f>
        <v>-1.2240000000000002</v>
      </c>
      <c r="G18" s="20" t="s">
        <v>34</v>
      </c>
      <c r="H18" s="20">
        <f>IFERROR(H16-F16,"n/a")</f>
        <v>2.1769999999999996</v>
      </c>
      <c r="I18" s="20">
        <f>IFERROR(I16-H16,"n/a")</f>
        <v>-2</v>
      </c>
      <c r="J18" s="48">
        <f>IFERROR(J16-I16,"n/a")</f>
        <v>0.9000000000000004</v>
      </c>
      <c r="K18" s="45"/>
    </row>
    <row r="19">
      <c r="B19" s="24" t="s">
        <v>165</v>
      </c>
      <c r="C19" s="60">
        <f>C13+C16</f>
        <v>5.276</v>
      </c>
      <c r="D19" s="60">
        <f>D13+D16</f>
        <v>14.829</v>
      </c>
      <c r="E19" s="60">
        <f>E13+E16</f>
        <v>12.107999999999999</v>
      </c>
      <c r="F19" s="60">
        <f>F13+F16</f>
        <v>16.651000000000003</v>
      </c>
      <c r="G19" s="60">
        <f>G13+G16</f>
        <v>48.864</v>
      </c>
      <c r="H19" s="60">
        <f>H13+H16</f>
        <v>8.200000000000001</v>
      </c>
      <c r="I19" s="60">
        <f>I13+I16</f>
        <v>11.200000000000001</v>
      </c>
      <c r="J19" s="50">
        <f>J13+J16</f>
        <v>12</v>
      </c>
      <c r="K19" s="45"/>
    </row>
    <row r="20">
      <c r="B20" s="49" t="s">
        <v>150</v>
      </c>
      <c r="C20" s="9">
        <v>0.602</v>
      </c>
      <c r="D20" s="9">
        <v>0.032</v>
      </c>
      <c r="E20" s="9">
        <v>0.156</v>
      </c>
      <c r="F20" s="9">
        <v>0.097</v>
      </c>
      <c r="G20" s="9">
        <v>0.128</v>
      </c>
      <c r="H20" s="19">
        <f>IFERROR(IF(OR(ABS(C19)&lt;0.5,H19*C19&lt;0),"n/m",H19/C19-1),"n/a")</f>
        <v>0.5542077331311603</v>
      </c>
      <c r="I20" s="19">
        <f>IFERROR(IF(OR(ABS(D19)&lt;0.5,I19*D19&lt;0),"n/m",I19/D19-1),"n/a")</f>
        <v>-0.24472317755748862</v>
      </c>
      <c r="J20" s="46">
        <f>IFERROR(IF(OR(ABS(E19)&lt;0.5,J19*E19&lt;0),"n/m",J19/E19-1),"n/a")</f>
        <v>-0.008919722497522153</v>
      </c>
      <c r="K20" s="45"/>
    </row>
    <row r="21">
      <c r="B21" s="42" t="s">
        <v>118</v>
      </c>
      <c r="C21" s="20" t="s">
        <v>34</v>
      </c>
      <c r="D21" s="20">
        <f>IFERROR(D19-C19,"n/a")</f>
        <v>9.553</v>
      </c>
      <c r="E21" s="20">
        <f>IFERROR(E19-D19,"n/a")</f>
        <v>-2.721000000000002</v>
      </c>
      <c r="F21" s="20">
        <f>IFERROR(F19-E19,"n/a")</f>
        <v>4.543000000000005</v>
      </c>
      <c r="G21" s="20" t="s">
        <v>34</v>
      </c>
      <c r="H21" s="20">
        <f>IFERROR(H19-F19,"n/a")</f>
        <v>-8.451000000000002</v>
      </c>
      <c r="I21" s="20">
        <f>IFERROR(I19-H19,"n/a")</f>
        <v>3</v>
      </c>
      <c r="J21" s="48">
        <f>IFERROR(J19-I19,"n/a")</f>
        <v>0.7999999999999989</v>
      </c>
      <c r="K21" s="45"/>
    </row>
    <row r="22">
      <c r="B22" s="2" t="s">
        <v>166</v>
      </c>
      <c r="C22" s="20" t="s">
        <v>34</v>
      </c>
      <c r="D22" s="20" t="s">
        <v>34</v>
      </c>
      <c r="E22" s="20" t="s">
        <v>34</v>
      </c>
      <c r="F22" s="20" t="s">
        <v>34</v>
      </c>
      <c r="G22" s="20" t="s">
        <v>34</v>
      </c>
      <c r="H22" s="20" t="s">
        <v>34</v>
      </c>
      <c r="I22" s="20" t="s">
        <v>34</v>
      </c>
      <c r="J22" s="53">
        <v>0</v>
      </c>
      <c r="K22" s="45" t="s">
        <v>264</v>
      </c>
    </row>
    <row r="23">
      <c r="B23" s="2" t="s">
        <v>168</v>
      </c>
      <c r="C23" s="20">
        <f>C26-C10-C19</f>
        <v>4.1390000000000775</v>
      </c>
      <c r="D23" s="20">
        <f>D26-D10-D19</f>
        <v>8.018999999999956</v>
      </c>
      <c r="E23" s="20">
        <f>E26-E10-E19</f>
        <v>-0.34399999999998876</v>
      </c>
      <c r="F23" s="20">
        <f>F26-F10-F19</f>
        <v>-1.6890000000000143</v>
      </c>
      <c r="G23" s="20">
        <f>SUM(C23:F23)</f>
        <v>10.12500000000003</v>
      </c>
      <c r="H23" s="20">
        <f>H26-H10-H19</f>
        <v>-2.1660000000000093</v>
      </c>
      <c r="I23" s="20">
        <f>I26-I10-I19</f>
        <v>-1.3000000000000238</v>
      </c>
      <c r="J23" s="53">
        <v>0</v>
      </c>
      <c r="K23" s="45" t="s">
        <v>169</v>
      </c>
    </row>
    <row r="24">
      <c r="B24" s="49" t="s">
        <v>150</v>
      </c>
      <c r="C24" s="19" t="s">
        <v>34</v>
      </c>
      <c r="D24" s="19" t="s">
        <v>34</v>
      </c>
      <c r="E24" s="19" t="s">
        <v>34</v>
      </c>
      <c r="F24" s="19" t="s">
        <v>34</v>
      </c>
      <c r="G24" s="19" t="s">
        <v>34</v>
      </c>
      <c r="H24" s="19" t="str">
        <f>IFERROR(IF(OR(ABS(C23)&lt;0.5,H23*C23&lt;0),"n/m",H23/C23-1),"n/a")</f>
        <v>n/m</v>
      </c>
      <c r="I24" s="19" t="str">
        <f>IFERROR(IF(OR(ABS(D23)&lt;0.5,I23*D23&lt;0),"n/m",I23/D23-1),"n/a")</f>
        <v>n/m</v>
      </c>
      <c r="J24" s="46" t="str">
        <f>IFERROR(IF(OR(J23=0,E23&lt;=0,ABS(E23)&lt;0.5,J23*E23&lt;0),"n/m",J23/E23-1),"n/a")</f>
        <v>n/m</v>
      </c>
      <c r="K24" s="45" t="s">
        <v>170</v>
      </c>
    </row>
    <row r="25">
      <c r="B25" s="42" t="s">
        <v>118</v>
      </c>
      <c r="C25" s="20" t="s">
        <v>34</v>
      </c>
      <c r="D25" s="20">
        <f>IFERROR(D23-C23,"n/a")</f>
        <v>3.879999999999878</v>
      </c>
      <c r="E25" s="20">
        <f>IFERROR(E23-D23,"n/a")</f>
        <v>-8.362999999999944</v>
      </c>
      <c r="F25" s="20">
        <f>IFERROR(F23-E23,"n/a")</f>
        <v>-1.3450000000000255</v>
      </c>
      <c r="G25" s="20" t="s">
        <v>34</v>
      </c>
      <c r="H25" s="20">
        <f>IFERROR(H23-F23,"n/a")</f>
        <v>-0.476999999999995</v>
      </c>
      <c r="I25" s="20">
        <f>IFERROR(I23-H23,"n/a")</f>
        <v>0.8659999999999854</v>
      </c>
      <c r="J25" s="48">
        <f>IFERROR(J23-I23,"n/a")</f>
        <v>1.3000000000000238</v>
      </c>
      <c r="K25" s="45"/>
    </row>
    <row r="26">
      <c r="B26" s="24" t="s">
        <v>171</v>
      </c>
      <c r="C26" s="44">
        <v>707.792</v>
      </c>
      <c r="D26" s="44">
        <v>730.64</v>
      </c>
      <c r="E26" s="44">
        <v>742.404</v>
      </c>
      <c r="F26" s="44">
        <v>757.366</v>
      </c>
      <c r="G26" s="60">
        <f>F26</f>
        <v>757.366</v>
      </c>
      <c r="H26" s="44">
        <v>763.4</v>
      </c>
      <c r="I26" s="44">
        <v>773.3</v>
      </c>
      <c r="J26" s="50">
        <f>J10+J19+J22+J23</f>
        <v>785.3</v>
      </c>
      <c r="K26" s="45" t="s">
        <v>172</v>
      </c>
    </row>
    <row r="27">
      <c r="B27" s="49" t="s">
        <v>150</v>
      </c>
      <c r="C27" s="33">
        <f>IFERROR(IF(OR(ABS(Inputs!C235)&lt;0.5,C26*Inputs!C235&lt;0),"n/m",C26/Inputs!C235-1),"n/a")</f>
        <v>0.06904463062565047</v>
      </c>
      <c r="D27" s="33">
        <f>IFERROR(IF(OR(ABS(Inputs!D235)&lt;0.5,D26*Inputs!D235&lt;0),"n/m",D26/Inputs!D235-1),"n/a")</f>
        <v>0.08305700042543163</v>
      </c>
      <c r="E27" s="33">
        <f>IFERROR(IF(OR(ABS(Inputs!E235)&lt;0.5,E26*Inputs!E235&lt;0),"n/m",E26/Inputs!E235-1),"n/a")</f>
        <v>0.07387322751843173</v>
      </c>
      <c r="F27" s="33">
        <f>IFERROR(IF(OR(ABS(Inputs!F235)&lt;0.5,F26*Inputs!F235&lt;0),"n/m",F26/Inputs!F235-1),"n/a")</f>
        <v>0.08446584008350788</v>
      </c>
      <c r="G27" s="33">
        <f>IFERROR(IF(OR(ABS(Inputs!G235)&lt;0.5,G26*Inputs!G235&lt;0),"n/m",G26/Inputs!G235-1),"n/a")</f>
        <v>0.08446584008350788</v>
      </c>
      <c r="H27" s="19">
        <f>IFERROR(IF(OR(ABS(C26)&lt;0.5,H26*C26&lt;0),"n/m",H26/C26-1),"n/a")</f>
        <v>0.07856545425774786</v>
      </c>
      <c r="I27" s="19">
        <f>IFERROR(IF(OR(ABS(D26)&lt;0.5,I26*D26&lt;0),"n/m",I26/D26-1),"n/a")</f>
        <v>0.058387167414869046</v>
      </c>
      <c r="J27" s="46">
        <f>IFERROR(IF(OR(ABS(E26)&lt;0.5,J26*E26&lt;0),"n/m",J26/E26-1),"n/a")</f>
        <v>0.05777986109988631</v>
      </c>
      <c r="K27" s="45"/>
    </row>
    <row r="28">
      <c r="B28" s="42" t="s">
        <v>118</v>
      </c>
      <c r="C28" s="4">
        <f>IFERROR(C26-Inputs!F235,"n/a")</f>
        <v>9.415000000000077</v>
      </c>
      <c r="D28" s="20">
        <f>IFERROR(D26-C26,"n/a")</f>
        <v>22.847999999999956</v>
      </c>
      <c r="E28" s="20">
        <f>IFERROR(E26-D26,"n/a")</f>
        <v>11.76400000000001</v>
      </c>
      <c r="F28" s="20">
        <f>IFERROR(F26-E26,"n/a")</f>
        <v>14.961999999999989</v>
      </c>
      <c r="G28" s="20" t="s">
        <v>34</v>
      </c>
      <c r="H28" s="20">
        <f>IFERROR(H26-F26,"n/a")</f>
        <v>6.033999999999992</v>
      </c>
      <c r="I28" s="20">
        <f>IFERROR(I26-H26,"n/a")</f>
        <v>9.899999999999977</v>
      </c>
      <c r="J28" s="48">
        <f>IFERROR(J26-I26,"n/a")</f>
        <v>12</v>
      </c>
      <c r="K28" s="45"/>
    </row>
    <row r="29">
      <c r="B29" s="2" t="s">
        <v>173</v>
      </c>
      <c r="C29" s="20">
        <f>AVERAGE(C10,C26)</f>
        <v>703.0844999999999</v>
      </c>
      <c r="D29" s="20">
        <f>AVERAGE(D10,D26)</f>
        <v>719.216</v>
      </c>
      <c r="E29" s="20">
        <f>AVERAGE(E10,E26)</f>
        <v>736.5219999999999</v>
      </c>
      <c r="F29" s="20">
        <f>AVERAGE(F10,F26)</f>
        <v>749.885</v>
      </c>
      <c r="G29" s="20">
        <f>AVERAGE(C29,D29,E29,F29)</f>
        <v>727.176875</v>
      </c>
      <c r="H29" s="20">
        <f>AVERAGE(H10,H26)</f>
        <v>760.383</v>
      </c>
      <c r="I29" s="20">
        <f>AVERAGE(I10,I26)</f>
        <v>768.3499999999999</v>
      </c>
      <c r="J29" s="48">
        <f>AVERAGE(J10,J26)</f>
        <v>779.3</v>
      </c>
      <c r="K29" s="45"/>
    </row>
    <row r="30">
      <c r="B30" s="49" t="s">
        <v>150</v>
      </c>
      <c r="C30" s="19" t="s">
        <v>34</v>
      </c>
      <c r="D30" s="98">
        <f>IFERROR(IF(COUNT(Inputs!C235,Inputs!D235)&lt;2,"n/a",IF(OR(ABS((Inputs!C235+Inputs!D235)/2)&lt;0.5,D29*(Inputs!C235+Inputs!D235)&lt;0),"n/m",D29/((Inputs!C235+Inputs!D235)/2)-1)),"n/a")</f>
        <v>0.07611649090887318</v>
      </c>
      <c r="E30" s="98">
        <f>IFERROR(IF(COUNT(Inputs!D235,Inputs!E235)&lt;2,"n/a",IF(OR(ABS((Inputs!D235+Inputs!E235)/2)&lt;0.5,E29*(Inputs!D235+Inputs!E235)&lt;0),"n/m",E29/((Inputs!D235+Inputs!E235)/2)-1)),"n/a")</f>
        <v>0.07840889291053355</v>
      </c>
      <c r="F30" s="98">
        <f>IFERROR(IF(COUNT(Inputs!E235,Inputs!F235)&lt;2,"n/a",IF(OR(ABS((Inputs!E235+Inputs!F235)/2)&lt;0.5,F29*(Inputs!E235+Inputs!F235)&lt;0),"n/m",F29/((Inputs!E235+Inputs!F235)/2)-1)),"n/a")</f>
        <v>0.07919637910067556</v>
      </c>
      <c r="G30" s="19" t="s">
        <v>34</v>
      </c>
      <c r="H30" s="19">
        <f>IFERROR(IF(OR(ABS(C29)&lt;0.5,H29*C29&lt;0),"n/m",H29/C29-1),"n/a")</f>
        <v>0.081495894163504</v>
      </c>
      <c r="I30" s="19">
        <f>IFERROR(IF(OR(ABS(D29)&lt;0.5,I29*D29&lt;0),"n/m",I29/D29-1),"n/a")</f>
        <v>0.06831605526017204</v>
      </c>
      <c r="J30" s="46">
        <f>IFERROR(IF(OR(ABS(E29)&lt;0.5,J29*E29&lt;0),"n/m",J29/E29-1),"n/a")</f>
        <v>0.058081089227477234</v>
      </c>
      <c r="K30" s="45" t="s">
        <v>174</v>
      </c>
    </row>
    <row r="31">
      <c r="B31" s="42" t="s">
        <v>118</v>
      </c>
      <c r="C31" s="20" t="s">
        <v>34</v>
      </c>
      <c r="D31" s="20">
        <f>IFERROR(D29-C29,"n/a")</f>
        <v>16.131500000000074</v>
      </c>
      <c r="E31" s="20">
        <f>IFERROR(E29-D29,"n/a")</f>
        <v>17.305999999999926</v>
      </c>
      <c r="F31" s="20">
        <f>IFERROR(F29-E29,"n/a")</f>
        <v>13.363000000000056</v>
      </c>
      <c r="G31" s="20" t="s">
        <v>34</v>
      </c>
      <c r="H31" s="20">
        <f>IFERROR(H29-F29,"n/a")</f>
        <v>10.498000000000047</v>
      </c>
      <c r="I31" s="20">
        <f>IFERROR(I29-H29,"n/a")</f>
        <v>7.966999999999871</v>
      </c>
      <c r="J31" s="48">
        <f>IFERROR(J29-I29,"n/a")</f>
        <v>10.950000000000045</v>
      </c>
      <c r="K31" s="45"/>
    </row>
    <row r="32">
      <c r="B32" s="24" t="s">
        <v>175</v>
      </c>
      <c r="C32" s="10"/>
      <c r="D32" s="10"/>
      <c r="E32" s="10"/>
      <c r="F32" s="10"/>
      <c r="G32" s="10"/>
      <c r="H32" s="10"/>
      <c r="I32" s="10"/>
      <c r="J32" s="51"/>
      <c r="K32" s="45" t="s">
        <v>176</v>
      </c>
    </row>
    <row r="33">
      <c r="B33" s="2" t="s">
        <v>265</v>
      </c>
      <c r="C33" s="12">
        <v>474.6</v>
      </c>
      <c r="D33" s="12">
        <v>486.2</v>
      </c>
      <c r="E33" s="12">
        <v>490.7</v>
      </c>
      <c r="F33" s="12">
        <v>502.8</v>
      </c>
      <c r="G33" s="20">
        <f>F33</f>
        <v>502.8</v>
      </c>
      <c r="H33" s="12">
        <v>503.3</v>
      </c>
      <c r="I33" s="12">
        <v>503.5</v>
      </c>
      <c r="J33" s="48">
        <f>J26*I33/I26</f>
        <v>511.3132678132678</v>
      </c>
      <c r="K33" s="45" t="s">
        <v>178</v>
      </c>
    </row>
    <row r="34">
      <c r="B34" s="49" t="s">
        <v>150</v>
      </c>
      <c r="C34" s="33" t="str">
        <f>IFERROR(IF(OR(ABS(Inputs!C240)&lt;0.5,C33*Inputs!C240&lt;0),"n/m",C33/Inputs!C240-1),"n/a")</f>
        <v>n/a</v>
      </c>
      <c r="D34" s="33" t="str">
        <f>IFERROR(IF(OR(ABS(Inputs!D240)&lt;0.5,D33*Inputs!D240&lt;0),"n/m",D33/Inputs!D240-1),"n/a")</f>
        <v>n/a</v>
      </c>
      <c r="E34" s="33">
        <f>IFERROR(IF(OR(ABS(Inputs!E240)&lt;0.5,E33*Inputs!E240&lt;0),"n/m",E33/Inputs!E240-1),"n/a")</f>
        <v>0.04872836076084641</v>
      </c>
      <c r="F34" s="33">
        <f>IFERROR(IF(OR(ABS(Inputs!F240)&lt;0.5,F33*Inputs!F240&lt;0),"n/m",F33/Inputs!F240-1),"n/a")</f>
        <v>0.06955966815571157</v>
      </c>
      <c r="G34" s="33">
        <f>IFERROR(IF(OR(ABS(Inputs!G240)&lt;0.5,G33*Inputs!G240&lt;0),"n/m",G33/Inputs!G240-1),"n/a")</f>
        <v>0.06955966815571157</v>
      </c>
      <c r="H34" s="19">
        <f>IFERROR(IF(OR(ABS(C33)&lt;0.5,H33*C33&lt;0),"n/m",H33/C33-1),"n/a")</f>
        <v>0.06047197640117985</v>
      </c>
      <c r="I34" s="19">
        <f>IFERROR(IF(OR(ABS(D33)&lt;0.5,I33*D33&lt;0),"n/m",I33/D33-1),"n/a")</f>
        <v>0.035582064993829654</v>
      </c>
      <c r="J34" s="46">
        <f>IFERROR(IF(OR(ABS(E33)&lt;0.5,J33*E33&lt;0),"n/m",J33/E33-1),"n/a")</f>
        <v>0.042007882236127614</v>
      </c>
      <c r="K34" s="45"/>
    </row>
    <row r="35">
      <c r="B35" s="42" t="s">
        <v>118</v>
      </c>
      <c r="C35" s="4">
        <f>IFERROR(C33-Inputs!F240,"n/a")</f>
        <v>4.5</v>
      </c>
      <c r="D35" s="20">
        <f>IFERROR(D33-C33,"n/a")</f>
        <v>11.599999999999966</v>
      </c>
      <c r="E35" s="20">
        <f>IFERROR(E33-D33,"n/a")</f>
        <v>4.5</v>
      </c>
      <c r="F35" s="20">
        <f>IFERROR(F33-E33,"n/a")</f>
        <v>12.100000000000023</v>
      </c>
      <c r="G35" s="20" t="s">
        <v>34</v>
      </c>
      <c r="H35" s="20">
        <f>IFERROR(H33-F33,"n/a")</f>
        <v>0.5</v>
      </c>
      <c r="I35" s="20">
        <f>IFERROR(I33-H33,"n/a")</f>
        <v>0.19999999999998863</v>
      </c>
      <c r="J35" s="48">
        <f>IFERROR(J33-I33,"n/a")</f>
        <v>7.813267813267828</v>
      </c>
      <c r="K35" s="45"/>
    </row>
    <row r="36">
      <c r="B36" s="49" t="s">
        <v>179</v>
      </c>
      <c r="C36" s="19">
        <f>C33/C26</f>
        <v>0.6705359766711124</v>
      </c>
      <c r="D36" s="19">
        <f>D33/D26</f>
        <v>0.6654439943063616</v>
      </c>
      <c r="E36" s="19">
        <f>E33/E26</f>
        <v>0.6609608784435429</v>
      </c>
      <c r="F36" s="19">
        <f>F33/F26</f>
        <v>0.6638798150431892</v>
      </c>
      <c r="G36" s="19">
        <f>G33/G26</f>
        <v>0.6638798150431892</v>
      </c>
      <c r="H36" s="19">
        <f>H33/H26</f>
        <v>0.6592873984804821</v>
      </c>
      <c r="I36" s="19">
        <f>I33/I26</f>
        <v>0.6511056511056511</v>
      </c>
      <c r="J36" s="46">
        <f>J33/J26</f>
        <v>0.6511056511056512</v>
      </c>
      <c r="K36" s="45"/>
    </row>
    <row r="37">
      <c r="B37" s="65" t="s">
        <v>120</v>
      </c>
      <c r="C37" s="47" t="str">
        <f>IFERROR((C36-Inputs!C241)*10000,"n/a")</f>
        <v>n/a</v>
      </c>
      <c r="D37" s="47" t="str">
        <f>IFERROR((D36-Inputs!D241)*10000,"n/a")</f>
        <v>n/a</v>
      </c>
      <c r="E37" s="47">
        <f>IFERROR((E36-Inputs!E241)*10000,"n/a")</f>
        <v>-158.47548175756287</v>
      </c>
      <c r="F37" s="47">
        <f>IFERROR((F36-Inputs!F241)*10000,"n/a")</f>
        <v>-92.5231846063479</v>
      </c>
      <c r="G37" s="47">
        <f>IFERROR((G36-Inputs!G241)*10000,"n/a")</f>
        <v>-92.5231846063479</v>
      </c>
      <c r="H37" s="62">
        <f>IFERROR((H36-C36)*10000,"n/a")</f>
        <v>-112.48578190630299</v>
      </c>
      <c r="I37" s="62">
        <f>IFERROR((I36-D36)*10000,"n/a")</f>
        <v>-143.3834320071048</v>
      </c>
      <c r="J37" s="64">
        <f>IFERROR((J36-E36)*10000,"n/a")</f>
        <v>-98.55227337891681</v>
      </c>
      <c r="K37" s="45"/>
    </row>
    <row r="38">
      <c r="B38" s="65" t="s">
        <v>121</v>
      </c>
      <c r="C38" s="47">
        <f>IFERROR((C36-Inputs!F241)*10000,"n/a")</f>
        <v>-25.96156832711527</v>
      </c>
      <c r="D38" s="62">
        <f>IFERROR((D36-C36)*10000,"n/a")</f>
        <v>-50.91982364750835</v>
      </c>
      <c r="E38" s="62">
        <f>IFERROR((E36-D36)*10000,"n/a")</f>
        <v>-44.83115862818687</v>
      </c>
      <c r="F38" s="62">
        <f>IFERROR((F36-E36)*10000,"n/a")</f>
        <v>29.1893659964626</v>
      </c>
      <c r="G38" s="62" t="s">
        <v>34</v>
      </c>
      <c r="H38" s="62">
        <f>IFERROR((H36-F36)*10000,"n/a")</f>
        <v>-45.92416562707036</v>
      </c>
      <c r="I38" s="62">
        <f>IFERROR((I36-H36)*10000,"n/a")</f>
        <v>-81.81747374831016</v>
      </c>
      <c r="J38" s="64">
        <f>IFERROR((J36-I36)*10000,"n/a")</f>
        <v>0</v>
      </c>
      <c r="K38" s="45"/>
    </row>
    <row r="39">
      <c r="B39" s="2" t="s">
        <v>266</v>
      </c>
      <c r="C39" s="12">
        <v>233.2</v>
      </c>
      <c r="D39" s="12">
        <v>244.4</v>
      </c>
      <c r="E39" s="12">
        <v>251.7</v>
      </c>
      <c r="F39" s="12">
        <v>254.6</v>
      </c>
      <c r="G39" s="20">
        <f>F39</f>
        <v>254.6</v>
      </c>
      <c r="H39" s="12">
        <v>260.1</v>
      </c>
      <c r="I39" s="12">
        <v>269.8</v>
      </c>
      <c r="J39" s="48">
        <f>J26*I39/I26</f>
        <v>273.9867321867322</v>
      </c>
      <c r="K39" s="45" t="s">
        <v>178</v>
      </c>
    </row>
    <row r="40">
      <c r="B40" s="49" t="s">
        <v>150</v>
      </c>
      <c r="C40" s="33" t="str">
        <f>IFERROR(IF(OR(ABS(Inputs!C242)&lt;0.5,C39*Inputs!C242&lt;0),"n/m",C39/Inputs!C242-1),"n/a")</f>
        <v>n/a</v>
      </c>
      <c r="D40" s="33" t="str">
        <f>IFERROR(IF(OR(ABS(Inputs!D242)&lt;0.5,D39*Inputs!D242&lt;0),"n/m",D39/Inputs!D242-1),"n/a")</f>
        <v>n/a</v>
      </c>
      <c r="E40" s="33">
        <f>IFERROR(IF(OR(ABS(Inputs!E242)&lt;0.5,E39*Inputs!E242&lt;0),"n/m",E39/Inputs!E242-1),"n/a")</f>
        <v>0.12667860340196957</v>
      </c>
      <c r="F40" s="33">
        <f>IFERROR(IF(OR(ABS(Inputs!F242)&lt;0.5,F39*Inputs!F242&lt;0),"n/m",F39/Inputs!F242-1),"n/a")</f>
        <v>0.11519929916776173</v>
      </c>
      <c r="G40" s="33">
        <f>IFERROR(IF(OR(ABS(Inputs!G242)&lt;0.5,G39*Inputs!G242&lt;0),"n/m",G39/Inputs!G242-1),"n/a")</f>
        <v>0.11519929916776173</v>
      </c>
      <c r="H40" s="19">
        <f>IFERROR(IF(OR(ABS(C39)&lt;0.5,H39*C39&lt;0),"n/m",H39/C39-1),"n/a")</f>
        <v>0.11535162950257316</v>
      </c>
      <c r="I40" s="19">
        <f>IFERROR(IF(OR(ABS(D39)&lt;0.5,I39*D39&lt;0),"n/m",I39/D39-1),"n/a")</f>
        <v>0.10392798690671023</v>
      </c>
      <c r="J40" s="46">
        <f>IFERROR(IF(OR(ABS(E39)&lt;0.5,J39*E39&lt;0),"n/m",J39/E39-1),"n/a")</f>
        <v>0.0885448239441089</v>
      </c>
      <c r="K40" s="45"/>
    </row>
    <row r="41">
      <c r="B41" s="42" t="s">
        <v>118</v>
      </c>
      <c r="C41" s="4">
        <f>IFERROR(C39-Inputs!F242,"n/a")</f>
        <v>4.899999999999977</v>
      </c>
      <c r="D41" s="20">
        <f>IFERROR(D39-C39,"n/a")</f>
        <v>11.200000000000017</v>
      </c>
      <c r="E41" s="20">
        <f>IFERROR(E39-D39,"n/a")</f>
        <v>7.299999999999983</v>
      </c>
      <c r="F41" s="20">
        <f>IFERROR(F39-E39,"n/a")</f>
        <v>2.9000000000000057</v>
      </c>
      <c r="G41" s="20" t="s">
        <v>34</v>
      </c>
      <c r="H41" s="20">
        <f>IFERROR(H39-F39,"n/a")</f>
        <v>5.500000000000028</v>
      </c>
      <c r="I41" s="20">
        <f>IFERROR(I39-H39,"n/a")</f>
        <v>9.699999999999989</v>
      </c>
      <c r="J41" s="48">
        <f>IFERROR(J39-I39,"n/a")</f>
        <v>4.186732186732172</v>
      </c>
      <c r="K41" s="45"/>
    </row>
    <row r="42">
      <c r="B42" s="49" t="s">
        <v>179</v>
      </c>
      <c r="C42" s="19">
        <f>C39/C26</f>
        <v>0.32947532608449936</v>
      </c>
      <c r="D42" s="19">
        <f>D39/D26</f>
        <v>0.3345012591700427</v>
      </c>
      <c r="E42" s="19">
        <f>E39/E26</f>
        <v>0.3390337336544523</v>
      </c>
      <c r="F42" s="19">
        <f>F39/F26</f>
        <v>0.3361650773866268</v>
      </c>
      <c r="G42" s="19">
        <f>G39/G26</f>
        <v>0.3361650773866268</v>
      </c>
      <c r="H42" s="19">
        <f>H39/H26</f>
        <v>0.340712601519518</v>
      </c>
      <c r="I42" s="19">
        <f>I39/I26</f>
        <v>0.34889434889434895</v>
      </c>
      <c r="J42" s="46">
        <f>J39/J26</f>
        <v>0.3488943488943489</v>
      </c>
      <c r="K42" s="45"/>
    </row>
    <row r="43">
      <c r="B43" s="65" t="s">
        <v>120</v>
      </c>
      <c r="C43" s="47" t="str">
        <f>IFERROR((C42-Inputs!C243)*10000,"n/a")</f>
        <v>n/a</v>
      </c>
      <c r="D43" s="47" t="str">
        <f>IFERROR((D42-Inputs!D243)*10000,"n/a")</f>
        <v>n/a</v>
      </c>
      <c r="E43" s="47">
        <f>IFERROR((E42-Inputs!E243)*10000,"n/a")</f>
        <v>158.8989414440428</v>
      </c>
      <c r="F43" s="47">
        <f>IFERROR((F42-Inputs!F243)*10000,"n/a")</f>
        <v>92.6427738891783</v>
      </c>
      <c r="G43" s="47">
        <f>IFERROR((G42-Inputs!G243)*10000,"n/a")</f>
        <v>92.6427738891783</v>
      </c>
      <c r="H43" s="62">
        <f>IFERROR((H42-C42)*10000,"n/a")</f>
        <v>112.37275435018623</v>
      </c>
      <c r="I43" s="62">
        <f>IFERROR((I42-D42)*10000,"n/a")</f>
        <v>143.9308972430625</v>
      </c>
      <c r="J43" s="64">
        <f>IFERROR((J42-E42)*10000,"n/a")</f>
        <v>98.6061523989662</v>
      </c>
      <c r="K43" s="45"/>
    </row>
    <row r="44">
      <c r="B44" s="65" t="s">
        <v>121</v>
      </c>
      <c r="C44" s="47">
        <f>IFERROR((C42-Inputs!F243)*10000,"n/a")</f>
        <v>25.745260867903742</v>
      </c>
      <c r="D44" s="62">
        <f>IFERROR((D42-C42)*10000,"n/a")</f>
        <v>50.259330855433326</v>
      </c>
      <c r="E44" s="62">
        <f>IFERROR((E42-D42)*10000,"n/a")</f>
        <v>45.32474484409577</v>
      </c>
      <c r="F44" s="62">
        <f>IFERROR((F42-E42)*10000,"n/a")</f>
        <v>-28.686562678254536</v>
      </c>
      <c r="G44" s="62" t="s">
        <v>34</v>
      </c>
      <c r="H44" s="62">
        <f>IFERROR((H42-F42)*10000,"n/a")</f>
        <v>45.47524132891168</v>
      </c>
      <c r="I44" s="62">
        <f>IFERROR((I42-H42)*10000,"n/a")</f>
        <v>81.81747374830961</v>
      </c>
      <c r="J44" s="64">
        <f>IFERROR((J42-I42)*10000,"n/a")</f>
        <v>0</v>
      </c>
      <c r="K44" s="45"/>
    </row>
    <row r="45">
      <c r="B45" s="24" t="s">
        <v>182</v>
      </c>
      <c r="C45" s="60">
        <f>C33+C39</f>
        <v>707.8</v>
      </c>
      <c r="D45" s="60">
        <f>D33+D39</f>
        <v>730.6</v>
      </c>
      <c r="E45" s="60">
        <f>E33+E39</f>
        <v>742.4</v>
      </c>
      <c r="F45" s="60">
        <f>F33+F39</f>
        <v>757.4</v>
      </c>
      <c r="G45" s="60">
        <f>G33+G39</f>
        <v>757.4</v>
      </c>
      <c r="H45" s="60">
        <f>H33+H39</f>
        <v>763.4000000000001</v>
      </c>
      <c r="I45" s="60">
        <f>I33+I39</f>
        <v>773.3</v>
      </c>
      <c r="J45" s="50">
        <f>J33+J39</f>
        <v>785.3</v>
      </c>
      <c r="K45" s="45"/>
    </row>
    <row r="46">
      <c r="B46" s="42" t="s">
        <v>183</v>
      </c>
      <c r="C46" s="20">
        <f>C45-C26</f>
        <v>0.007999999999924512</v>
      </c>
      <c r="D46" s="20">
        <f>D45-D26</f>
        <v>-0.03999999999996362</v>
      </c>
      <c r="E46" s="20">
        <f>E45-E26</f>
        <v>-0.004000000000019099</v>
      </c>
      <c r="F46" s="20">
        <f>F45-F26</f>
        <v>0.033999999999991815</v>
      </c>
      <c r="G46" s="20">
        <f>G45-G26</f>
        <v>0.033999999999991815</v>
      </c>
      <c r="H46" s="20">
        <f>H45-H26</f>
        <v>0</v>
      </c>
      <c r="I46" s="20">
        <f>I45-I26</f>
        <v>0</v>
      </c>
      <c r="J46" s="48">
        <f>J45-J26</f>
        <v>0</v>
      </c>
      <c r="K46" s="45"/>
    </row>
    <row r="47">
      <c r="B47" s="24" t="s">
        <v>184</v>
      </c>
      <c r="C47" s="10"/>
      <c r="D47" s="10"/>
      <c r="E47" s="10"/>
      <c r="F47" s="10"/>
      <c r="G47" s="10"/>
      <c r="H47" s="10"/>
      <c r="I47" s="10"/>
      <c r="J47" s="51"/>
      <c r="K47" s="45"/>
    </row>
    <row r="48">
      <c r="B48" s="30" t="s">
        <v>185</v>
      </c>
      <c r="C48" s="9">
        <v>0.955</v>
      </c>
      <c r="D48" s="9">
        <v>0.937</v>
      </c>
      <c r="E48" s="9">
        <v>0.944</v>
      </c>
      <c r="F48" s="9">
        <v>0.937</v>
      </c>
      <c r="G48" s="9">
        <v>0.943</v>
      </c>
      <c r="H48" s="9">
        <v>0.953</v>
      </c>
      <c r="I48" s="9">
        <v>0.943</v>
      </c>
      <c r="J48" s="46">
        <f>1-(-J16*4)/F26</f>
        <v>0.9471853766870971</v>
      </c>
      <c r="K48" s="45" t="s">
        <v>186</v>
      </c>
    </row>
    <row r="49">
      <c r="B49" s="49" t="s">
        <v>120</v>
      </c>
      <c r="C49" s="47">
        <f>IFERROR((C48-Inputs!C238)*10000,"n/a")</f>
        <v>199.99999999999906</v>
      </c>
      <c r="D49" s="47">
        <f>IFERROR((D48-Inputs!D238)*10000,"n/a")</f>
        <v>-209.9999999999991</v>
      </c>
      <c r="E49" s="47">
        <f>IFERROR((E48-Inputs!E238)*10000,"n/a")</f>
        <v>60.00000000000006</v>
      </c>
      <c r="F49" s="47">
        <f>IFERROR((F48-Inputs!F238)*10000,"n/a")</f>
        <v>40.000000000000036</v>
      </c>
      <c r="G49" s="47">
        <f>IFERROR((G48-Inputs!G238)*10000,"n/a")</f>
        <v>20.000000000000018</v>
      </c>
      <c r="H49" s="62">
        <f>IFERROR((H48-C48)*10000,"n/a")</f>
        <v>-20.000000000000018</v>
      </c>
      <c r="I49" s="62">
        <f>IFERROR((I48-D48)*10000,"n/a")</f>
        <v>59.99999999999894</v>
      </c>
      <c r="J49" s="64">
        <f>IFERROR((J48-E48)*10000,"n/a")</f>
        <v>31.853766870971747</v>
      </c>
      <c r="K49" s="45"/>
    </row>
    <row r="50">
      <c r="B50" s="49" t="s">
        <v>121</v>
      </c>
      <c r="C50" s="47">
        <f>IFERROR((C48-Inputs!F238)*10000,"n/a")</f>
        <v>219.9999999999991</v>
      </c>
      <c r="D50" s="62">
        <f>IFERROR((D48-C48)*10000,"n/a")</f>
        <v>-179.99999999999906</v>
      </c>
      <c r="E50" s="62">
        <f>IFERROR((E48-D48)*10000,"n/a")</f>
        <v>69.99999999999895</v>
      </c>
      <c r="F50" s="62">
        <f>IFERROR((F48-E48)*10000,"n/a")</f>
        <v>-69.99999999999895</v>
      </c>
      <c r="G50" s="62" t="s">
        <v>34</v>
      </c>
      <c r="H50" s="62">
        <f>IFERROR((H48-F48)*10000,"n/a")</f>
        <v>159.99999999999903</v>
      </c>
      <c r="I50" s="62">
        <f>IFERROR((I48-H48)*10000,"n/a")</f>
        <v>-100.00000000000009</v>
      </c>
      <c r="J50" s="64">
        <f>IFERROR((J48-I48)*10000,"n/a")</f>
        <v>41.853766870971754</v>
      </c>
      <c r="K50" s="45"/>
    </row>
    <row r="51">
      <c r="B51" s="30" t="s">
        <v>187</v>
      </c>
      <c r="C51" s="19">
        <f>1-C48</f>
        <v>0.04500000000000004</v>
      </c>
      <c r="D51" s="19">
        <f>1-D48</f>
        <v>0.06299999999999994</v>
      </c>
      <c r="E51" s="19">
        <f>1-E48</f>
        <v>0.05600000000000005</v>
      </c>
      <c r="F51" s="19">
        <f>1-F48</f>
        <v>0.06299999999999994</v>
      </c>
      <c r="G51" s="19">
        <f>1-G48</f>
        <v>0.05700000000000005</v>
      </c>
      <c r="H51" s="19">
        <f>1-H48</f>
        <v>0.04700000000000004</v>
      </c>
      <c r="I51" s="19">
        <f>1-I48</f>
        <v>0.05700000000000005</v>
      </c>
      <c r="J51" s="46">
        <f>1-J48</f>
        <v>0.052814623312902875</v>
      </c>
      <c r="K51" s="45"/>
    </row>
    <row r="52">
      <c r="B52" s="49" t="s">
        <v>120</v>
      </c>
      <c r="C52" s="47">
        <f>IFERROR((C51-Inputs!C239)*10000,"n/a")</f>
        <v>-199.99999999999906</v>
      </c>
      <c r="D52" s="47">
        <f>IFERROR((D51-Inputs!D239)*10000,"n/a")</f>
        <v>209.9999999999991</v>
      </c>
      <c r="E52" s="47">
        <f>IFERROR((E51-Inputs!E239)*10000,"n/a")</f>
        <v>-60.00000000000006</v>
      </c>
      <c r="F52" s="47">
        <f>IFERROR((F51-Inputs!F239)*10000,"n/a")</f>
        <v>-40.000000000000036</v>
      </c>
      <c r="G52" s="47">
        <f>IFERROR((G51-Inputs!G239)*10000,"n/a")</f>
        <v>-20.000000000000018</v>
      </c>
      <c r="H52" s="62">
        <f>IFERROR((H51-C51)*10000,"n/a")</f>
        <v>20.000000000000018</v>
      </c>
      <c r="I52" s="62">
        <f>IFERROR((I51-D51)*10000,"n/a")</f>
        <v>-59.99999999999894</v>
      </c>
      <c r="J52" s="64">
        <f>IFERROR((J51-E51)*10000,"n/a")</f>
        <v>-31.853766870971747</v>
      </c>
      <c r="K52" s="45"/>
    </row>
    <row r="53">
      <c r="B53" s="49" t="s">
        <v>121</v>
      </c>
      <c r="C53" s="47">
        <f>IFERROR((C51-Inputs!F239)*10000,"n/a")</f>
        <v>-219.9999999999991</v>
      </c>
      <c r="D53" s="62">
        <f>IFERROR((D51-C51)*10000,"n/a")</f>
        <v>179.99999999999906</v>
      </c>
      <c r="E53" s="62">
        <f>IFERROR((E51-D51)*10000,"n/a")</f>
        <v>-69.99999999999895</v>
      </c>
      <c r="F53" s="62">
        <f>IFERROR((F51-E51)*10000,"n/a")</f>
        <v>69.99999999999895</v>
      </c>
      <c r="G53" s="62" t="s">
        <v>34</v>
      </c>
      <c r="H53" s="62">
        <f>IFERROR((H51-F51)*10000,"n/a")</f>
        <v>-159.99999999999903</v>
      </c>
      <c r="I53" s="62">
        <f>IFERROR((I51-H51)*10000,"n/a")</f>
        <v>100.00000000000009</v>
      </c>
      <c r="J53" s="64">
        <f>IFERROR((J51-I51)*10000,"n/a")</f>
        <v>-41.853766870971754</v>
      </c>
      <c r="K53" s="45"/>
    </row>
    <row r="54">
      <c r="B54" s="30" t="s">
        <v>188</v>
      </c>
      <c r="C54" s="19">
        <f>C13*4/C10</f>
        <v>0.07570696056714354</v>
      </c>
      <c r="D54" s="19">
        <f>D13*4/D10</f>
        <v>0.14548907023532337</v>
      </c>
      <c r="E54" s="19">
        <f>E13*4/E10</f>
        <v>0.12022884046863024</v>
      </c>
      <c r="F54" s="19">
        <f>F13*4/F10</f>
        <v>0.14939574679015738</v>
      </c>
      <c r="G54" s="19">
        <f>G13/G10</f>
        <v>0.1269386019299032</v>
      </c>
      <c r="H54" s="19">
        <f>H13*4/H10</f>
        <v>0.09031300586506393</v>
      </c>
      <c r="I54" s="19">
        <f>I13*4/I10</f>
        <v>0.11579774692166624</v>
      </c>
      <c r="J54" s="46">
        <f>J13*4/J10</f>
        <v>0.11379800853485064</v>
      </c>
      <c r="K54" s="45"/>
    </row>
    <row r="55">
      <c r="B55" s="49" t="s">
        <v>120</v>
      </c>
      <c r="C55" s="62" t="s">
        <v>34</v>
      </c>
      <c r="D55" s="62" t="s">
        <v>34</v>
      </c>
      <c r="E55" s="62" t="s">
        <v>34</v>
      </c>
      <c r="F55" s="62" t="s">
        <v>34</v>
      </c>
      <c r="G55" s="62" t="s">
        <v>34</v>
      </c>
      <c r="H55" s="62">
        <f>IFERROR((H54-C54)*10000,"n/a")</f>
        <v>146.0604529792038</v>
      </c>
      <c r="I55" s="62">
        <f>IFERROR((I54-D54)*10000,"n/a")</f>
        <v>-296.91323313657136</v>
      </c>
      <c r="J55" s="64">
        <f>IFERROR((J54-E54)*10000,"n/a")</f>
        <v>-64.30831933779594</v>
      </c>
      <c r="K55" s="45"/>
    </row>
    <row r="56">
      <c r="B56" s="49" t="s">
        <v>121</v>
      </c>
      <c r="C56" s="62" t="s">
        <v>34</v>
      </c>
      <c r="D56" s="62">
        <f>IFERROR((D54-C54)*10000,"n/a")</f>
        <v>697.8210966817983</v>
      </c>
      <c r="E56" s="62">
        <f>IFERROR((E54-D54)*10000,"n/a")</f>
        <v>-252.60229766693135</v>
      </c>
      <c r="F56" s="62">
        <f>IFERROR((F54-E54)*10000,"n/a")</f>
        <v>291.6690632152714</v>
      </c>
      <c r="G56" s="62" t="s">
        <v>34</v>
      </c>
      <c r="H56" s="62">
        <f>IFERROR((H54-F54)*10000,"n/a")</f>
        <v>-590.8274092509346</v>
      </c>
      <c r="I56" s="62">
        <f>IFERROR((I54-H54)*10000,"n/a")</f>
        <v>254.84741056602311</v>
      </c>
      <c r="J56" s="64">
        <f>IFERROR((J54-I54)*10000,"n/a")</f>
        <v>-19.997383868155943</v>
      </c>
      <c r="K56" s="45"/>
    </row>
    <row r="57">
      <c r="B57" s="30" t="s">
        <v>189</v>
      </c>
      <c r="C57" s="19">
        <f>C19*4/C10</f>
        <v>0.030218635493436927</v>
      </c>
      <c r="D57" s="19">
        <f>D19*4/D10</f>
        <v>0.08380428148382575</v>
      </c>
      <c r="E57" s="19">
        <f>E19*4/E10</f>
        <v>0.06628709076973612</v>
      </c>
      <c r="F57" s="19">
        <f>F19*4/F10</f>
        <v>0.08971395628256315</v>
      </c>
      <c r="G57" s="19">
        <f>G19/G10</f>
        <v>0.06996793995220346</v>
      </c>
      <c r="H57" s="19">
        <f>H19*4/H10</f>
        <v>0.04330799111658037</v>
      </c>
      <c r="I57" s="19">
        <f>I19*4/I10</f>
        <v>0.05868483101912497</v>
      </c>
      <c r="J57" s="46">
        <f>J19*4/J10</f>
        <v>0.062071641019009444</v>
      </c>
      <c r="K57" s="45"/>
    </row>
    <row r="58">
      <c r="B58" s="49" t="s">
        <v>120</v>
      </c>
      <c r="C58" s="62" t="s">
        <v>34</v>
      </c>
      <c r="D58" s="62" t="s">
        <v>34</v>
      </c>
      <c r="E58" s="62" t="s">
        <v>34</v>
      </c>
      <c r="F58" s="62" t="s">
        <v>34</v>
      </c>
      <c r="G58" s="62" t="s">
        <v>34</v>
      </c>
      <c r="H58" s="62">
        <f>IFERROR((H57-C57)*10000,"n/a")</f>
        <v>130.8935562314344</v>
      </c>
      <c r="I58" s="62">
        <f>IFERROR((I57-D57)*10000,"n/a")</f>
        <v>-251.1945046470078</v>
      </c>
      <c r="J58" s="64">
        <f>IFERROR((J57-E57)*10000,"n/a")</f>
        <v>-42.15449750726671</v>
      </c>
      <c r="K58" s="45"/>
    </row>
    <row r="59">
      <c r="B59" s="49" t="s">
        <v>121</v>
      </c>
      <c r="C59" s="62" t="s">
        <v>34</v>
      </c>
      <c r="D59" s="62">
        <f>IFERROR((D57-C57)*10000,"n/a")</f>
        <v>535.8564599038883</v>
      </c>
      <c r="E59" s="62">
        <f>IFERROR((E57-D57)*10000,"n/a")</f>
        <v>-175.17190714089637</v>
      </c>
      <c r="F59" s="62">
        <f>IFERROR((F57-E57)*10000,"n/a")</f>
        <v>234.26865512827035</v>
      </c>
      <c r="G59" s="62" t="s">
        <v>34</v>
      </c>
      <c r="H59" s="62">
        <f>IFERROR((H57-F57)*10000,"n/a")</f>
        <v>-464.0596516598278</v>
      </c>
      <c r="I59" s="62">
        <f>IFERROR((I57-H57)*10000,"n/a")</f>
        <v>153.76839902544606</v>
      </c>
      <c r="J59" s="64">
        <f>IFERROR((J57-I57)*10000,"n/a")</f>
        <v>33.86809999884471</v>
      </c>
      <c r="K59" s="45"/>
    </row>
    <row r="60">
      <c r="B60" s="30" t="s">
        <v>190</v>
      </c>
      <c r="C60" s="19">
        <f>C64/(C29/4)</f>
        <v>0.9657729618559363</v>
      </c>
      <c r="D60" s="19">
        <f>D64/(D29/4)</f>
        <v>0.9442559676091744</v>
      </c>
      <c r="E60" s="19">
        <f>E64/(E29/4)</f>
        <v>0.9682915106405512</v>
      </c>
      <c r="F60" s="19">
        <f>F64/(F29/4)</f>
        <v>0.9583336111537102</v>
      </c>
      <c r="G60" s="19">
        <f>G64/G29</f>
        <v>0.9591724159270054</v>
      </c>
      <c r="H60" s="19">
        <f>H64/(H29/4)</f>
        <v>0.9637248597088571</v>
      </c>
      <c r="I60" s="19">
        <f>I64/(I29/4)</f>
        <v>0.9677881173944167</v>
      </c>
      <c r="J60" s="46">
        <f>AVERAGE(E60,F60,H60,I60)</f>
        <v>0.9645345247243838</v>
      </c>
      <c r="K60" s="45" t="s">
        <v>191</v>
      </c>
    </row>
    <row r="61">
      <c r="B61" s="49" t="s">
        <v>120</v>
      </c>
      <c r="C61" s="62" t="s">
        <v>34</v>
      </c>
      <c r="D61" s="62" t="s">
        <v>34</v>
      </c>
      <c r="E61" s="62" t="s">
        <v>34</v>
      </c>
      <c r="F61" s="62" t="s">
        <v>34</v>
      </c>
      <c r="G61" s="62" t="s">
        <v>34</v>
      </c>
      <c r="H61" s="62">
        <f>IFERROR((H60-C60)*10000,"n/a")</f>
        <v>-20.48102147079178</v>
      </c>
      <c r="I61" s="62">
        <f>IFERROR((I60-D60)*10000,"n/a")</f>
        <v>235.3214978524232</v>
      </c>
      <c r="J61" s="64">
        <f>IFERROR((J60-E60)*10000,"n/a")</f>
        <v>-37.56985916167355</v>
      </c>
      <c r="K61" s="45"/>
    </row>
    <row r="62">
      <c r="B62" s="49" t="s">
        <v>121</v>
      </c>
      <c r="C62" s="62" t="s">
        <v>34</v>
      </c>
      <c r="D62" s="62">
        <f>IFERROR((D60-C60)*10000,"n/a")</f>
        <v>-215.169942467619</v>
      </c>
      <c r="E62" s="62">
        <f>IFERROR((E60-D60)*10000,"n/a")</f>
        <v>240.35543031376784</v>
      </c>
      <c r="F62" s="62">
        <f>IFERROR((F60-E60)*10000,"n/a")</f>
        <v>-99.57899486841004</v>
      </c>
      <c r="G62" s="62" t="s">
        <v>34</v>
      </c>
      <c r="H62" s="62">
        <f>IFERROR((H60-F60)*10000,"n/a")</f>
        <v>53.91248555146944</v>
      </c>
      <c r="I62" s="62">
        <f>IFERROR((I60-H60)*10000,"n/a")</f>
        <v>40.63257685559596</v>
      </c>
      <c r="J62" s="64">
        <f>IFERROR((J60-I60)*10000,"n/a")</f>
        <v>-32.5359267003289</v>
      </c>
      <c r="K62" s="45"/>
    </row>
    <row r="63">
      <c r="B63" s="24" t="s">
        <v>192</v>
      </c>
      <c r="C63" s="10"/>
      <c r="D63" s="10"/>
      <c r="E63" s="10"/>
      <c r="F63" s="10"/>
      <c r="G63" s="10"/>
      <c r="H63" s="10"/>
      <c r="I63" s="10"/>
      <c r="J63" s="51"/>
      <c r="K63" s="45"/>
    </row>
    <row r="64">
      <c r="B64" s="2" t="s">
        <v>193</v>
      </c>
      <c r="C64" s="12">
        <v>169.755</v>
      </c>
      <c r="D64" s="12">
        <v>169.781</v>
      </c>
      <c r="E64" s="12">
        <v>178.292</v>
      </c>
      <c r="F64" s="12">
        <v>179.66</v>
      </c>
      <c r="G64" s="20">
        <f>SUM(C64:F64)</f>
        <v>697.488</v>
      </c>
      <c r="H64" s="12">
        <v>183.2</v>
      </c>
      <c r="I64" s="12">
        <v>185.9</v>
      </c>
      <c r="J64" s="48">
        <f>J29/4*J60</f>
        <v>187.91543877942806</v>
      </c>
      <c r="K64" s="45" t="s">
        <v>194</v>
      </c>
    </row>
    <row r="65">
      <c r="B65" s="49" t="s">
        <v>116</v>
      </c>
      <c r="C65" s="9">
        <v>0.057</v>
      </c>
      <c r="D65" s="9">
        <v>0.047</v>
      </c>
      <c r="E65" s="9">
        <v>0.06</v>
      </c>
      <c r="F65" s="9">
        <v>0.071</v>
      </c>
      <c r="G65" s="9">
        <v>0.059</v>
      </c>
      <c r="H65" s="19">
        <f>IFERROR(IF(OR(ABS(C64)&lt;0.5,H64*C64&lt;0),"n/m",H64/C64-1),"n/a")</f>
        <v>0.07920237990044465</v>
      </c>
      <c r="I65" s="19">
        <f>IFERROR(IF(OR(ABS(D64)&lt;0.5,I64*D64&lt;0),"n/m",I64/D64-1),"n/a")</f>
        <v>0.09493995205588379</v>
      </c>
      <c r="J65" s="46">
        <f>IFERROR(IF(OR(ABS(E64)&lt;0.5,J64*E64&lt;0),"n/m",J64/E64-1),"n/a")</f>
        <v>0.053975718368900694</v>
      </c>
      <c r="K65" s="45"/>
    </row>
    <row r="66">
      <c r="B66" s="49" t="s">
        <v>117</v>
      </c>
      <c r="C66" s="19" t="s">
        <v>34</v>
      </c>
      <c r="D66" s="19">
        <f>IFERROR(IF(OR(ABS(C64)&lt;0.5,D64*C64&lt;0),"n/m",D64/C64-1),"n/a")</f>
        <v>0.0001531619098111836</v>
      </c>
      <c r="E66" s="19">
        <f>IFERROR(IF(OR(ABS(D64)&lt;0.5,E64*D64&lt;0),"n/m",E64/D64-1),"n/a")</f>
        <v>0.05012928419552254</v>
      </c>
      <c r="F66" s="19">
        <f>IFERROR(IF(OR(ABS(E64)&lt;0.5,F64*E64&lt;0),"n/m",F64/E64-1),"n/a")</f>
        <v>0.0076728064074664815</v>
      </c>
      <c r="G66" s="19" t="s">
        <v>34</v>
      </c>
      <c r="H66" s="19">
        <f>IFERROR(IF(OR(ABS(F64)&lt;0.5,H64*F64&lt;0),"n/m",H64/F64-1),"n/a")</f>
        <v>0.0197038851163307</v>
      </c>
      <c r="I66" s="19">
        <f>IFERROR(IF(OR(ABS(H64)&lt;0.5,I64*H64&lt;0),"n/m",I64/H64-1),"n/a")</f>
        <v>0.01473799126637565</v>
      </c>
      <c r="J66" s="46">
        <f>IFERROR(IF(OR(ABS(I64)&lt;0.5,J64*I64&lt;0),"n/m",J64/I64-1),"n/a")</f>
        <v>0.010841521137321397</v>
      </c>
      <c r="K66" s="45"/>
    </row>
    <row r="67">
      <c r="B67" s="42" t="s">
        <v>118</v>
      </c>
      <c r="C67" s="20" t="s">
        <v>34</v>
      </c>
      <c r="D67" s="20">
        <f>IFERROR(D64-C64,"n/a")</f>
        <v>0.02600000000001046</v>
      </c>
      <c r="E67" s="20">
        <f>IFERROR(E64-D64,"n/a")</f>
        <v>8.510999999999996</v>
      </c>
      <c r="F67" s="20">
        <f>IFERROR(F64-E64,"n/a")</f>
        <v>1.367999999999995</v>
      </c>
      <c r="G67" s="20" t="s">
        <v>34</v>
      </c>
      <c r="H67" s="20">
        <f>IFERROR(H64-F64,"n/a")</f>
        <v>3.539999999999992</v>
      </c>
      <c r="I67" s="20">
        <f>IFERROR(I64-H64,"n/a")</f>
        <v>2.700000000000017</v>
      </c>
      <c r="J67" s="48">
        <f>IFERROR(J64-I64,"n/a")</f>
        <v>2.0154387794280524</v>
      </c>
      <c r="K67" s="45"/>
    </row>
    <row r="68">
      <c r="B68" s="49" t="s">
        <v>119</v>
      </c>
      <c r="C68" s="33">
        <f>IFERROR(C64/'Revenue summary'!C40,"n/a")</f>
        <v>0.22760670719443948</v>
      </c>
      <c r="D68" s="33">
        <f>IFERROR(D64/'Revenue summary'!D40,"n/a")</f>
        <v>0.21973031491732012</v>
      </c>
      <c r="E68" s="33">
        <f>IFERROR(E64/'Revenue summary'!E40,"n/a")</f>
        <v>0.2247115673043233</v>
      </c>
      <c r="F68" s="33">
        <f>IFERROR(F64/'Revenue summary'!F40,"n/a")</f>
        <v>0.21842417522564583</v>
      </c>
      <c r="G68" s="33">
        <f>IFERROR(G64/'Revenue summary'!G40,"n/a")</f>
        <v>0.22252261075994295</v>
      </c>
      <c r="H68" s="33">
        <f>IFERROR(H64/'Revenue summary'!H40,"n/a")</f>
        <v>0.2153267512929008</v>
      </c>
      <c r="I68" s="33">
        <f>IFERROR(I64/'Revenue summary'!I40,"n/a")</f>
        <v>0.21441753171856978</v>
      </c>
      <c r="J68" s="69">
        <f>IFERROR(J64/'Revenue summary'!J40,"n/a")</f>
        <v>0.2117653303684701</v>
      </c>
      <c r="K68" s="45"/>
    </row>
    <row r="69">
      <c r="B69" s="65" t="s">
        <v>120</v>
      </c>
      <c r="C69" s="62" t="s">
        <v>34</v>
      </c>
      <c r="D69" s="62" t="s">
        <v>34</v>
      </c>
      <c r="E69" s="62" t="s">
        <v>34</v>
      </c>
      <c r="F69" s="62" t="s">
        <v>34</v>
      </c>
      <c r="G69" s="62" t="s">
        <v>34</v>
      </c>
      <c r="H69" s="62">
        <f>IFERROR((H68-C68)*10000,"n/a")</f>
        <v>-122.79955901538686</v>
      </c>
      <c r="I69" s="62">
        <f>IFERROR((I68-D68)*10000,"n/a")</f>
        <v>-53.12783198750337</v>
      </c>
      <c r="J69" s="64">
        <f>IFERROR((J68-E68)*10000,"n/a")</f>
        <v>-129.46236935853202</v>
      </c>
      <c r="K69" s="45"/>
    </row>
    <row r="70">
      <c r="B70" s="65" t="s">
        <v>121</v>
      </c>
      <c r="C70" s="62" t="s">
        <v>34</v>
      </c>
      <c r="D70" s="62">
        <f>IFERROR((D68-C68)*10000,"n/a")</f>
        <v>-78.76392277119365</v>
      </c>
      <c r="E70" s="62">
        <f>IFERROR((E68-D68)*10000,"n/a")</f>
        <v>49.81252387003171</v>
      </c>
      <c r="F70" s="62">
        <f>IFERROR((F68-E68)*10000,"n/a")</f>
        <v>-62.87392078677456</v>
      </c>
      <c r="G70" s="62" t="s">
        <v>34</v>
      </c>
      <c r="H70" s="62">
        <f>IFERROR((H68-F68)*10000,"n/a")</f>
        <v>-30.97423932745036</v>
      </c>
      <c r="I70" s="62">
        <f>IFERROR((I68-H68)*10000,"n/a")</f>
        <v>-9.09219574331016</v>
      </c>
      <c r="J70" s="64">
        <f>IFERROR((J68-I68)*10000,"n/a")</f>
        <v>-26.52201350099692</v>
      </c>
      <c r="K70" s="45"/>
    </row>
    <row r="71">
      <c r="B71" s="49" t="s">
        <v>122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58">
        <v>0</v>
      </c>
      <c r="K71" s="45" t="s">
        <v>195</v>
      </c>
    </row>
    <row r="72">
      <c r="B72" s="49" t="s">
        <v>124</v>
      </c>
      <c r="C72" s="9">
        <v>-0.002</v>
      </c>
      <c r="D72" s="9">
        <v>0.004</v>
      </c>
      <c r="E72" s="9">
        <v>0</v>
      </c>
      <c r="F72" s="9">
        <v>0</v>
      </c>
      <c r="G72" s="9">
        <v>0.001</v>
      </c>
      <c r="H72" s="9">
        <v>-0.001</v>
      </c>
      <c r="I72" s="9">
        <v>-0.005</v>
      </c>
      <c r="J72" s="58">
        <v>-0.004</v>
      </c>
      <c r="K72" s="45" t="s">
        <v>196</v>
      </c>
    </row>
    <row r="73">
      <c r="B73" s="49" t="s">
        <v>125</v>
      </c>
      <c r="C73" s="19">
        <f>IFERROR((1+C65)/((1+C71)*(1+C72))-1,"n/a")</f>
        <v>0.059118236472945895</v>
      </c>
      <c r="D73" s="19">
        <f>IFERROR((1+D65)/((1+D71)*(1+D72))-1,"n/a")</f>
        <v>0.042828685258964105</v>
      </c>
      <c r="E73" s="19">
        <f>IFERROR((1+E65)/((1+E71)*(1+E72))-1,"n/a")</f>
        <v>0.06000000000000005</v>
      </c>
      <c r="F73" s="19">
        <f>IFERROR((1+F65)/((1+F71)*(1+F72))-1,"n/a")</f>
        <v>0.07099999999999995</v>
      </c>
      <c r="G73" s="19">
        <f>IFERROR((1+G65)/((1+G71)*(1+G72))-1,"n/a")</f>
        <v>0.05794205794205798</v>
      </c>
      <c r="H73" s="19">
        <f>IFERROR((1+H65)/((1+H71)*(1+H72))-1,"n/a")</f>
        <v>0.08028266256300776</v>
      </c>
      <c r="I73" s="19">
        <f>IFERROR((1+I65)/((1+I71)*(1+I72))-1,"n/a")</f>
        <v>0.100442162870235</v>
      </c>
      <c r="J73" s="46">
        <f>IFERROR((1+J65)/((1+J71)*(1+J72))-1,"n/a")</f>
        <v>0.05820855257921753</v>
      </c>
      <c r="K73" s="45" t="s">
        <v>126</v>
      </c>
    </row>
    <row r="74">
      <c r="B74" s="24" t="s">
        <v>129</v>
      </c>
      <c r="C74" s="10"/>
      <c r="D74" s="10"/>
      <c r="E74" s="10"/>
      <c r="F74" s="10"/>
      <c r="G74" s="10"/>
      <c r="H74" s="10"/>
      <c r="I74" s="10"/>
      <c r="J74" s="51"/>
      <c r="K74" s="45"/>
    </row>
    <row r="75">
      <c r="B75" s="2" t="s">
        <v>249</v>
      </c>
      <c r="C75" s="12">
        <v>2.202</v>
      </c>
      <c r="D75" s="12">
        <v>5.839</v>
      </c>
      <c r="E75" s="12">
        <v>3.508</v>
      </c>
      <c r="F75" s="12">
        <v>5.07</v>
      </c>
      <c r="G75" s="20">
        <f>SUM(C75:F75)</f>
        <v>16.619</v>
      </c>
      <c r="H75" s="12">
        <v>2.7</v>
      </c>
      <c r="I75" s="12">
        <v>3</v>
      </c>
      <c r="J75" s="48" t="s">
        <v>34</v>
      </c>
      <c r="K75" s="45" t="s">
        <v>250</v>
      </c>
    </row>
    <row r="76">
      <c r="B76" s="49" t="s">
        <v>150</v>
      </c>
      <c r="C76" s="9">
        <v>-0.106</v>
      </c>
      <c r="D76" s="9">
        <v>0.439</v>
      </c>
      <c r="E76" s="9">
        <v>-0.519</v>
      </c>
      <c r="F76" s="9">
        <v>0.984</v>
      </c>
      <c r="G76" s="9">
        <v>0.015</v>
      </c>
      <c r="H76" s="19">
        <f>IFERROR(IF(OR(ABS(C75)&lt;0.5,H75*C75&lt;0),"n/m",H75/C75-1),"n/a")</f>
        <v>0.22615803814713908</v>
      </c>
      <c r="I76" s="19">
        <f>IFERROR(IF(OR(ABS(D75)&lt;0.5,I75*D75&lt;0),"n/m",I75/D75-1),"n/a")</f>
        <v>-0.48621339270423025</v>
      </c>
      <c r="J76" s="46" t="str">
        <f>IFERROR(IF(OR(ABS(E75)&lt;0.5,J75*E75&lt;0),"n/m",J75/E75-1),"n/a")</f>
        <v>n/a</v>
      </c>
      <c r="K76" s="45"/>
    </row>
    <row r="77">
      <c r="B77" s="42" t="s">
        <v>118</v>
      </c>
      <c r="C77" s="20" t="s">
        <v>34</v>
      </c>
      <c r="D77" s="20">
        <f>IFERROR(D75-C75,"n/a")</f>
        <v>3.6370000000000005</v>
      </c>
      <c r="E77" s="20">
        <f>IFERROR(E75-D75,"n/a")</f>
        <v>-2.3310000000000004</v>
      </c>
      <c r="F77" s="20">
        <f>IFERROR(F75-E75,"n/a")</f>
        <v>1.5620000000000003</v>
      </c>
      <c r="G77" s="20" t="s">
        <v>34</v>
      </c>
      <c r="H77" s="20">
        <f>IFERROR(H75-F75,"n/a")</f>
        <v>-2.37</v>
      </c>
      <c r="I77" s="20">
        <f>IFERROR(I75-H75,"n/a")</f>
        <v>0.2999999999999998</v>
      </c>
      <c r="J77" s="48" t="str">
        <f>IFERROR(J75-I75,"n/a")</f>
        <v>n/a</v>
      </c>
      <c r="K77" s="45"/>
    </row>
    <row r="78">
      <c r="B78" s="2" t="s">
        <v>251</v>
      </c>
      <c r="C78" s="12">
        <v>2.43</v>
      </c>
      <c r="D78" s="12">
        <v>7.922</v>
      </c>
      <c r="E78" s="12">
        <v>3.878</v>
      </c>
      <c r="F78" s="12">
        <v>2.679</v>
      </c>
      <c r="G78" s="20">
        <f>SUM(C78:F78)</f>
        <v>16.909</v>
      </c>
      <c r="H78" s="12">
        <v>6.8</v>
      </c>
      <c r="I78" s="12">
        <v>3.5</v>
      </c>
      <c r="J78" s="53">
        <v>4</v>
      </c>
      <c r="K78" s="45" t="s">
        <v>252</v>
      </c>
    </row>
    <row r="79">
      <c r="B79" s="49" t="s">
        <v>116</v>
      </c>
      <c r="C79" s="9">
        <v>-0.28800000000000003</v>
      </c>
      <c r="D79" s="9">
        <v>1.0490000000000002</v>
      </c>
      <c r="E79" s="9">
        <v>-0.08199999999999999</v>
      </c>
      <c r="F79" s="9">
        <v>-0.461</v>
      </c>
      <c r="G79" s="9">
        <v>0.026</v>
      </c>
      <c r="H79" s="19">
        <f>IFERROR(IF(OR(ABS(C78)&lt;0.5,H78*C78&lt;0),"n/m",H78/C78-1),"n/a")</f>
        <v>1.7983539094650203</v>
      </c>
      <c r="I79" s="19">
        <f>IFERROR(IF(OR(ABS(D78)&lt;0.5,I78*D78&lt;0),"n/m",I78/D78-1),"n/a")</f>
        <v>-0.5581923756627114</v>
      </c>
      <c r="J79" s="46">
        <f>IFERROR(IF(OR(ABS(E78)&lt;0.5,J78*E78&lt;0),"n/m",J78/E78-1),"n/a")</f>
        <v>0.03145951521402779</v>
      </c>
      <c r="K79" s="45"/>
    </row>
    <row r="80">
      <c r="B80" s="49" t="s">
        <v>117</v>
      </c>
      <c r="C80" s="19" t="s">
        <v>34</v>
      </c>
      <c r="D80" s="19">
        <f>IFERROR(IF(OR(ABS(C78)&lt;0.5,D78*C78&lt;0),"n/m",D78/C78-1),"n/a")</f>
        <v>2.260082304526749</v>
      </c>
      <c r="E80" s="19">
        <f>IFERROR(IF(OR(ABS(D78)&lt;0.5,E78*D78&lt;0),"n/m",E78/D78-1),"n/a")</f>
        <v>-0.5104771522342842</v>
      </c>
      <c r="F80" s="19">
        <f>IFERROR(IF(OR(ABS(E78)&lt;0.5,F78*E78&lt;0),"n/m",F78/E78-1),"n/a")</f>
        <v>-0.30917998968540494</v>
      </c>
      <c r="G80" s="19" t="s">
        <v>34</v>
      </c>
      <c r="H80" s="19">
        <f>IFERROR(IF(OR(ABS(F78)&lt;0.5,H78*F78&lt;0),"n/m",H78/F78-1),"n/a")</f>
        <v>1.5382605449794702</v>
      </c>
      <c r="I80" s="19">
        <f>IFERROR(IF(OR(ABS(H78)&lt;0.5,I78*H78&lt;0),"n/m",I78/H78-1),"n/a")</f>
        <v>-0.48529411764705876</v>
      </c>
      <c r="J80" s="46">
        <f>IFERROR(IF(OR(ABS(I78)&lt;0.5,J78*I78&lt;0),"n/m",J78/I78-1),"n/a")</f>
        <v>0.1428571428571428</v>
      </c>
      <c r="K80" s="45"/>
    </row>
    <row r="81">
      <c r="B81" s="42" t="s">
        <v>118</v>
      </c>
      <c r="C81" s="20" t="s">
        <v>34</v>
      </c>
      <c r="D81" s="20">
        <f>IFERROR(D78-C78,"n/a")</f>
        <v>5.491999999999999</v>
      </c>
      <c r="E81" s="20">
        <f>IFERROR(E78-D78,"n/a")</f>
        <v>-4.044</v>
      </c>
      <c r="F81" s="20">
        <f>IFERROR(F78-E78,"n/a")</f>
        <v>-1.1990000000000003</v>
      </c>
      <c r="G81" s="20" t="s">
        <v>34</v>
      </c>
      <c r="H81" s="20">
        <f>IFERROR(H78-F78,"n/a")</f>
        <v>4.121</v>
      </c>
      <c r="I81" s="20">
        <f>IFERROR(I78-H78,"n/a")</f>
        <v>-3.3</v>
      </c>
      <c r="J81" s="48">
        <f>IFERROR(J78-I78,"n/a")</f>
        <v>0.5</v>
      </c>
      <c r="K81" s="45"/>
    </row>
    <row r="82">
      <c r="B82" s="49" t="s">
        <v>119</v>
      </c>
      <c r="C82" s="33">
        <f>IFERROR(C78/'Revenue summary'!C40,"n/a")</f>
        <v>0.0032581325939294156</v>
      </c>
      <c r="D82" s="33">
        <f>IFERROR(D78/'Revenue summary'!D40,"n/a")</f>
        <v>0.01025264048848228</v>
      </c>
      <c r="E82" s="33">
        <f>IFERROR(E78/'Revenue summary'!E40,"n/a")</f>
        <v>0.004887664382059575</v>
      </c>
      <c r="F82" s="33">
        <f>IFERROR(F78/'Revenue summary'!F40,"n/a")</f>
        <v>0.00325703197945845</v>
      </c>
      <c r="G82" s="33">
        <f>IFERROR(G78/'Revenue summary'!G40,"n/a")</f>
        <v>0.005394551340438652</v>
      </c>
      <c r="H82" s="33">
        <f>IFERROR(H78/'Revenue summary'!H40,"n/a")</f>
        <v>0.007992477668077104</v>
      </c>
      <c r="I82" s="33">
        <f>IFERROR(I78/'Revenue summary'!I40,"n/a")</f>
        <v>0.004036908881199538</v>
      </c>
      <c r="J82" s="69">
        <f>IFERROR(J78/'Revenue summary'!J40,"n/a")</f>
        <v>0.00450767284995751</v>
      </c>
      <c r="K82" s="45"/>
    </row>
    <row r="83">
      <c r="B83" s="65" t="s">
        <v>120</v>
      </c>
      <c r="C83" s="62" t="s">
        <v>34</v>
      </c>
      <c r="D83" s="62" t="s">
        <v>34</v>
      </c>
      <c r="E83" s="62" t="s">
        <v>34</v>
      </c>
      <c r="F83" s="62" t="s">
        <v>34</v>
      </c>
      <c r="G83" s="62" t="s">
        <v>34</v>
      </c>
      <c r="H83" s="62">
        <f>IFERROR((H82-C82)*10000,"n/a")</f>
        <v>47.34345074147688</v>
      </c>
      <c r="I83" s="62">
        <f>IFERROR((I82-D82)*10000,"n/a")</f>
        <v>-62.15731607282741</v>
      </c>
      <c r="J83" s="64">
        <f>IFERROR((J82-E82)*10000,"n/a")</f>
        <v>-3.7999153210206518</v>
      </c>
      <c r="K83" s="45"/>
    </row>
    <row r="84">
      <c r="B84" s="65" t="s">
        <v>121</v>
      </c>
      <c r="C84" s="62" t="s">
        <v>34</v>
      </c>
      <c r="D84" s="62">
        <f>IFERROR((D82-C82)*10000,"n/a")</f>
        <v>69.94507894552864</v>
      </c>
      <c r="E84" s="62">
        <f>IFERROR((E82-D82)*10000,"n/a")</f>
        <v>-53.64976106422704</v>
      </c>
      <c r="F84" s="62">
        <f>IFERROR((F82-E82)*10000,"n/a")</f>
        <v>-16.306324026011247</v>
      </c>
      <c r="G84" s="62" t="s">
        <v>34</v>
      </c>
      <c r="H84" s="62">
        <f>IFERROR((H82-F82)*10000,"n/a")</f>
        <v>47.35445688618653</v>
      </c>
      <c r="I84" s="62">
        <f>IFERROR((I82-H82)*10000,"n/a")</f>
        <v>-39.55568786877565</v>
      </c>
      <c r="J84" s="64">
        <f>IFERROR((J82-I82)*10000,"n/a")</f>
        <v>4.7076396875797135</v>
      </c>
      <c r="K84" s="45"/>
    </row>
    <row r="85">
      <c r="B85" s="49" t="s">
        <v>122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58">
        <v>0</v>
      </c>
      <c r="K85" s="45" t="s">
        <v>195</v>
      </c>
    </row>
    <row r="86">
      <c r="B86" s="49" t="s">
        <v>124</v>
      </c>
      <c r="C86" s="9">
        <v>-0.004</v>
      </c>
      <c r="D86" s="9">
        <v>0.047</v>
      </c>
      <c r="E86" s="9">
        <v>0.004</v>
      </c>
      <c r="F86" s="9">
        <v>0.006</v>
      </c>
      <c r="G86" s="9">
        <v>0.013</v>
      </c>
      <c r="H86" s="9">
        <v>-0.084</v>
      </c>
      <c r="I86" s="9">
        <v>0</v>
      </c>
      <c r="J86" s="58">
        <v>0</v>
      </c>
      <c r="K86" s="45" t="s">
        <v>196</v>
      </c>
    </row>
    <row r="87">
      <c r="B87" s="49" t="s">
        <v>125</v>
      </c>
      <c r="C87" s="19">
        <f>IFERROR((1+C79)/((1+C85)*(1+C86))-1,"n/a")</f>
        <v>-0.285140562248996</v>
      </c>
      <c r="D87" s="19">
        <f>IFERROR((1+D79)/((1+D85)*(1+D86))-1,"n/a")</f>
        <v>0.9570200573065908</v>
      </c>
      <c r="E87" s="19">
        <f>IFERROR((1+E79)/((1+E85)*(1+E86))-1,"n/a")</f>
        <v>-0.08565737051792821</v>
      </c>
      <c r="F87" s="19">
        <f>IFERROR((1+F79)/((1+F85)*(1+F86))-1,"n/a")</f>
        <v>-0.46421471172962236</v>
      </c>
      <c r="G87" s="19">
        <f>IFERROR((1+G79)/((1+G85)*(1+G86))-1,"n/a")</f>
        <v>0.012833168805528317</v>
      </c>
      <c r="H87" s="19">
        <f>IFERROR((1+H79)/((1+H85)*(1+H86))-1,"n/a")</f>
        <v>2.0549715168832097</v>
      </c>
      <c r="I87" s="19">
        <f>IFERROR((1+I79)/((1+I85)*(1+I86))-1,"n/a")</f>
        <v>-0.5581923756627114</v>
      </c>
      <c r="J87" s="46">
        <f>IFERROR((1+J79)/((1+J85)*(1+J86))-1,"n/a")</f>
        <v>0.03145951521402779</v>
      </c>
      <c r="K87" s="45" t="s">
        <v>126</v>
      </c>
    </row>
    <row r="88">
      <c r="B88" s="30" t="s">
        <v>253</v>
      </c>
      <c r="C88" s="19">
        <f>IFERROR(C78/C75,"n/a")</f>
        <v>1.1035422343324253</v>
      </c>
      <c r="D88" s="19">
        <f>IFERROR(D78/D75,"n/a")</f>
        <v>1.3567391676656961</v>
      </c>
      <c r="E88" s="19">
        <f>IFERROR(E78/E75,"n/a")</f>
        <v>1.1054732041049031</v>
      </c>
      <c r="F88" s="19">
        <f>IFERROR(F78/F75,"n/a")</f>
        <v>0.5284023668639053</v>
      </c>
      <c r="G88" s="19">
        <f>IFERROR(G78/G75,"n/a")</f>
        <v>1.017449906733257</v>
      </c>
      <c r="H88" s="19">
        <f>IFERROR(H78/H75,"n/a")</f>
        <v>2.518518518518518</v>
      </c>
      <c r="I88" s="19">
        <f>IFERROR(I78/I75,"n/a")</f>
        <v>1.1666666666666667</v>
      </c>
      <c r="J88" s="46" t="s">
        <v>34</v>
      </c>
      <c r="K88" s="45"/>
    </row>
    <row r="89">
      <c r="B89" s="49" t="s">
        <v>120</v>
      </c>
      <c r="C89" s="62" t="s">
        <v>34</v>
      </c>
      <c r="D89" s="62" t="s">
        <v>34</v>
      </c>
      <c r="E89" s="62" t="s">
        <v>34</v>
      </c>
      <c r="F89" s="62" t="s">
        <v>34</v>
      </c>
      <c r="G89" s="62" t="s">
        <v>34</v>
      </c>
      <c r="H89" s="62">
        <f>IFERROR((H88-C88)*10000,"n/a")</f>
        <v>14149.76284186093</v>
      </c>
      <c r="I89" s="62">
        <f>IFERROR((I88-D88)*10000,"n/a")</f>
        <v>-1900.725009990294</v>
      </c>
      <c r="J89" s="64" t="str">
        <f>IFERROR((J88-E88)*10000,"n/a")</f>
        <v>n/a</v>
      </c>
      <c r="K89" s="45"/>
    </row>
    <row r="90">
      <c r="B90" s="49" t="s">
        <v>121</v>
      </c>
      <c r="C90" s="62" t="s">
        <v>34</v>
      </c>
      <c r="D90" s="62">
        <f>IFERROR((D88-C88)*10000,"n/a")</f>
        <v>2531.9693333327086</v>
      </c>
      <c r="E90" s="62">
        <f>IFERROR((E88-D88)*10000,"n/a")</f>
        <v>-2512.65963560793</v>
      </c>
      <c r="F90" s="62">
        <f>IFERROR((F88-E88)*10000,"n/a")</f>
        <v>-5770.708372409978</v>
      </c>
      <c r="G90" s="62" t="s">
        <v>34</v>
      </c>
      <c r="H90" s="62">
        <f>IFERROR((H88-F88)*10000,"n/a")</f>
        <v>19901.16151654613</v>
      </c>
      <c r="I90" s="62">
        <f>IFERROR((I88-H88)*10000,"n/a")</f>
        <v>-13518.518518518515</v>
      </c>
      <c r="J90" s="64" t="str">
        <f>IFERROR((J88-I88)*10000,"n/a")</f>
        <v>n/a</v>
      </c>
      <c r="K90" s="45"/>
    </row>
    <row r="91">
      <c r="B91" s="24" t="s">
        <v>254</v>
      </c>
      <c r="C91" s="10"/>
      <c r="D91" s="10"/>
      <c r="E91" s="10"/>
      <c r="F91" s="10"/>
      <c r="G91" s="10"/>
      <c r="H91" s="10"/>
      <c r="I91" s="10"/>
      <c r="J91" s="51"/>
      <c r="K91" s="45"/>
    </row>
    <row r="92">
      <c r="B92" s="24" t="s">
        <v>255</v>
      </c>
      <c r="C92" s="60">
        <f>C64+C78</f>
        <v>172.185</v>
      </c>
      <c r="D92" s="60">
        <f>D64+D78</f>
        <v>177.703</v>
      </c>
      <c r="E92" s="60">
        <f>E64+E78</f>
        <v>182.17000000000002</v>
      </c>
      <c r="F92" s="60">
        <f>F64+F78</f>
        <v>182.339</v>
      </c>
      <c r="G92" s="60">
        <f>G64+G78</f>
        <v>714.397</v>
      </c>
      <c r="H92" s="60">
        <f>H64+H78</f>
        <v>190</v>
      </c>
      <c r="I92" s="60">
        <f>I64+I78</f>
        <v>189.4</v>
      </c>
      <c r="J92" s="50">
        <f>J64+J78</f>
        <v>191.91543877942806</v>
      </c>
      <c r="K92" s="45" t="s">
        <v>256</v>
      </c>
    </row>
    <row r="93">
      <c r="B93" s="49" t="s">
        <v>116</v>
      </c>
      <c r="C93" s="33">
        <f>IFERROR(IF(OR(ABS(Inputs!C231)&lt;0.5,C92*Inputs!C231&lt;0),"n/m",C92/Inputs!C231-1),"n/a")</f>
        <v>0.05012624568508106</v>
      </c>
      <c r="D93" s="33">
        <f>IFERROR(IF(OR(ABS(Inputs!D231)&lt;0.5,D92*Inputs!D231&lt;0),"n/m",D92/Inputs!D231-1),"n/a")</f>
        <v>0.07053224494713706</v>
      </c>
      <c r="E93" s="33">
        <f>IFERROR(IF(OR(ABS(Inputs!E231)&lt;0.5,E92*Inputs!E231&lt;0),"n/m",E92/Inputs!E231-1),"n/a")</f>
        <v>0.056817654429851094</v>
      </c>
      <c r="F93" s="33">
        <f>IFERROR(IF(OR(ABS(Inputs!F231)&lt;0.5,F92*Inputs!F231&lt;0),"n/m",F92/Inputs!F231-1),"n/a")</f>
        <v>0.055495739557284374</v>
      </c>
      <c r="G93" s="33">
        <f>IFERROR(IF(OR(ABS(Inputs!G231)&lt;0.5,G92*Inputs!G231&lt;0),"n/m",G92/Inputs!G231-1),"n/a")</f>
        <v>0.0582263968158272</v>
      </c>
      <c r="H93" s="19">
        <f>IFERROR(IF(OR(ABS(C92)&lt;0.5,H92*C92&lt;0),"n/m",H92/C92-1),"n/a")</f>
        <v>0.10346429712228122</v>
      </c>
      <c r="I93" s="19">
        <f>IFERROR(IF(OR(ABS(D92)&lt;0.5,I92*D92&lt;0),"n/m",I92/D92-1),"n/a")</f>
        <v>0.06582331193058089</v>
      </c>
      <c r="J93" s="46">
        <f>IFERROR(IF(OR(ABS(E92)&lt;0.5,J92*E92&lt;0),"n/m",J92/E92-1),"n/a")</f>
        <v>0.05349639775719406</v>
      </c>
      <c r="K93" s="45"/>
    </row>
    <row r="94">
      <c r="B94" s="49" t="s">
        <v>117</v>
      </c>
      <c r="C94" s="33">
        <f>IFERROR(IF(OR(ABS(Inputs!F231)&lt;0.5,C92*Inputs!F231&lt;0),"n/m",C92/Inputs!F231-1),"n/a")</f>
        <v>-0.003282161711586573</v>
      </c>
      <c r="D94" s="19">
        <f>IFERROR(IF(OR(ABS(C92)&lt;0.5,D92*C92&lt;0),"n/m",D92/C92-1),"n/a")</f>
        <v>0.03204692627116179</v>
      </c>
      <c r="E94" s="19">
        <f>IFERROR(IF(OR(ABS(D92)&lt;0.5,E92*D92&lt;0),"n/m",E92/D92-1),"n/a")</f>
        <v>0.02513744843924992</v>
      </c>
      <c r="F94" s="19">
        <f>IFERROR(IF(OR(ABS(E92)&lt;0.5,F92*E92&lt;0),"n/m",F92/E92-1),"n/a")</f>
        <v>0.0009277048910356633</v>
      </c>
      <c r="G94" s="19" t="s">
        <v>34</v>
      </c>
      <c r="H94" s="19">
        <f>IFERROR(IF(OR(ABS(F92)&lt;0.5,H92*F92&lt;0),"n/m",H92/F92-1),"n/a")</f>
        <v>0.04201514760967218</v>
      </c>
      <c r="I94" s="19">
        <f>IFERROR(IF(OR(ABS(H92)&lt;0.5,I92*H92&lt;0),"n/m",I92/H92-1),"n/a")</f>
        <v>-0.0031578947368420263</v>
      </c>
      <c r="J94" s="46">
        <f>IFERROR(IF(OR(ABS(I92)&lt;0.5,J92*I92&lt;0),"n/m",J92/I92-1),"n/a")</f>
        <v>0.013281091760443786</v>
      </c>
      <c r="K94" s="45"/>
    </row>
    <row r="95">
      <c r="B95" s="42" t="s">
        <v>118</v>
      </c>
      <c r="C95" s="4">
        <f>IFERROR(C92-Inputs!F231,"n/a")</f>
        <v>-0.5670000000000073</v>
      </c>
      <c r="D95" s="20">
        <f>IFERROR(D92-C92,"n/a")</f>
        <v>5.518000000000001</v>
      </c>
      <c r="E95" s="20">
        <f>IFERROR(E92-D92,"n/a")</f>
        <v>4.467000000000013</v>
      </c>
      <c r="F95" s="20">
        <f>IFERROR(F92-E92,"n/a")</f>
        <v>0.16899999999998272</v>
      </c>
      <c r="G95" s="20" t="s">
        <v>34</v>
      </c>
      <c r="H95" s="20">
        <f>IFERROR(H92-F92,"n/a")</f>
        <v>7.661000000000001</v>
      </c>
      <c r="I95" s="20">
        <f>IFERROR(I92-H92,"n/a")</f>
        <v>-0.5999999999999943</v>
      </c>
      <c r="J95" s="48">
        <f>IFERROR(J92-I92,"n/a")</f>
        <v>2.5154387794280524</v>
      </c>
      <c r="K95" s="45"/>
    </row>
    <row r="96">
      <c r="B96" s="49" t="s">
        <v>119</v>
      </c>
      <c r="C96" s="33">
        <f>IFERROR(C92/'Revenue summary'!C40,"n/a")</f>
        <v>0.23086483978836891</v>
      </c>
      <c r="D96" s="33">
        <f>IFERROR(D92/'Revenue summary'!D40,"n/a")</f>
        <v>0.22998295540580238</v>
      </c>
      <c r="E96" s="33">
        <f>IFERROR(E92/'Revenue summary'!E40,"n/a")</f>
        <v>0.22959923168638288</v>
      </c>
      <c r="F96" s="33">
        <f>IFERROR(F92/'Revenue summary'!F40,"n/a")</f>
        <v>0.22168120720510429</v>
      </c>
      <c r="G96" s="33">
        <f>IFERROR(G92/'Revenue summary'!G40,"n/a")</f>
        <v>0.2279171621003816</v>
      </c>
      <c r="H96" s="33">
        <f>IFERROR(H92/'Revenue summary'!H40,"n/a")</f>
        <v>0.22331922896097792</v>
      </c>
      <c r="I96" s="33">
        <f>IFERROR(I92/'Revenue summary'!I40,"n/a")</f>
        <v>0.21845444059976932</v>
      </c>
      <c r="J96" s="69">
        <f>IFERROR(J92/'Revenue summary'!J40,"n/a")</f>
        <v>0.2162730032184276</v>
      </c>
      <c r="K96" s="45"/>
    </row>
    <row r="97">
      <c r="B97" s="65" t="s">
        <v>120</v>
      </c>
      <c r="C97" s="47">
        <f>IFERROR((C96-Inputs!C234)*10000,"n/a")</f>
        <v>-102.74042359976949</v>
      </c>
      <c r="D97" s="47">
        <f>IFERROR((D96-Inputs!D234)*10000,"n/a")</f>
        <v>-44.90149295242496</v>
      </c>
      <c r="E97" s="47">
        <f>IFERROR((E96-Inputs!E234)*10000,"n/a")</f>
        <v>-82.5755141846668</v>
      </c>
      <c r="F97" s="47">
        <f>IFERROR((F96-Inputs!F234)*10000,"n/a")</f>
        <v>-106.6567763421844</v>
      </c>
      <c r="G97" s="47">
        <f>IFERROR((G96-Inputs!G234)*10000,"n/a")</f>
        <v>-84.47944785584305</v>
      </c>
      <c r="H97" s="62">
        <f>IFERROR((H96-C96)*10000,"n/a")</f>
        <v>-75.45610827390998</v>
      </c>
      <c r="I97" s="62">
        <f>IFERROR((I96-D96)*10000,"n/a")</f>
        <v>-115.28514806033063</v>
      </c>
      <c r="J97" s="64">
        <f>IFERROR((J96-E96)*10000,"n/a")</f>
        <v>-133.2622846795528</v>
      </c>
      <c r="K97" s="45"/>
    </row>
    <row r="98">
      <c r="B98" s="65" t="s">
        <v>121</v>
      </c>
      <c r="C98" s="47">
        <f>IFERROR((C96-Inputs!F234)*10000,"n/a")</f>
        <v>-14.82045050953812</v>
      </c>
      <c r="D98" s="62">
        <f>IFERROR((D96-C96)*10000,"n/a")</f>
        <v>-8.818843825665335</v>
      </c>
      <c r="E98" s="62">
        <f>IFERROR((E96-D96)*10000,"n/a")</f>
        <v>-3.8372371941949868</v>
      </c>
      <c r="F98" s="62">
        <f>IFERROR((F96-E96)*10000,"n/a")</f>
        <v>-79.18024481278596</v>
      </c>
      <c r="G98" s="62" t="s">
        <v>34</v>
      </c>
      <c r="H98" s="62">
        <f>IFERROR((H96-F96)*10000,"n/a")</f>
        <v>16.38021755873631</v>
      </c>
      <c r="I98" s="62">
        <f>IFERROR((I96-H96)*10000,"n/a")</f>
        <v>-48.647883612086</v>
      </c>
      <c r="J98" s="64">
        <f>IFERROR((J96-I96)*10000,"n/a")</f>
        <v>-21.814373813417166</v>
      </c>
      <c r="K98" s="45"/>
    </row>
    <row r="99">
      <c r="B99" s="49" t="s">
        <v>122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46">
        <f>(J71*E64+J85*E78)/E92</f>
        <v>0</v>
      </c>
      <c r="K99" s="45" t="s">
        <v>195</v>
      </c>
    </row>
    <row r="100">
      <c r="B100" s="49" t="s">
        <v>124</v>
      </c>
      <c r="C100" s="9">
        <v>-0.002</v>
      </c>
      <c r="D100" s="9">
        <v>0.005</v>
      </c>
      <c r="E100" s="9">
        <v>0.001</v>
      </c>
      <c r="F100" s="9">
        <v>0</v>
      </c>
      <c r="G100" s="9">
        <v>0.001</v>
      </c>
      <c r="H100" s="9">
        <v>-0.002</v>
      </c>
      <c r="I100" s="9">
        <v>-0.004</v>
      </c>
      <c r="J100" s="46">
        <f>(J72*E64+J86*E78)/E92</f>
        <v>-0.003914848767634627</v>
      </c>
      <c r="K100" s="45" t="s">
        <v>196</v>
      </c>
    </row>
    <row r="101">
      <c r="B101" s="49" t="s">
        <v>125</v>
      </c>
      <c r="C101" s="19">
        <f>IFERROR((1+C93)/((1+C99)*(1+C100))-1,"n/a")</f>
        <v>0.05223070709927957</v>
      </c>
      <c r="D101" s="19">
        <f>IFERROR((1+D93)/((1+D99)*(1+D100))-1,"n/a")</f>
        <v>0.0652062138777485</v>
      </c>
      <c r="E101" s="19">
        <f>IFERROR((1+E93)/((1+E99)*(1+E100))-1,"n/a")</f>
        <v>0.055761892537314006</v>
      </c>
      <c r="F101" s="19">
        <f>IFERROR((1+F93)/((1+F99)*(1+F100))-1,"n/a")</f>
        <v>0.055495739557284374</v>
      </c>
      <c r="G101" s="19">
        <f>IFERROR((1+G93)/((1+G99)*(1+G100))-1,"n/a")</f>
        <v>0.05716922758823917</v>
      </c>
      <c r="H101" s="19">
        <f>IFERROR((1+H93)/((1+H99)*(1+H100))-1,"n/a")</f>
        <v>0.10567564841911947</v>
      </c>
      <c r="I101" s="19">
        <f>IFERROR((1+I93)/((1+I99)*(1+I100))-1,"n/a")</f>
        <v>0.07010372683793253</v>
      </c>
      <c r="J101" s="46">
        <f>IFERROR((1+J93)/((1+J99)*(1+J100))-1,"n/a")</f>
        <v>0.057636886217808714</v>
      </c>
      <c r="K101" s="45" t="s">
        <v>126</v>
      </c>
    </row>
    <row r="102">
      <c r="B102" s="24" t="s">
        <v>257</v>
      </c>
      <c r="C102" s="10"/>
      <c r="D102" s="10"/>
      <c r="E102" s="10"/>
      <c r="F102" s="10"/>
      <c r="G102" s="10"/>
      <c r="H102" s="10"/>
      <c r="I102" s="10"/>
      <c r="J102" s="51"/>
      <c r="K102" s="45"/>
    </row>
    <row r="103">
      <c r="B103" s="2" t="s">
        <v>258</v>
      </c>
      <c r="C103" s="12">
        <v>96.155</v>
      </c>
      <c r="D103" s="12">
        <v>85.097</v>
      </c>
      <c r="E103" s="12">
        <v>92.132</v>
      </c>
      <c r="F103" s="12">
        <v>98.483</v>
      </c>
      <c r="G103" s="20">
        <f>SUM(C103:F103)</f>
        <v>371.867</v>
      </c>
      <c r="H103" s="12">
        <v>107.2</v>
      </c>
      <c r="I103" s="12">
        <v>101.4</v>
      </c>
      <c r="J103" s="53">
        <v>103.5</v>
      </c>
      <c r="K103" s="45" t="s">
        <v>259</v>
      </c>
    </row>
    <row r="104">
      <c r="B104" s="49" t="s">
        <v>150</v>
      </c>
      <c r="C104" s="33">
        <f>IFERROR(IF(OR(ABS(Inputs!C233)&lt;0.5,C103*Inputs!C233&lt;0),"n/m",C103/Inputs!C233-1),"n/a")</f>
        <v>0.047965211325936785</v>
      </c>
      <c r="D104" s="33">
        <f>IFERROR(IF(OR(ABS(Inputs!D233)&lt;0.5,D103*Inputs!D233&lt;0),"n/m",D103/Inputs!D233-1),"n/a")</f>
        <v>0.009178990311065727</v>
      </c>
      <c r="E104" s="33">
        <f>IFERROR(IF(OR(ABS(Inputs!E233)&lt;0.5,E103*Inputs!E233&lt;0),"n/m",E103/Inputs!E233-1),"n/a")</f>
        <v>0.12234282303353683</v>
      </c>
      <c r="F104" s="33">
        <f>IFERROR(IF(OR(ABS(Inputs!F233)&lt;0.5,F103*Inputs!F233&lt;0),"n/m",F103/Inputs!F233-1),"n/a")</f>
        <v>0.11119510764092588</v>
      </c>
      <c r="G104" s="33">
        <f>IFERROR(IF(OR(ABS(Inputs!G233)&lt;0.5,G103*Inputs!G233&lt;0),"n/m",G103/Inputs!G233-1),"n/a")</f>
        <v>0.0722994054107049</v>
      </c>
      <c r="H104" s="19">
        <f>IFERROR(IF(OR(ABS(C103)&lt;0.5,H103*C103&lt;0),"n/m",H103/C103-1),"n/a")</f>
        <v>0.11486662160054073</v>
      </c>
      <c r="I104" s="19">
        <f>IFERROR(IF(OR(ABS(D103)&lt;0.5,I103*D103&lt;0),"n/m",I103/D103-1),"n/a")</f>
        <v>0.19158137184624624</v>
      </c>
      <c r="J104" s="46">
        <f>IFERROR(IF(OR(ABS(E103)&lt;0.5,J103*E103&lt;0),"n/m",J103/E103-1),"n/a")</f>
        <v>0.1233881821734033</v>
      </c>
      <c r="K104" s="45"/>
    </row>
    <row r="105">
      <c r="B105" s="42" t="s">
        <v>118</v>
      </c>
      <c r="C105" s="4">
        <f>IFERROR(C103-Inputs!F233,"n/a")</f>
        <v>7.526999999999987</v>
      </c>
      <c r="D105" s="20">
        <f>IFERROR(D103-C103,"n/a")</f>
        <v>-11.058000000000007</v>
      </c>
      <c r="E105" s="20">
        <f>IFERROR(E103-D103,"n/a")</f>
        <v>7.035000000000011</v>
      </c>
      <c r="F105" s="20">
        <f>IFERROR(F103-E103,"n/a")</f>
        <v>6.350999999999999</v>
      </c>
      <c r="G105" s="20" t="s">
        <v>34</v>
      </c>
      <c r="H105" s="20">
        <f>IFERROR(H103-F103,"n/a")</f>
        <v>8.716999999999999</v>
      </c>
      <c r="I105" s="20">
        <f>IFERROR(I103-H103,"n/a")</f>
        <v>-5.799999999999997</v>
      </c>
      <c r="J105" s="48">
        <f>IFERROR(J103-I103,"n/a")</f>
        <v>2.0999999999999943</v>
      </c>
      <c r="K105" s="45"/>
    </row>
    <row r="106">
      <c r="B106" s="24" t="s">
        <v>260</v>
      </c>
      <c r="C106" s="60">
        <f>C92-C103</f>
        <v>76.03</v>
      </c>
      <c r="D106" s="60">
        <f>D92-D103</f>
        <v>92.60600000000001</v>
      </c>
      <c r="E106" s="60">
        <f>E92-E103</f>
        <v>90.03800000000001</v>
      </c>
      <c r="F106" s="60">
        <f>F92-F103</f>
        <v>83.856</v>
      </c>
      <c r="G106" s="60">
        <f>G92-G103</f>
        <v>342.53000000000003</v>
      </c>
      <c r="H106" s="60">
        <f>H92-H103</f>
        <v>82.8</v>
      </c>
      <c r="I106" s="60">
        <f>I92-I103</f>
        <v>88</v>
      </c>
      <c r="J106" s="50">
        <f>J92-J103</f>
        <v>88.41543877942806</v>
      </c>
      <c r="K106" s="45"/>
    </row>
    <row r="107">
      <c r="B107" s="49" t="s">
        <v>150</v>
      </c>
      <c r="C107" s="33">
        <f>IFERROR(IF(OR(ABS(Inputs!C232)&lt;0.5,C106*Inputs!C232&lt;0),"n/m",C106/Inputs!C232-1),"n/a")</f>
        <v>0.05287209882014077</v>
      </c>
      <c r="D107" s="33">
        <f>IFERROR(IF(OR(ABS(Inputs!D232)&lt;0.5,D106*Inputs!D232&lt;0),"n/m",D106/Inputs!D232-1),"n/a")</f>
        <v>0.13387697129983356</v>
      </c>
      <c r="E107" s="33">
        <f>IFERROR(IF(OR(ABS(Inputs!E232)&lt;0.5,E106*Inputs!E232&lt;0),"n/m",E106/Inputs!E232-1),"n/a")</f>
        <v>-0.0027578721189096544</v>
      </c>
      <c r="F107" s="33">
        <f>IFERROR(IF(OR(ABS(Inputs!F232)&lt;0.5,F106*Inputs!F232&lt;0),"n/m",F106/Inputs!F232-1),"n/a")</f>
        <v>-0.0031857733821502032</v>
      </c>
      <c r="G107" s="33">
        <f>IFERROR(IF(OR(ABS(Inputs!G232)&lt;0.5,G106*Inputs!G232&lt;0),"n/m",G106/Inputs!G232-1),"n/a")</f>
        <v>0.04336039233006894</v>
      </c>
      <c r="H107" s="19">
        <f>IFERROR(IF(OR(ABS(C106)&lt;0.5,H106*C106&lt;0),"n/m",H106/C106-1),"n/a")</f>
        <v>0.08904379850059185</v>
      </c>
      <c r="I107" s="19">
        <f>IFERROR(IF(OR(ABS(D106)&lt;0.5,I106*D106&lt;0),"n/m",I106/D106-1),"n/a")</f>
        <v>-0.049737597995810345</v>
      </c>
      <c r="J107" s="46">
        <f>IFERROR(IF(OR(ABS(E106)&lt;0.5,J106*E106&lt;0),"n/m",J106/E106-1),"n/a")</f>
        <v>-0.018020849203358003</v>
      </c>
      <c r="K107" s="45"/>
    </row>
    <row r="108">
      <c r="B108" s="42" t="s">
        <v>118</v>
      </c>
      <c r="C108" s="4">
        <f>IFERROR(C106-Inputs!F232,"n/a")</f>
        <v>-8.093999999999994</v>
      </c>
      <c r="D108" s="20">
        <f>IFERROR(D106-C106,"n/a")</f>
        <v>16.576000000000008</v>
      </c>
      <c r="E108" s="20">
        <f>IFERROR(E106-D106,"n/a")</f>
        <v>-2.567999999999998</v>
      </c>
      <c r="F108" s="20">
        <f>IFERROR(F106-E106,"n/a")</f>
        <v>-6.182000000000016</v>
      </c>
      <c r="G108" s="20" t="s">
        <v>34</v>
      </c>
      <c r="H108" s="20">
        <f>IFERROR(H106-F106,"n/a")</f>
        <v>-1.0559999999999974</v>
      </c>
      <c r="I108" s="20">
        <f>IFERROR(I106-H106,"n/a")</f>
        <v>5.200000000000003</v>
      </c>
      <c r="J108" s="48">
        <f>IFERROR(J106-I106,"n/a")</f>
        <v>0.41543877942805807</v>
      </c>
      <c r="K108" s="45"/>
    </row>
    <row r="109">
      <c r="B109" s="30" t="s">
        <v>261</v>
      </c>
      <c r="C109" s="19">
        <f>C106/C92</f>
        <v>0.4415599500537213</v>
      </c>
      <c r="D109" s="19">
        <f>D106/D92</f>
        <v>0.5211279494437349</v>
      </c>
      <c r="E109" s="19">
        <f>E106/E92</f>
        <v>0.49425262117802055</v>
      </c>
      <c r="F109" s="19">
        <f>F106/F92</f>
        <v>0.4598906432524035</v>
      </c>
      <c r="G109" s="19">
        <f>G106/G92</f>
        <v>0.4794672989948166</v>
      </c>
      <c r="H109" s="19">
        <f>H106/H92</f>
        <v>0.4357894736842105</v>
      </c>
      <c r="I109" s="19">
        <f>I106/I92</f>
        <v>0.4646251319957761</v>
      </c>
      <c r="J109" s="46">
        <f>J106/J92</f>
        <v>0.4606999798543855</v>
      </c>
      <c r="K109" s="45"/>
    </row>
    <row r="110">
      <c r="B110" s="49" t="s">
        <v>120</v>
      </c>
      <c r="C110" s="47">
        <f>IFERROR((C109-Inputs!C236)*10000,"n/a")</f>
        <v>11.51572707198234</v>
      </c>
      <c r="D110" s="47">
        <f>IFERROR((D109-Inputs!D236)*10000,"n/a")</f>
        <v>291.13129720249265</v>
      </c>
      <c r="E110" s="47">
        <f>IFERROR((E109-Inputs!E236)*10000,"n/a")</f>
        <v>-295.2679126918795</v>
      </c>
      <c r="F110" s="47">
        <f>IFERROR((F109-Inputs!F236)*10000,"n/a")</f>
        <v>-270.73328221153935</v>
      </c>
      <c r="G110" s="47">
        <f>IFERROR((G109-Inputs!G236)*10000,"n/a")</f>
        <v>-68.3154456506957</v>
      </c>
      <c r="H110" s="62">
        <f>IFERROR((H109-C109)*10000,"n/a")</f>
        <v>-57.7047636951078</v>
      </c>
      <c r="I110" s="62">
        <f>IFERROR((I109-D109)*10000,"n/a")</f>
        <v>-565.0281744795876</v>
      </c>
      <c r="J110" s="64">
        <f>IFERROR((J109-E109)*10000,"n/a")</f>
        <v>-335.52641323635055</v>
      </c>
      <c r="K110" s="45"/>
    </row>
    <row r="111">
      <c r="B111" s="49" t="s">
        <v>121</v>
      </c>
      <c r="C111" s="47">
        <f>IFERROR((C109-Inputs!F236)*10000,"n/a")</f>
        <v>-454.04021419836124</v>
      </c>
      <c r="D111" s="62">
        <f>IFERROR((D109-C109)*10000,"n/a")</f>
        <v>795.6799939001357</v>
      </c>
      <c r="E111" s="62">
        <f>IFERROR((E109-D109)*10000,"n/a")</f>
        <v>-268.75328265714313</v>
      </c>
      <c r="F111" s="62">
        <f>IFERROR((F109-E109)*10000,"n/a")</f>
        <v>-343.6197792561707</v>
      </c>
      <c r="G111" s="62" t="s">
        <v>34</v>
      </c>
      <c r="H111" s="62">
        <f>IFERROR((H109-F109)*10000,"n/a")</f>
        <v>-241.0116956819297</v>
      </c>
      <c r="I111" s="62">
        <f>IFERROR((I109-H109)*10000,"n/a")</f>
        <v>288.35658311565595</v>
      </c>
      <c r="J111" s="64">
        <f>IFERROR((J109-I109)*10000,"n/a")</f>
        <v>-39.25152141390609</v>
      </c>
      <c r="K111" s="45"/>
    </row>
    <row r="112">
      <c r="B112" s="30" t="s">
        <v>262</v>
      </c>
      <c r="C112" s="19">
        <f>C103/C92</f>
        <v>0.5584400499462787</v>
      </c>
      <c r="D112" s="19">
        <f>D103/D92</f>
        <v>0.4788720505562652</v>
      </c>
      <c r="E112" s="19">
        <f>E103/E92</f>
        <v>0.5057473788219794</v>
      </c>
      <c r="F112" s="19">
        <f>F103/F92</f>
        <v>0.5401093567475965</v>
      </c>
      <c r="G112" s="19">
        <f>G103/G92</f>
        <v>0.5205327010051833</v>
      </c>
      <c r="H112" s="19">
        <f>H103/H92</f>
        <v>0.5642105263157895</v>
      </c>
      <c r="I112" s="19">
        <f>I103/I92</f>
        <v>0.5353748680042238</v>
      </c>
      <c r="J112" s="46">
        <f>J103/J92</f>
        <v>0.5393000201456145</v>
      </c>
      <c r="K112" s="45"/>
    </row>
    <row r="113">
      <c r="B113" s="49" t="s">
        <v>120</v>
      </c>
      <c r="C113" s="47">
        <f>IFERROR((C112-Inputs!C237)*10000,"n/a")</f>
        <v>-11.51572707198234</v>
      </c>
      <c r="D113" s="47">
        <f>IFERROR((D112-Inputs!D237)*10000,"n/a")</f>
        <v>-291.1312972024921</v>
      </c>
      <c r="E113" s="47">
        <f>IFERROR((E112-Inputs!E237)*10000,"n/a")</f>
        <v>295.2679126918789</v>
      </c>
      <c r="F113" s="47">
        <f>IFERROR((F112-Inputs!F237)*10000,"n/a")</f>
        <v>270.73328221153935</v>
      </c>
      <c r="G113" s="47">
        <f>IFERROR((G112-Inputs!G237)*10000,"n/a")</f>
        <v>68.31544565069514</v>
      </c>
      <c r="H113" s="62">
        <f>IFERROR((H112-C112)*10000,"n/a")</f>
        <v>57.7047636951078</v>
      </c>
      <c r="I113" s="62">
        <f>IFERROR((I112-D112)*10000,"n/a")</f>
        <v>565.0281744795865</v>
      </c>
      <c r="J113" s="64">
        <f>IFERROR((J112-E112)*10000,"n/a")</f>
        <v>335.5264132363511</v>
      </c>
      <c r="K113" s="45"/>
    </row>
    <row r="114">
      <c r="B114" s="49" t="s">
        <v>121</v>
      </c>
      <c r="C114" s="47">
        <f>IFERROR((C112-Inputs!F237)*10000,"n/a")</f>
        <v>454.04021419836124</v>
      </c>
      <c r="D114" s="62">
        <f>IFERROR((D112-C112)*10000,"n/a")</f>
        <v>-795.6799939001352</v>
      </c>
      <c r="E114" s="62">
        <f>IFERROR((E112-D112)*10000,"n/a")</f>
        <v>268.75328265714205</v>
      </c>
      <c r="F114" s="62">
        <f>IFERROR((F112-E112)*10000,"n/a")</f>
        <v>343.6197792561713</v>
      </c>
      <c r="G114" s="62" t="s">
        <v>34</v>
      </c>
      <c r="H114" s="62">
        <f>IFERROR((H112-F112)*10000,"n/a")</f>
        <v>241.0116956819297</v>
      </c>
      <c r="I114" s="62">
        <f>IFERROR((I112-H112)*10000,"n/a")</f>
        <v>-288.35658311565646</v>
      </c>
      <c r="J114" s="64">
        <f>IFERROR((J112-I112)*10000,"n/a")</f>
        <v>39.251521413906644</v>
      </c>
      <c r="K114" s="45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1:K9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267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156</v>
      </c>
      <c r="C9" s="10"/>
      <c r="D9" s="10"/>
      <c r="E9" s="10"/>
      <c r="F9" s="10"/>
      <c r="G9" s="10"/>
      <c r="H9" s="10"/>
      <c r="I9" s="10"/>
      <c r="J9" s="51"/>
      <c r="K9" s="45" t="s">
        <v>157</v>
      </c>
    </row>
    <row r="10">
      <c r="B10" s="2" t="s">
        <v>158</v>
      </c>
      <c r="C10" s="4">
        <f>Inputs!F249</f>
        <v>343.741</v>
      </c>
      <c r="D10" s="20">
        <f>C26</f>
        <v>352.335</v>
      </c>
      <c r="E10" s="20">
        <f>D26</f>
        <v>369.759</v>
      </c>
      <c r="F10" s="20">
        <f>E26</f>
        <v>370.809</v>
      </c>
      <c r="G10" s="20">
        <f>C10</f>
        <v>343.741</v>
      </c>
      <c r="H10" s="20">
        <f>F26</f>
        <v>378.102</v>
      </c>
      <c r="I10" s="20">
        <f>H26</f>
        <v>375.7</v>
      </c>
      <c r="J10" s="48">
        <f>I26</f>
        <v>376.8</v>
      </c>
      <c r="K10" s="45" t="s">
        <v>159</v>
      </c>
    </row>
    <row r="11">
      <c r="B11" s="49" t="s">
        <v>150</v>
      </c>
      <c r="C11" s="19" t="s">
        <v>34</v>
      </c>
      <c r="D11" s="98">
        <f>IFERROR(IF(OR(ABS(Inputs!C249)&lt;0.5,D10*Inputs!C249&lt;0),"n/m",D10/Inputs!C249-1),"n/a")</f>
        <v>0.09894857007401492</v>
      </c>
      <c r="E11" s="98">
        <f>IFERROR(IF(OR(ABS(Inputs!D249)&lt;0.5,E10*Inputs!D249&lt;0),"n/m",E10/Inputs!D249-1),"n/a")</f>
        <v>0.10811458779740057</v>
      </c>
      <c r="F11" s="98">
        <f>IFERROR(IF(OR(ABS(Inputs!E249)&lt;0.5,F10*Inputs!E249&lt;0),"n/m",F10/Inputs!E249-1),"n/a")</f>
        <v>0.07788613868581318</v>
      </c>
      <c r="G11" s="19" t="s">
        <v>34</v>
      </c>
      <c r="H11" s="19">
        <f>IFERROR(IF(OR(ABS(C10)&lt;0.5,H10*C10&lt;0),"n/m",H10/C10-1),"n/a")</f>
        <v>0.0999618899112995</v>
      </c>
      <c r="I11" s="19">
        <f>IFERROR(IF(OR(ABS(D10)&lt;0.5,I10*D10&lt;0),"n/m",I10/D10-1),"n/a")</f>
        <v>0.06631472888018508</v>
      </c>
      <c r="J11" s="46">
        <f>IFERROR(IF(OR(ABS(E10)&lt;0.5,J10*E10&lt;0),"n/m",J10/E10-1),"n/a")</f>
        <v>0.019042132848693383</v>
      </c>
      <c r="K11" s="45" t="s">
        <v>160</v>
      </c>
    </row>
    <row r="12">
      <c r="B12" s="42" t="s">
        <v>118</v>
      </c>
      <c r="C12" s="20" t="s">
        <v>34</v>
      </c>
      <c r="D12" s="20">
        <f>IFERROR(D10-C10,"n/a")</f>
        <v>8.593999999999994</v>
      </c>
      <c r="E12" s="20">
        <f>IFERROR(E10-D10,"n/a")</f>
        <v>17.424000000000035</v>
      </c>
      <c r="F12" s="20">
        <f>IFERROR(F10-E10,"n/a")</f>
        <v>1.0500000000000114</v>
      </c>
      <c r="G12" s="20" t="s">
        <v>34</v>
      </c>
      <c r="H12" s="20">
        <f>IFERROR(H10-F10,"n/a")</f>
        <v>7.2929999999999495</v>
      </c>
      <c r="I12" s="20">
        <f>IFERROR(I10-H10,"n/a")</f>
        <v>-2.401999999999987</v>
      </c>
      <c r="J12" s="48">
        <f>IFERROR(J10-I10,"n/a")</f>
        <v>1.1000000000000227</v>
      </c>
      <c r="K12" s="45"/>
    </row>
    <row r="13">
      <c r="B13" s="2" t="s">
        <v>161</v>
      </c>
      <c r="C13" s="12">
        <v>7.234</v>
      </c>
      <c r="D13" s="12">
        <v>10.301</v>
      </c>
      <c r="E13" s="12">
        <v>7.424</v>
      </c>
      <c r="F13" s="12">
        <v>15.227</v>
      </c>
      <c r="G13" s="20">
        <f>SUM(C13:F13)</f>
        <v>40.186</v>
      </c>
      <c r="H13" s="12">
        <v>7.5</v>
      </c>
      <c r="I13" s="12">
        <v>9.3</v>
      </c>
      <c r="J13" s="53">
        <v>7</v>
      </c>
      <c r="K13" s="45" t="s">
        <v>162</v>
      </c>
    </row>
    <row r="14">
      <c r="B14" s="49" t="s">
        <v>150</v>
      </c>
      <c r="C14" s="9">
        <v>-0.369</v>
      </c>
      <c r="D14" s="9">
        <v>-0.445</v>
      </c>
      <c r="E14" s="9">
        <v>-0.205</v>
      </c>
      <c r="F14" s="9">
        <v>-0.05</v>
      </c>
      <c r="G14" s="9">
        <v>-0.275</v>
      </c>
      <c r="H14" s="19">
        <f>IFERROR(IF(OR(ABS(C13)&lt;0.5,H13*C13&lt;0),"n/m",H13/C13-1),"n/a")</f>
        <v>0.036770804534144386</v>
      </c>
      <c r="I14" s="19">
        <f>IFERROR(IF(OR(ABS(D13)&lt;0.5,I13*D13&lt;0),"n/m",I13/D13-1),"n/a")</f>
        <v>-0.09717503155033491</v>
      </c>
      <c r="J14" s="46">
        <f>IFERROR(IF(OR(ABS(E13)&lt;0.5,J13*E13&lt;0),"n/m",J13/E13-1),"n/a")</f>
        <v>-0.05711206896551724</v>
      </c>
      <c r="K14" s="45"/>
    </row>
    <row r="15">
      <c r="B15" s="42" t="s">
        <v>118</v>
      </c>
      <c r="C15" s="20" t="s">
        <v>34</v>
      </c>
      <c r="D15" s="20">
        <f>IFERROR(D13-C13,"n/a")</f>
        <v>3.067</v>
      </c>
      <c r="E15" s="20">
        <f>IFERROR(E13-D13,"n/a")</f>
        <v>-2.877</v>
      </c>
      <c r="F15" s="20">
        <f>IFERROR(F13-E13,"n/a")</f>
        <v>7.803</v>
      </c>
      <c r="G15" s="20" t="s">
        <v>34</v>
      </c>
      <c r="H15" s="20">
        <f>IFERROR(H13-F13,"n/a")</f>
        <v>-7.727</v>
      </c>
      <c r="I15" s="20">
        <f>IFERROR(I13-H13,"n/a")</f>
        <v>1.8000000000000007</v>
      </c>
      <c r="J15" s="48">
        <f>IFERROR(J13-I13,"n/a")</f>
        <v>-2.3000000000000007</v>
      </c>
      <c r="K15" s="45"/>
    </row>
    <row r="16">
      <c r="B16" s="2" t="s">
        <v>163</v>
      </c>
      <c r="C16" s="12">
        <v>-4.694</v>
      </c>
      <c r="D16" s="12">
        <v>-5.332</v>
      </c>
      <c r="E16" s="12">
        <v>-5.509</v>
      </c>
      <c r="F16" s="12">
        <v>-7.766</v>
      </c>
      <c r="G16" s="20">
        <f>SUM(C16:F16)</f>
        <v>-23.301000000000002</v>
      </c>
      <c r="H16" s="12">
        <v>-6.6</v>
      </c>
      <c r="I16" s="12">
        <v>-7.4</v>
      </c>
      <c r="J16" s="53">
        <v>-7.5</v>
      </c>
      <c r="K16" s="45" t="s">
        <v>164</v>
      </c>
    </row>
    <row r="17">
      <c r="B17" s="49" t="s">
        <v>150</v>
      </c>
      <c r="C17" s="9">
        <v>-0.361</v>
      </c>
      <c r="D17" s="9">
        <v>0.16699999999999998</v>
      </c>
      <c r="E17" s="9">
        <v>-0.012</v>
      </c>
      <c r="F17" s="9">
        <v>0.414</v>
      </c>
      <c r="G17" s="9">
        <v>0.014</v>
      </c>
      <c r="H17" s="19">
        <f>IFERROR(IF(OR(ABS(C16)&lt;0.5,H16*C16&lt;0),"n/m",H16/C16-1),"n/a")</f>
        <v>0.40605027694929685</v>
      </c>
      <c r="I17" s="19">
        <f>IFERROR(IF(OR(ABS(D16)&lt;0.5,I16*D16&lt;0),"n/m",I16/D16-1),"n/a")</f>
        <v>0.3878469617404352</v>
      </c>
      <c r="J17" s="46">
        <f>IFERROR(IF(OR(ABS(E16)&lt;0.5,J16*E16&lt;0),"n/m",J16/E16-1),"n/a")</f>
        <v>0.36140860410237785</v>
      </c>
      <c r="K17" s="45"/>
    </row>
    <row r="18">
      <c r="B18" s="42" t="s">
        <v>118</v>
      </c>
      <c r="C18" s="20" t="s">
        <v>34</v>
      </c>
      <c r="D18" s="20">
        <f>IFERROR(D16-C16,"n/a")</f>
        <v>-0.6379999999999999</v>
      </c>
      <c r="E18" s="20">
        <f>IFERROR(E16-D16,"n/a")</f>
        <v>-0.1770000000000005</v>
      </c>
      <c r="F18" s="20">
        <f>IFERROR(F16-E16,"n/a")</f>
        <v>-2.2569999999999997</v>
      </c>
      <c r="G18" s="20" t="s">
        <v>34</v>
      </c>
      <c r="H18" s="20">
        <f>IFERROR(H16-F16,"n/a")</f>
        <v>1.1660000000000004</v>
      </c>
      <c r="I18" s="20">
        <f>IFERROR(I16-H16,"n/a")</f>
        <v>-0.8000000000000007</v>
      </c>
      <c r="J18" s="48">
        <f>IFERROR(J16-I16,"n/a")</f>
        <v>-0.09999999999999964</v>
      </c>
      <c r="K18" s="45"/>
    </row>
    <row r="19">
      <c r="B19" s="24" t="s">
        <v>165</v>
      </c>
      <c r="C19" s="60">
        <f>C13+C16</f>
        <v>2.54</v>
      </c>
      <c r="D19" s="60">
        <f>D13+D16</f>
        <v>4.969</v>
      </c>
      <c r="E19" s="60">
        <f>E13+E16</f>
        <v>1.915</v>
      </c>
      <c r="F19" s="60">
        <f>F13+F16</f>
        <v>7.461</v>
      </c>
      <c r="G19" s="60">
        <f>G13+G16</f>
        <v>16.884999999999998</v>
      </c>
      <c r="H19" s="60">
        <f>H13+H16</f>
        <v>0.9000000000000004</v>
      </c>
      <c r="I19" s="60">
        <f>I13+I16</f>
        <v>1.9000000000000004</v>
      </c>
      <c r="J19" s="50">
        <f>J13+J16</f>
        <v>-0.5</v>
      </c>
      <c r="K19" s="45"/>
    </row>
    <row r="20">
      <c r="B20" s="49" t="s">
        <v>150</v>
      </c>
      <c r="C20" s="9">
        <v>-0.3829999999999999</v>
      </c>
      <c r="D20" s="9">
        <v>-0.645</v>
      </c>
      <c r="E20" s="9">
        <v>-0.49</v>
      </c>
      <c r="F20" s="9">
        <v>-0.292</v>
      </c>
      <c r="G20" s="9">
        <v>-0.479</v>
      </c>
      <c r="H20" s="19">
        <f>IFERROR(IF(OR(ABS(C19)&lt;0.5,H19*C19&lt;0),"n/m",H19/C19-1),"n/a")</f>
        <v>-0.6456692913385825</v>
      </c>
      <c r="I20" s="19">
        <f>IFERROR(IF(OR(ABS(D19)&lt;0.5,I19*D19&lt;0),"n/m",I19/D19-1),"n/a")</f>
        <v>-0.6176293016703562</v>
      </c>
      <c r="J20" s="46" t="str">
        <f>IFERROR(IF(OR(ABS(E19)&lt;0.5,J19*E19&lt;0),"n/m",J19/E19-1),"n/a")</f>
        <v>n/m</v>
      </c>
      <c r="K20" s="45"/>
    </row>
    <row r="21">
      <c r="B21" s="42" t="s">
        <v>118</v>
      </c>
      <c r="C21" s="20" t="s">
        <v>34</v>
      </c>
      <c r="D21" s="20">
        <f>IFERROR(D19-C19,"n/a")</f>
        <v>2.4290000000000003</v>
      </c>
      <c r="E21" s="20">
        <f>IFERROR(E19-D19,"n/a")</f>
        <v>-3.0540000000000003</v>
      </c>
      <c r="F21" s="20">
        <f>IFERROR(F19-E19,"n/a")</f>
        <v>5.546</v>
      </c>
      <c r="G21" s="20" t="s">
        <v>34</v>
      </c>
      <c r="H21" s="20">
        <f>IFERROR(H19-F19,"n/a")</f>
        <v>-6.561</v>
      </c>
      <c r="I21" s="20">
        <f>IFERROR(I19-H19,"n/a")</f>
        <v>1</v>
      </c>
      <c r="J21" s="48">
        <f>IFERROR(J19-I19,"n/a")</f>
        <v>-2.4000000000000004</v>
      </c>
      <c r="K21" s="45"/>
    </row>
    <row r="22">
      <c r="B22" s="2" t="s">
        <v>166</v>
      </c>
      <c r="C22" s="20" t="s">
        <v>34</v>
      </c>
      <c r="D22" s="20" t="s">
        <v>34</v>
      </c>
      <c r="E22" s="20" t="s">
        <v>34</v>
      </c>
      <c r="F22" s="20" t="s">
        <v>34</v>
      </c>
      <c r="G22" s="20" t="s">
        <v>34</v>
      </c>
      <c r="H22" s="20" t="s">
        <v>34</v>
      </c>
      <c r="I22" s="20" t="s">
        <v>34</v>
      </c>
      <c r="J22" s="53">
        <v>10</v>
      </c>
      <c r="K22" s="45" t="s">
        <v>268</v>
      </c>
    </row>
    <row r="23">
      <c r="B23" s="2" t="s">
        <v>168</v>
      </c>
      <c r="C23" s="20">
        <f>C26-C10-C19</f>
        <v>6.053999999999994</v>
      </c>
      <c r="D23" s="20">
        <f>D26-D10-D19</f>
        <v>12.455000000000034</v>
      </c>
      <c r="E23" s="20">
        <f>E26-E10-E19</f>
        <v>-0.8649999999999887</v>
      </c>
      <c r="F23" s="20">
        <f>F26-F10-F19</f>
        <v>-0.16800000000005078</v>
      </c>
      <c r="G23" s="20">
        <f>SUM(C23:F23)</f>
        <v>17.47599999999999</v>
      </c>
      <c r="H23" s="20">
        <f>H26-H10-H19</f>
        <v>-3.301999999999987</v>
      </c>
      <c r="I23" s="20">
        <f>I26-I10-I19</f>
        <v>-0.7999999999999776</v>
      </c>
      <c r="J23" s="53">
        <v>0</v>
      </c>
      <c r="K23" s="45" t="s">
        <v>169</v>
      </c>
    </row>
    <row r="24">
      <c r="B24" s="49" t="s">
        <v>150</v>
      </c>
      <c r="C24" s="19" t="s">
        <v>34</v>
      </c>
      <c r="D24" s="19" t="s">
        <v>34</v>
      </c>
      <c r="E24" s="19" t="s">
        <v>34</v>
      </c>
      <c r="F24" s="19" t="s">
        <v>34</v>
      </c>
      <c r="G24" s="19" t="s">
        <v>34</v>
      </c>
      <c r="H24" s="19" t="str">
        <f>IFERROR(IF(OR(ABS(C23)&lt;0.5,H23*C23&lt;0),"n/m",H23/C23-1),"n/a")</f>
        <v>n/m</v>
      </c>
      <c r="I24" s="19" t="str">
        <f>IFERROR(IF(OR(ABS(D23)&lt;0.5,I23*D23&lt;0),"n/m",I23/D23-1),"n/a")</f>
        <v>n/m</v>
      </c>
      <c r="J24" s="46" t="str">
        <f>IFERROR(IF(OR(J23=0,E23&lt;=0,ABS(E23)&lt;0.5,J23*E23&lt;0),"n/m",J23/E23-1),"n/a")</f>
        <v>n/m</v>
      </c>
      <c r="K24" s="45" t="s">
        <v>170</v>
      </c>
    </row>
    <row r="25">
      <c r="B25" s="42" t="s">
        <v>118</v>
      </c>
      <c r="C25" s="20" t="s">
        <v>34</v>
      </c>
      <c r="D25" s="20">
        <f>IFERROR(D23-C23,"n/a")</f>
        <v>6.40100000000004</v>
      </c>
      <c r="E25" s="20">
        <f>IFERROR(E23-D23,"n/a")</f>
        <v>-13.320000000000022</v>
      </c>
      <c r="F25" s="20">
        <f>IFERROR(F23-E23,"n/a")</f>
        <v>0.6969999999999379</v>
      </c>
      <c r="G25" s="20" t="s">
        <v>34</v>
      </c>
      <c r="H25" s="20">
        <f>IFERROR(H23-F23,"n/a")</f>
        <v>-3.1339999999999364</v>
      </c>
      <c r="I25" s="20">
        <f>IFERROR(I23-H23,"n/a")</f>
        <v>2.5020000000000095</v>
      </c>
      <c r="J25" s="48">
        <f>IFERROR(J23-I23,"n/a")</f>
        <v>0.7999999999999776</v>
      </c>
      <c r="K25" s="45"/>
    </row>
    <row r="26">
      <c r="B26" s="24" t="s">
        <v>171</v>
      </c>
      <c r="C26" s="44">
        <v>352.335</v>
      </c>
      <c r="D26" s="44">
        <v>369.759</v>
      </c>
      <c r="E26" s="44">
        <v>370.809</v>
      </c>
      <c r="F26" s="44">
        <v>378.102</v>
      </c>
      <c r="G26" s="60">
        <f>F26</f>
        <v>378.102</v>
      </c>
      <c r="H26" s="44">
        <v>375.7</v>
      </c>
      <c r="I26" s="44">
        <v>376.8</v>
      </c>
      <c r="J26" s="50">
        <f>J10+J19+J22+J23</f>
        <v>386.3</v>
      </c>
      <c r="K26" s="45" t="s">
        <v>172</v>
      </c>
    </row>
    <row r="27">
      <c r="B27" s="49" t="s">
        <v>150</v>
      </c>
      <c r="C27" s="33">
        <f>IFERROR(IF(OR(ABS(Inputs!C249)&lt;0.5,C26*Inputs!C249&lt;0),"n/m",C26/Inputs!C249-1),"n/a")</f>
        <v>0.09894857007401492</v>
      </c>
      <c r="D27" s="33">
        <f>IFERROR(IF(OR(ABS(Inputs!D249)&lt;0.5,D26*Inputs!D249&lt;0),"n/m",D26/Inputs!D249-1),"n/a")</f>
        <v>0.10811458779740057</v>
      </c>
      <c r="E27" s="33">
        <f>IFERROR(IF(OR(ABS(Inputs!E249)&lt;0.5,E26*Inputs!E249&lt;0),"n/m",E26/Inputs!E249-1),"n/a")</f>
        <v>0.07788613868581318</v>
      </c>
      <c r="F27" s="33">
        <f>IFERROR(IF(OR(ABS(Inputs!F249)&lt;0.5,F26*Inputs!F249&lt;0),"n/m",F26/Inputs!F249-1),"n/a")</f>
        <v>0.0999618899112995</v>
      </c>
      <c r="G27" s="33">
        <f>IFERROR(IF(OR(ABS(Inputs!G249)&lt;0.5,G26*Inputs!G249&lt;0),"n/m",G26/Inputs!G249-1),"n/a")</f>
        <v>0.0999618899112995</v>
      </c>
      <c r="H27" s="19">
        <f>IFERROR(IF(OR(ABS(C26)&lt;0.5,H26*C26&lt;0),"n/m",H26/C26-1),"n/a")</f>
        <v>0.06631472888018508</v>
      </c>
      <c r="I27" s="19">
        <f>IFERROR(IF(OR(ABS(D26)&lt;0.5,I26*D26&lt;0),"n/m",I26/D26-1),"n/a")</f>
        <v>0.019042132848693383</v>
      </c>
      <c r="J27" s="46">
        <f>IFERROR(IF(OR(ABS(E26)&lt;0.5,J26*E26&lt;0),"n/m",J26/E26-1),"n/a")</f>
        <v>0.04177622441742246</v>
      </c>
      <c r="K27" s="45"/>
    </row>
    <row r="28">
      <c r="B28" s="42" t="s">
        <v>118</v>
      </c>
      <c r="C28" s="4">
        <f>IFERROR(C26-Inputs!F249,"n/a")</f>
        <v>8.593999999999994</v>
      </c>
      <c r="D28" s="20">
        <f>IFERROR(D26-C26,"n/a")</f>
        <v>17.424000000000035</v>
      </c>
      <c r="E28" s="20">
        <f>IFERROR(E26-D26,"n/a")</f>
        <v>1.0500000000000114</v>
      </c>
      <c r="F28" s="20">
        <f>IFERROR(F26-E26,"n/a")</f>
        <v>7.2929999999999495</v>
      </c>
      <c r="G28" s="20" t="s">
        <v>34</v>
      </c>
      <c r="H28" s="20">
        <f>IFERROR(H26-F26,"n/a")</f>
        <v>-2.401999999999987</v>
      </c>
      <c r="I28" s="20">
        <f>IFERROR(I26-H26,"n/a")</f>
        <v>1.1000000000000227</v>
      </c>
      <c r="J28" s="48">
        <f>IFERROR(J26-I26,"n/a")</f>
        <v>9.5</v>
      </c>
      <c r="K28" s="45"/>
    </row>
    <row r="29">
      <c r="B29" s="2" t="s">
        <v>173</v>
      </c>
      <c r="C29" s="20">
        <f>AVERAGE(C10,C26)</f>
        <v>348.038</v>
      </c>
      <c r="D29" s="20">
        <f>AVERAGE(D10,D26)</f>
        <v>361.047</v>
      </c>
      <c r="E29" s="20">
        <f>AVERAGE(E10,E26)</f>
        <v>370.284</v>
      </c>
      <c r="F29" s="20">
        <f>AVERAGE(F10,F26)</f>
        <v>374.45550000000003</v>
      </c>
      <c r="G29" s="20">
        <f>AVERAGE(C29,D29,E29,F29)</f>
        <v>363.45612500000004</v>
      </c>
      <c r="H29" s="20">
        <f>AVERAGE(H10,H26)</f>
        <v>376.90099999999995</v>
      </c>
      <c r="I29" s="20">
        <f>AVERAGE(I10,I26)</f>
        <v>376.25</v>
      </c>
      <c r="J29" s="48">
        <f>AVERAGE(J10,J26)</f>
        <v>381.55</v>
      </c>
      <c r="K29" s="45" t="s">
        <v>269</v>
      </c>
    </row>
    <row r="30">
      <c r="B30" s="49" t="s">
        <v>150</v>
      </c>
      <c r="C30" s="19" t="s">
        <v>34</v>
      </c>
      <c r="D30" s="98">
        <f>IFERROR(IF(COUNT(Inputs!C249,Inputs!D249)&lt;2,"n/a",IF(OR(ABS((Inputs!C249+Inputs!D249)/2)&lt;0.5,D29*(Inputs!C249+Inputs!D249)&lt;0),"n/m",D29/((Inputs!C249+Inputs!D249)/2)-1)),"n/a")</f>
        <v>0.10362314189034305</v>
      </c>
      <c r="E30" s="98">
        <f>IFERROR(IF(COUNT(Inputs!D249,Inputs!E249)&lt;2,"n/a",IF(OR(ABS((Inputs!D249+Inputs!E249)/2)&lt;0.5,E29*(Inputs!D249+Inputs!E249)&lt;0),"n/m",E29/((Inputs!D249+Inputs!E249)/2)-1)),"n/a")</f>
        <v>0.09276993587114024</v>
      </c>
      <c r="F30" s="98">
        <f>IFERROR(IF(COUNT(Inputs!E249,Inputs!F249)&lt;2,"n/a",IF(OR(ABS((Inputs!E249+Inputs!F249)/2)&lt;0.5,F29*(Inputs!E249+Inputs!F249)&lt;0),"n/m",F29/((Inputs!E249+Inputs!F249)/2)-1)),"n/a")</f>
        <v>0.08891961684085659</v>
      </c>
      <c r="G30" s="19" t="s">
        <v>34</v>
      </c>
      <c r="H30" s="19">
        <f>IFERROR(IF(OR(ABS(C29)&lt;0.5,H29*C29&lt;0),"n/m",H29/C29-1),"n/a")</f>
        <v>0.08293059953223492</v>
      </c>
      <c r="I30" s="19">
        <f>IFERROR(IF(OR(ABS(D29)&lt;0.5,I29*D29&lt;0),"n/m",I29/D29-1),"n/a")</f>
        <v>0.04210809119034353</v>
      </c>
      <c r="J30" s="46">
        <f>IFERROR(IF(OR(ABS(E29)&lt;0.5,J29*E29&lt;0),"n/m",J29/E29-1),"n/a")</f>
        <v>0.030425295178835743</v>
      </c>
      <c r="K30" s="45" t="s">
        <v>174</v>
      </c>
    </row>
    <row r="31">
      <c r="B31" s="42" t="s">
        <v>118</v>
      </c>
      <c r="C31" s="20" t="s">
        <v>34</v>
      </c>
      <c r="D31" s="20">
        <f>IFERROR(D29-C29,"n/a")</f>
        <v>13.009000000000015</v>
      </c>
      <c r="E31" s="20">
        <f>IFERROR(E29-D29,"n/a")</f>
        <v>9.236999999999966</v>
      </c>
      <c r="F31" s="20">
        <f>IFERROR(F29-E29,"n/a")</f>
        <v>4.171500000000037</v>
      </c>
      <c r="G31" s="20" t="s">
        <v>34</v>
      </c>
      <c r="H31" s="20">
        <f>IFERROR(H29-F29,"n/a")</f>
        <v>2.4454999999999245</v>
      </c>
      <c r="I31" s="20">
        <f>IFERROR(I29-H29,"n/a")</f>
        <v>-0.6509999999999536</v>
      </c>
      <c r="J31" s="48">
        <f>IFERROR(J29-I29,"n/a")</f>
        <v>5.300000000000011</v>
      </c>
      <c r="K31" s="45"/>
    </row>
    <row r="32">
      <c r="B32" s="24" t="s">
        <v>184</v>
      </c>
      <c r="C32" s="10"/>
      <c r="D32" s="10"/>
      <c r="E32" s="10"/>
      <c r="F32" s="10"/>
      <c r="G32" s="10"/>
      <c r="H32" s="10"/>
      <c r="I32" s="10"/>
      <c r="J32" s="51"/>
      <c r="K32" s="45"/>
    </row>
    <row r="33">
      <c r="B33" s="30" t="s">
        <v>185</v>
      </c>
      <c r="C33" s="9">
        <v>0.945</v>
      </c>
      <c r="D33" s="9">
        <v>0.938</v>
      </c>
      <c r="E33" s="9">
        <v>0.936</v>
      </c>
      <c r="F33" s="9">
        <v>0.91</v>
      </c>
      <c r="G33" s="9">
        <v>0.932</v>
      </c>
      <c r="H33" s="9">
        <v>0.93</v>
      </c>
      <c r="I33" s="9">
        <v>0.923</v>
      </c>
      <c r="J33" s="46">
        <f>1-(-J16*4)/F26</f>
        <v>0.920656330831363</v>
      </c>
      <c r="K33" s="45" t="s">
        <v>186</v>
      </c>
    </row>
    <row r="34">
      <c r="B34" s="49" t="s">
        <v>120</v>
      </c>
      <c r="C34" s="47">
        <f>IFERROR((C33-Inputs!C252)*10000,"n/a")</f>
        <v>369.9999999999992</v>
      </c>
      <c r="D34" s="47">
        <f>IFERROR((D33-Inputs!D252)*10000,"n/a")</f>
        <v>-50.00000000000004</v>
      </c>
      <c r="E34" s="47">
        <f>IFERROR((E33-Inputs!E252)*10000,"n/a")</f>
        <v>60.00000000000006</v>
      </c>
      <c r="F34" s="47">
        <f>IFERROR((F33-Inputs!F252)*10000,"n/a")</f>
        <v>-210.0000000000002</v>
      </c>
      <c r="G34" s="47">
        <f>IFERROR((G33-Inputs!G252)*10000,"n/a")</f>
        <v>40.000000000000036</v>
      </c>
      <c r="H34" s="62">
        <f>IFERROR((H33-C33)*10000,"n/a")</f>
        <v>-149.99999999999903</v>
      </c>
      <c r="I34" s="62">
        <f>IFERROR((I33-D33)*10000,"n/a")</f>
        <v>-149.99999999999903</v>
      </c>
      <c r="J34" s="64">
        <f>IFERROR((J33-E33)*10000,"n/a")</f>
        <v>-153.43669168637052</v>
      </c>
      <c r="K34" s="45"/>
    </row>
    <row r="35">
      <c r="B35" s="49" t="s">
        <v>121</v>
      </c>
      <c r="C35" s="47">
        <f>IFERROR((C33-Inputs!F252)*10000,"n/a")</f>
        <v>139.999999999999</v>
      </c>
      <c r="D35" s="62">
        <f>IFERROR((D33-C33)*10000,"n/a")</f>
        <v>-70.00000000000006</v>
      </c>
      <c r="E35" s="62">
        <f>IFERROR((E33-D33)*10000,"n/a")</f>
        <v>-19.999999999998906</v>
      </c>
      <c r="F35" s="62">
        <f>IFERROR((F33-E33)*10000,"n/a")</f>
        <v>-260.0000000000002</v>
      </c>
      <c r="G35" s="62" t="s">
        <v>34</v>
      </c>
      <c r="H35" s="62">
        <f>IFERROR((H33-F33)*10000,"n/a")</f>
        <v>200.00000000000017</v>
      </c>
      <c r="I35" s="62">
        <f>IFERROR((I33-H33)*10000,"n/a")</f>
        <v>-70.00000000000006</v>
      </c>
      <c r="J35" s="64">
        <f>IFERROR((J33-I33)*10000,"n/a")</f>
        <v>-23.436691686370416</v>
      </c>
      <c r="K35" s="45"/>
    </row>
    <row r="36">
      <c r="B36" s="30" t="s">
        <v>187</v>
      </c>
      <c r="C36" s="19">
        <f>1-C33</f>
        <v>0.05500000000000005</v>
      </c>
      <c r="D36" s="19">
        <f>1-D33</f>
        <v>0.062000000000000055</v>
      </c>
      <c r="E36" s="19">
        <f>1-E33</f>
        <v>0.06399999999999995</v>
      </c>
      <c r="F36" s="19">
        <f>1-F33</f>
        <v>0.08999999999999997</v>
      </c>
      <c r="G36" s="19">
        <f>1-G33</f>
        <v>0.06799999999999995</v>
      </c>
      <c r="H36" s="19">
        <f>1-H33</f>
        <v>0.06999999999999995</v>
      </c>
      <c r="I36" s="19">
        <f>1-I33</f>
        <v>0.07699999999999996</v>
      </c>
      <c r="J36" s="46">
        <f>1-J33</f>
        <v>0.079343669168637</v>
      </c>
      <c r="K36" s="45"/>
    </row>
    <row r="37">
      <c r="B37" s="49" t="s">
        <v>120</v>
      </c>
      <c r="C37" s="47">
        <f>IFERROR((C36-Inputs!C253)*10000,"n/a")</f>
        <v>-369.9999999999992</v>
      </c>
      <c r="D37" s="47">
        <f>IFERROR((D36-Inputs!D253)*10000,"n/a")</f>
        <v>50.00000000000004</v>
      </c>
      <c r="E37" s="47">
        <f>IFERROR((E36-Inputs!E253)*10000,"n/a")</f>
        <v>-60.00000000000006</v>
      </c>
      <c r="F37" s="47">
        <f>IFERROR((F36-Inputs!F253)*10000,"n/a")</f>
        <v>210.0000000000002</v>
      </c>
      <c r="G37" s="47">
        <f>IFERROR((G36-Inputs!G253)*10000,"n/a")</f>
        <v>-40.000000000000036</v>
      </c>
      <c r="H37" s="62">
        <f>IFERROR((H36-C36)*10000,"n/a")</f>
        <v>149.99999999999903</v>
      </c>
      <c r="I37" s="62">
        <f>IFERROR((I36-D36)*10000,"n/a")</f>
        <v>149.99999999999903</v>
      </c>
      <c r="J37" s="64">
        <f>IFERROR((J36-E36)*10000,"n/a")</f>
        <v>153.43669168637052</v>
      </c>
      <c r="K37" s="45"/>
    </row>
    <row r="38">
      <c r="B38" s="49" t="s">
        <v>121</v>
      </c>
      <c r="C38" s="47">
        <f>IFERROR((C36-Inputs!F253)*10000,"n/a")</f>
        <v>-139.999999999999</v>
      </c>
      <c r="D38" s="62">
        <f>IFERROR((D36-C36)*10000,"n/a")</f>
        <v>70.00000000000006</v>
      </c>
      <c r="E38" s="62">
        <f>IFERROR((E36-D36)*10000,"n/a")</f>
        <v>19.999999999998906</v>
      </c>
      <c r="F38" s="62">
        <f>IFERROR((F36-E36)*10000,"n/a")</f>
        <v>260.0000000000002</v>
      </c>
      <c r="G38" s="62" t="s">
        <v>34</v>
      </c>
      <c r="H38" s="62">
        <f>IFERROR((H36-F36)*10000,"n/a")</f>
        <v>-200.00000000000017</v>
      </c>
      <c r="I38" s="62">
        <f>IFERROR((I36-H36)*10000,"n/a")</f>
        <v>70.00000000000006</v>
      </c>
      <c r="J38" s="64">
        <f>IFERROR((J36-I36)*10000,"n/a")</f>
        <v>23.436691686370416</v>
      </c>
      <c r="K38" s="45"/>
    </row>
    <row r="39">
      <c r="B39" s="30" t="s">
        <v>188</v>
      </c>
      <c r="C39" s="19">
        <f>C13*4/C10</f>
        <v>0.08417965852196858</v>
      </c>
      <c r="D39" s="19">
        <f>D13*4/D10</f>
        <v>0.11694552059829424</v>
      </c>
      <c r="E39" s="19">
        <f>E13*4/E10</f>
        <v>0.08031177063979511</v>
      </c>
      <c r="F39" s="19">
        <f>F13*4/F10</f>
        <v>0.1642570703515826</v>
      </c>
      <c r="G39" s="19">
        <f>G13/G10</f>
        <v>0.11690778813118016</v>
      </c>
      <c r="H39" s="19">
        <f>H13*4/H10</f>
        <v>0.07934366916863704</v>
      </c>
      <c r="I39" s="19">
        <f>I13*4/I10</f>
        <v>0.09901517167953156</v>
      </c>
      <c r="J39" s="46">
        <f>J13*4/J10</f>
        <v>0.07430997876857749</v>
      </c>
      <c r="K39" s="45"/>
    </row>
    <row r="40">
      <c r="B40" s="49" t="s">
        <v>120</v>
      </c>
      <c r="C40" s="62" t="s">
        <v>34</v>
      </c>
      <c r="D40" s="62" t="s">
        <v>34</v>
      </c>
      <c r="E40" s="62" t="s">
        <v>34</v>
      </c>
      <c r="F40" s="62" t="s">
        <v>34</v>
      </c>
      <c r="G40" s="62" t="s">
        <v>34</v>
      </c>
      <c r="H40" s="62">
        <f>IFERROR((H39-C39)*10000,"n/a")</f>
        <v>-48.359893533315436</v>
      </c>
      <c r="I40" s="62">
        <f>IFERROR((I39-D39)*10000,"n/a")</f>
        <v>-179.3034891876269</v>
      </c>
      <c r="J40" s="64">
        <f>IFERROR((J39-E39)*10000,"n/a")</f>
        <v>-60.01791871217618</v>
      </c>
      <c r="K40" s="45"/>
    </row>
    <row r="41">
      <c r="B41" s="49" t="s">
        <v>121</v>
      </c>
      <c r="C41" s="62" t="s">
        <v>34</v>
      </c>
      <c r="D41" s="62">
        <f>IFERROR((D39-C39)*10000,"n/a")</f>
        <v>327.65862076325664</v>
      </c>
      <c r="E41" s="62">
        <f>IFERROR((E39-D39)*10000,"n/a")</f>
        <v>-366.33749958499135</v>
      </c>
      <c r="F41" s="62">
        <f>IFERROR((F39-E39)*10000,"n/a")</f>
        <v>839.4529971178749</v>
      </c>
      <c r="G41" s="62" t="s">
        <v>34</v>
      </c>
      <c r="H41" s="62">
        <f>IFERROR((H39-F39)*10000,"n/a")</f>
        <v>-849.1340118294556</v>
      </c>
      <c r="I41" s="62">
        <f>IFERROR((I39-H39)*10000,"n/a")</f>
        <v>196.71502510894516</v>
      </c>
      <c r="J41" s="64">
        <f>IFERROR((J39-I39)*10000,"n/a")</f>
        <v>-247.05192910954062</v>
      </c>
      <c r="K41" s="45"/>
    </row>
    <row r="42">
      <c r="B42" s="30" t="s">
        <v>189</v>
      </c>
      <c r="C42" s="19">
        <f>C19*4/C10</f>
        <v>0.02955713749596353</v>
      </c>
      <c r="D42" s="19">
        <f>D19*4/D10</f>
        <v>0.05641222132345638</v>
      </c>
      <c r="E42" s="19">
        <f>E19*4/E10</f>
        <v>0.020716196225108785</v>
      </c>
      <c r="F42" s="19">
        <f>F19*4/F10</f>
        <v>0.08048348341059683</v>
      </c>
      <c r="G42" s="19">
        <f>G19/G10</f>
        <v>0.04912128608458112</v>
      </c>
      <c r="H42" s="19">
        <f>H19*4/H10</f>
        <v>0.009521240300236449</v>
      </c>
      <c r="I42" s="19">
        <f>I19*4/I10</f>
        <v>0.020228906042054837</v>
      </c>
      <c r="J42" s="46">
        <f>J19*4/J10</f>
        <v>-0.005307855626326964</v>
      </c>
      <c r="K42" s="45"/>
    </row>
    <row r="43">
      <c r="B43" s="49" t="s">
        <v>120</v>
      </c>
      <c r="C43" s="62" t="s">
        <v>34</v>
      </c>
      <c r="D43" s="62" t="s">
        <v>34</v>
      </c>
      <c r="E43" s="62" t="s">
        <v>34</v>
      </c>
      <c r="F43" s="62" t="s">
        <v>34</v>
      </c>
      <c r="G43" s="62" t="s">
        <v>34</v>
      </c>
      <c r="H43" s="62">
        <f>IFERROR((H42-C42)*10000,"n/a")</f>
        <v>-200.35897195727085</v>
      </c>
      <c r="I43" s="62">
        <f>IFERROR((I42-D42)*10000,"n/a")</f>
        <v>-361.8331528140154</v>
      </c>
      <c r="J43" s="64">
        <f>IFERROR((J42-E42)*10000,"n/a")</f>
        <v>-260.24051851435746</v>
      </c>
      <c r="K43" s="45"/>
    </row>
    <row r="44">
      <c r="B44" s="49" t="s">
        <v>121</v>
      </c>
      <c r="C44" s="62" t="s">
        <v>34</v>
      </c>
      <c r="D44" s="62">
        <f>IFERROR((D42-C42)*10000,"n/a")</f>
        <v>268.5508382749285</v>
      </c>
      <c r="E44" s="62">
        <f>IFERROR((E42-D42)*10000,"n/a")</f>
        <v>-356.96025098347593</v>
      </c>
      <c r="F44" s="62">
        <f>IFERROR((F42-E42)*10000,"n/a")</f>
        <v>597.6728718548804</v>
      </c>
      <c r="G44" s="62" t="s">
        <v>34</v>
      </c>
      <c r="H44" s="62">
        <f>IFERROR((H42-F42)*10000,"n/a")</f>
        <v>-709.6224311036038</v>
      </c>
      <c r="I44" s="62">
        <f>IFERROR((I42-H42)*10000,"n/a")</f>
        <v>107.07665741818388</v>
      </c>
      <c r="J44" s="64">
        <f>IFERROR((J42-I42)*10000,"n/a")</f>
        <v>-255.367616683818</v>
      </c>
      <c r="K44" s="45"/>
    </row>
    <row r="45">
      <c r="B45" s="30" t="s">
        <v>190</v>
      </c>
      <c r="C45" s="19">
        <f>C49/(C29/4)</f>
        <v>0.9508961665105533</v>
      </c>
      <c r="D45" s="19">
        <f>D49/(D29/4)</f>
        <v>0.9641625605530582</v>
      </c>
      <c r="E45" s="19">
        <f>E49/(E29/4)</f>
        <v>0.9579241879206232</v>
      </c>
      <c r="F45" s="19">
        <f>F49/(F29/4)</f>
        <v>0.9396149876287034</v>
      </c>
      <c r="G45" s="19">
        <f>G49/G29</f>
        <v>0.9530751476536541</v>
      </c>
      <c r="H45" s="19">
        <f>H49/(H29/4)</f>
        <v>0.9647095656419061</v>
      </c>
      <c r="I45" s="19">
        <f>I49/(I29/4)</f>
        <v>0.9621262458471761</v>
      </c>
      <c r="J45" s="46">
        <f>AVERAGE(E45,F45,H45,I45)</f>
        <v>0.9560937467596022</v>
      </c>
      <c r="K45" s="45" t="s">
        <v>191</v>
      </c>
    </row>
    <row r="46">
      <c r="B46" s="49" t="s">
        <v>120</v>
      </c>
      <c r="C46" s="62" t="s">
        <v>34</v>
      </c>
      <c r="D46" s="62" t="s">
        <v>34</v>
      </c>
      <c r="E46" s="62" t="s">
        <v>34</v>
      </c>
      <c r="F46" s="62" t="s">
        <v>34</v>
      </c>
      <c r="G46" s="62" t="s">
        <v>34</v>
      </c>
      <c r="H46" s="62">
        <f>IFERROR((H45-C45)*10000,"n/a")</f>
        <v>138.1339913135282</v>
      </c>
      <c r="I46" s="62">
        <f>IFERROR((I45-D45)*10000,"n/a")</f>
        <v>-20.363147058820587</v>
      </c>
      <c r="J46" s="64">
        <f>IFERROR((J45-E45)*10000,"n/a")</f>
        <v>-18.30441161020935</v>
      </c>
      <c r="K46" s="45"/>
    </row>
    <row r="47">
      <c r="B47" s="49" t="s">
        <v>121</v>
      </c>
      <c r="C47" s="62" t="s">
        <v>34</v>
      </c>
      <c r="D47" s="62">
        <f>IFERROR((D45-C45)*10000,"n/a")</f>
        <v>132.66394042504848</v>
      </c>
      <c r="E47" s="62">
        <f>IFERROR((E45-D45)*10000,"n/a")</f>
        <v>-62.38372632434985</v>
      </c>
      <c r="F47" s="62">
        <f>IFERROR((F45-E45)*10000,"n/a")</f>
        <v>-183.09200291919737</v>
      </c>
      <c r="G47" s="62" t="s">
        <v>34</v>
      </c>
      <c r="H47" s="62">
        <f>IFERROR((H45-F45)*10000,"n/a")</f>
        <v>250.94578013202695</v>
      </c>
      <c r="I47" s="62">
        <f>IFERROR((I45-H45)*10000,"n/a")</f>
        <v>-25.833197947300324</v>
      </c>
      <c r="J47" s="64">
        <f>IFERROR((J45-I45)*10000,"n/a")</f>
        <v>-60.324990875738614</v>
      </c>
      <c r="K47" s="45"/>
    </row>
    <row r="48">
      <c r="B48" s="24" t="s">
        <v>192</v>
      </c>
      <c r="C48" s="10"/>
      <c r="D48" s="10"/>
      <c r="E48" s="10"/>
      <c r="F48" s="10"/>
      <c r="G48" s="10"/>
      <c r="H48" s="10"/>
      <c r="I48" s="10"/>
      <c r="J48" s="51"/>
      <c r="K48" s="45"/>
    </row>
    <row r="49">
      <c r="B49" s="2" t="s">
        <v>193</v>
      </c>
      <c r="C49" s="12">
        <v>82.737</v>
      </c>
      <c r="D49" s="12">
        <v>87.027</v>
      </c>
      <c r="E49" s="12">
        <v>88.676</v>
      </c>
      <c r="F49" s="12">
        <v>87.961</v>
      </c>
      <c r="G49" s="20">
        <f>SUM(C49:F49)</f>
        <v>346.401</v>
      </c>
      <c r="H49" s="12">
        <v>90.9</v>
      </c>
      <c r="I49" s="12">
        <v>90.5</v>
      </c>
      <c r="J49" s="48">
        <f>J29/4*J45</f>
        <v>91.19939226903156</v>
      </c>
      <c r="K49" s="45" t="s">
        <v>194</v>
      </c>
    </row>
    <row r="50">
      <c r="B50" s="49" t="s">
        <v>116</v>
      </c>
      <c r="C50" s="9">
        <v>0.083</v>
      </c>
      <c r="D50" s="9">
        <v>0.116</v>
      </c>
      <c r="E50" s="9">
        <v>0.08800000000000001</v>
      </c>
      <c r="F50" s="9">
        <v>0.061</v>
      </c>
      <c r="G50" s="9">
        <v>0.086</v>
      </c>
      <c r="H50" s="19">
        <f>IFERROR(IF(OR(ABS(C49)&lt;0.5,H49*C49&lt;0),"n/m",H49/C49-1),"n/a")</f>
        <v>0.09866202545414993</v>
      </c>
      <c r="I50" s="19">
        <f>IFERROR(IF(OR(ABS(D49)&lt;0.5,I49*D49&lt;0),"n/m",I49/D49-1),"n/a")</f>
        <v>0.039907155250669346</v>
      </c>
      <c r="J50" s="46">
        <f>IFERROR(IF(OR(ABS(E49)&lt;0.5,J49*E49&lt;0),"n/m",J49/E49-1),"n/a")</f>
        <v>0.028456315903193197</v>
      </c>
      <c r="K50" s="45"/>
    </row>
    <row r="51">
      <c r="B51" s="49" t="s">
        <v>117</v>
      </c>
      <c r="C51" s="19" t="s">
        <v>34</v>
      </c>
      <c r="D51" s="19">
        <f>IFERROR(IF(OR(ABS(C49)&lt;0.5,D49*C49&lt;0),"n/m",D49/C49-1),"n/a")</f>
        <v>0.05185104608578994</v>
      </c>
      <c r="E51" s="19">
        <f>IFERROR(IF(OR(ABS(D49)&lt;0.5,E49*D49&lt;0),"n/m",E49/D49-1),"n/a")</f>
        <v>0.018948142530479162</v>
      </c>
      <c r="F51" s="19">
        <f>IFERROR(IF(OR(ABS(E49)&lt;0.5,F49*E49&lt;0),"n/m",F49/E49-1),"n/a")</f>
        <v>-0.008063061031169716</v>
      </c>
      <c r="G51" s="19" t="s">
        <v>34</v>
      </c>
      <c r="H51" s="19">
        <f>IFERROR(IF(OR(ABS(F49)&lt;0.5,H49*F49&lt;0),"n/m",H49/F49-1),"n/a")</f>
        <v>0.03341253510078346</v>
      </c>
      <c r="I51" s="19">
        <f>IFERROR(IF(OR(ABS(H49)&lt;0.5,I49*H49&lt;0),"n/m",I49/H49-1),"n/a")</f>
        <v>-0.004400440044004417</v>
      </c>
      <c r="J51" s="46">
        <f>IFERROR(IF(OR(ABS(I49)&lt;0.5,J49*I49&lt;0),"n/m",J49/I49-1),"n/a")</f>
        <v>0.007728091370514445</v>
      </c>
      <c r="K51" s="45"/>
    </row>
    <row r="52">
      <c r="B52" s="42" t="s">
        <v>118</v>
      </c>
      <c r="C52" s="20" t="s">
        <v>34</v>
      </c>
      <c r="D52" s="20">
        <f>IFERROR(D49-C49,"n/a")</f>
        <v>4.290000000000006</v>
      </c>
      <c r="E52" s="20">
        <f>IFERROR(E49-D49,"n/a")</f>
        <v>1.649000000000001</v>
      </c>
      <c r="F52" s="20">
        <f>IFERROR(F49-E49,"n/a")</f>
        <v>-0.7150000000000034</v>
      </c>
      <c r="G52" s="20" t="s">
        <v>34</v>
      </c>
      <c r="H52" s="20">
        <f>IFERROR(H49-F49,"n/a")</f>
        <v>2.939000000000007</v>
      </c>
      <c r="I52" s="20">
        <f>IFERROR(I49-H49,"n/a")</f>
        <v>-0.4000000000000057</v>
      </c>
      <c r="J52" s="48">
        <f>IFERROR(J49-I49,"n/a")</f>
        <v>0.6993922690315628</v>
      </c>
      <c r="K52" s="45"/>
    </row>
    <row r="53">
      <c r="B53" s="49" t="s">
        <v>119</v>
      </c>
      <c r="C53" s="33">
        <f>IFERROR(C49/'Revenue summary'!C40,"n/a")</f>
        <v>0.11093338124441894</v>
      </c>
      <c r="D53" s="33">
        <f>IFERROR(D49/'Revenue summary'!D40,"n/a")</f>
        <v>0.11263021254621905</v>
      </c>
      <c r="E53" s="33">
        <f>IFERROR(E49/'Revenue summary'!E40,"n/a")</f>
        <v>0.11176341586991101</v>
      </c>
      <c r="F53" s="33">
        <f>IFERROR(F49/'Revenue summary'!F40,"n/a")</f>
        <v>0.10693982454092749</v>
      </c>
      <c r="G53" s="33">
        <f>IFERROR(G49/'Revenue summary'!G40,"n/a")</f>
        <v>0.11051380796494706</v>
      </c>
      <c r="H53" s="33">
        <f>IFERROR(H49/'Revenue summary'!H40,"n/a")</f>
        <v>0.10684062059238365</v>
      </c>
      <c r="I53" s="33">
        <f>IFERROR(I49/'Revenue summary'!I40,"n/a")</f>
        <v>0.10438292964244521</v>
      </c>
      <c r="J53" s="69">
        <f>IFERROR(J49/'Revenue summary'!J40,"n/a")</f>
        <v>0.10277425611593459</v>
      </c>
      <c r="K53" s="45"/>
    </row>
    <row r="54">
      <c r="B54" s="65" t="s">
        <v>120</v>
      </c>
      <c r="C54" s="62" t="s">
        <v>34</v>
      </c>
      <c r="D54" s="62" t="s">
        <v>34</v>
      </c>
      <c r="E54" s="62" t="s">
        <v>34</v>
      </c>
      <c r="F54" s="62" t="s">
        <v>34</v>
      </c>
      <c r="G54" s="62" t="s">
        <v>34</v>
      </c>
      <c r="H54" s="62">
        <f>IFERROR((H53-C53)*10000,"n/a")</f>
        <v>-40.927606520352874</v>
      </c>
      <c r="I54" s="62">
        <f>IFERROR((I53-D53)*10000,"n/a")</f>
        <v>-82.47282903773842</v>
      </c>
      <c r="J54" s="64">
        <f>IFERROR((J53-E53)*10000,"n/a")</f>
        <v>-89.89159753976419</v>
      </c>
      <c r="K54" s="45"/>
    </row>
    <row r="55">
      <c r="B55" s="65" t="s">
        <v>121</v>
      </c>
      <c r="C55" s="62" t="s">
        <v>34</v>
      </c>
      <c r="D55" s="62">
        <f>IFERROR((D53-C53)*10000,"n/a")</f>
        <v>16.968313018001087</v>
      </c>
      <c r="E55" s="62">
        <f>IFERROR((E53-D53)*10000,"n/a")</f>
        <v>-8.667966763080404</v>
      </c>
      <c r="F55" s="62">
        <f>IFERROR((F53-E53)*10000,"n/a")</f>
        <v>-48.23591328983523</v>
      </c>
      <c r="G55" s="62" t="s">
        <v>34</v>
      </c>
      <c r="H55" s="62">
        <f>IFERROR((H53-F53)*10000,"n/a")</f>
        <v>-0.9920394854383285</v>
      </c>
      <c r="I55" s="62">
        <f>IFERROR((I53-H53)*10000,"n/a")</f>
        <v>-24.57690949938446</v>
      </c>
      <c r="J55" s="64">
        <f>IFERROR((J53-I53)*10000,"n/a")</f>
        <v>-16.086735265106178</v>
      </c>
      <c r="K55" s="45"/>
    </row>
    <row r="56">
      <c r="B56" s="49" t="s">
        <v>122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46">
        <f>(J22/2/4*J45)/E49</f>
        <v>0.01347734655881527</v>
      </c>
      <c r="K56" s="45" t="s">
        <v>270</v>
      </c>
    </row>
    <row r="57">
      <c r="B57" s="49" t="s">
        <v>124</v>
      </c>
      <c r="C57" s="9">
        <v>-0.005</v>
      </c>
      <c r="D57" s="9">
        <v>0.043</v>
      </c>
      <c r="E57" s="9">
        <v>0.027000000000000003</v>
      </c>
      <c r="F57" s="9">
        <v>0.027000000000000003</v>
      </c>
      <c r="G57" s="9">
        <v>0.023</v>
      </c>
      <c r="H57" s="9">
        <v>0.049</v>
      </c>
      <c r="I57" s="9">
        <v>0.003</v>
      </c>
      <c r="J57" s="58">
        <v>-0.005</v>
      </c>
      <c r="K57" s="45" t="s">
        <v>271</v>
      </c>
    </row>
    <row r="58">
      <c r="B58" s="49" t="s">
        <v>125</v>
      </c>
      <c r="C58" s="19">
        <f>IFERROR((1+C50)/((1+C56)*(1+C57))-1,"n/a")</f>
        <v>0.08844221105527628</v>
      </c>
      <c r="D58" s="19">
        <f>IFERROR((1+D50)/((1+D56)*(1+D57))-1,"n/a")</f>
        <v>0.06999041227229164</v>
      </c>
      <c r="E58" s="19">
        <f>IFERROR((1+E50)/((1+E56)*(1+E57))-1,"n/a")</f>
        <v>0.05939629990262918</v>
      </c>
      <c r="F58" s="19">
        <f>IFERROR((1+F50)/((1+F56)*(1+F57))-1,"n/a")</f>
        <v>0.0331061343719572</v>
      </c>
      <c r="G58" s="19">
        <f>IFERROR((1+G50)/((1+G56)*(1+G57))-1,"n/a")</f>
        <v>0.06158357771261014</v>
      </c>
      <c r="H58" s="19">
        <f>IFERROR((1+H50)/((1+H56)*(1+H57))-1,"n/a")</f>
        <v>0.04734225496105804</v>
      </c>
      <c r="I58" s="19">
        <f>IFERROR((1+I50)/((1+I56)*(1+I57))-1,"n/a")</f>
        <v>0.036796764955802086</v>
      </c>
      <c r="J58" s="46">
        <f>IFERROR((1+J50)/((1+J56)*(1+J57))-1,"n/a")</f>
        <v>0.019879173030610264</v>
      </c>
      <c r="K58" s="45" t="s">
        <v>126</v>
      </c>
    </row>
    <row r="59">
      <c r="B59" s="24" t="s">
        <v>129</v>
      </c>
      <c r="C59" s="10"/>
      <c r="D59" s="10"/>
      <c r="E59" s="10"/>
      <c r="F59" s="10"/>
      <c r="G59" s="10"/>
      <c r="H59" s="10"/>
      <c r="I59" s="10"/>
      <c r="J59" s="51"/>
      <c r="K59" s="45"/>
    </row>
    <row r="60">
      <c r="B60" s="2" t="s">
        <v>249</v>
      </c>
      <c r="C60" s="12">
        <v>1.914</v>
      </c>
      <c r="D60" s="12">
        <v>1.327</v>
      </c>
      <c r="E60" s="12">
        <v>0.734</v>
      </c>
      <c r="F60" s="12">
        <v>1.041</v>
      </c>
      <c r="G60" s="20">
        <f>SUM(C60:F60)</f>
        <v>5.016</v>
      </c>
      <c r="H60" s="12">
        <v>1</v>
      </c>
      <c r="I60" s="12">
        <v>2.2</v>
      </c>
      <c r="J60" s="48" t="s">
        <v>34</v>
      </c>
      <c r="K60" s="45" t="s">
        <v>250</v>
      </c>
    </row>
    <row r="61">
      <c r="B61" s="49" t="s">
        <v>150</v>
      </c>
      <c r="C61" s="9">
        <v>0.145</v>
      </c>
      <c r="D61" s="9">
        <v>-0.532</v>
      </c>
      <c r="E61" s="9">
        <v>-0.687</v>
      </c>
      <c r="F61" s="9">
        <v>-0.519</v>
      </c>
      <c r="G61" s="9">
        <v>-0.444</v>
      </c>
      <c r="H61" s="19">
        <f>IFERROR(IF(OR(ABS(C60)&lt;0.5,H60*C60&lt;0),"n/m",H60/C60-1),"n/a")</f>
        <v>-0.477533960292581</v>
      </c>
      <c r="I61" s="19">
        <f>IFERROR(IF(OR(ABS(D60)&lt;0.5,I60*D60&lt;0),"n/m",I60/D60-1),"n/a")</f>
        <v>0.6578749058025624</v>
      </c>
      <c r="J61" s="46" t="str">
        <f>IFERROR(IF(OR(ABS(E60)&lt;0.5,J60*E60&lt;0),"n/m",J60/E60-1),"n/a")</f>
        <v>n/a</v>
      </c>
      <c r="K61" s="45"/>
    </row>
    <row r="62">
      <c r="B62" s="42" t="s">
        <v>118</v>
      </c>
      <c r="C62" s="20" t="s">
        <v>34</v>
      </c>
      <c r="D62" s="20">
        <f>IFERROR(D60-C60,"n/a")</f>
        <v>-0.587</v>
      </c>
      <c r="E62" s="20">
        <f>IFERROR(E60-D60,"n/a")</f>
        <v>-0.593</v>
      </c>
      <c r="F62" s="20">
        <f>IFERROR(F60-E60,"n/a")</f>
        <v>0.30699999999999994</v>
      </c>
      <c r="G62" s="20" t="s">
        <v>34</v>
      </c>
      <c r="H62" s="20">
        <f>IFERROR(H60-F60,"n/a")</f>
        <v>-0.040999999999999925</v>
      </c>
      <c r="I62" s="20">
        <f>IFERROR(I60-H60,"n/a")</f>
        <v>1.2000000000000002</v>
      </c>
      <c r="J62" s="48" t="str">
        <f>IFERROR(J60-I60,"n/a")</f>
        <v>n/a</v>
      </c>
      <c r="K62" s="45"/>
    </row>
    <row r="63">
      <c r="B63" s="2" t="s">
        <v>251</v>
      </c>
      <c r="C63" s="12">
        <v>1.882</v>
      </c>
      <c r="D63" s="12">
        <v>1.884</v>
      </c>
      <c r="E63" s="12">
        <v>1.449</v>
      </c>
      <c r="F63" s="12">
        <v>2.299</v>
      </c>
      <c r="G63" s="20">
        <f>SUM(C63:F63)</f>
        <v>7.513999999999999</v>
      </c>
      <c r="H63" s="12">
        <v>1</v>
      </c>
      <c r="I63" s="12">
        <v>1.4</v>
      </c>
      <c r="J63" s="53">
        <v>1.5</v>
      </c>
      <c r="K63" s="45" t="s">
        <v>252</v>
      </c>
    </row>
    <row r="64">
      <c r="B64" s="49" t="s">
        <v>116</v>
      </c>
      <c r="C64" s="9">
        <v>0.284</v>
      </c>
      <c r="D64" s="9">
        <v>0.016</v>
      </c>
      <c r="E64" s="9">
        <v>-0.312</v>
      </c>
      <c r="F64" s="9">
        <v>-0.017</v>
      </c>
      <c r="G64" s="9">
        <v>-0.032</v>
      </c>
      <c r="H64" s="19">
        <f>IFERROR(IF(OR(ABS(C63)&lt;0.5,H63*C63&lt;0),"n/m",H63/C63-1),"n/a")</f>
        <v>-0.4686503719447396</v>
      </c>
      <c r="I64" s="19">
        <f>IFERROR(IF(OR(ABS(D63)&lt;0.5,I63*D63&lt;0),"n/m",I63/D63-1),"n/a")</f>
        <v>-0.2569002123142251</v>
      </c>
      <c r="J64" s="46">
        <f>IFERROR(IF(OR(ABS(E63)&lt;0.5,J63*E63&lt;0),"n/m",J63/E63-1),"n/a")</f>
        <v>0.035196687370600444</v>
      </c>
      <c r="K64" s="45"/>
    </row>
    <row r="65">
      <c r="B65" s="49" t="s">
        <v>117</v>
      </c>
      <c r="C65" s="19" t="s">
        <v>34</v>
      </c>
      <c r="D65" s="19">
        <f>IFERROR(IF(OR(ABS(C63)&lt;0.5,D63*C63&lt;0),"n/m",D63/C63-1),"n/a")</f>
        <v>0.0010626992561104665</v>
      </c>
      <c r="E65" s="19">
        <f>IFERROR(IF(OR(ABS(D63)&lt;0.5,E63*D63&lt;0),"n/m",E63/D63-1),"n/a")</f>
        <v>-0.23089171974522282</v>
      </c>
      <c r="F65" s="19">
        <f>IFERROR(IF(OR(ABS(E63)&lt;0.5,F63*E63&lt;0),"n/m",F63/E63-1),"n/a")</f>
        <v>0.5866114561766735</v>
      </c>
      <c r="G65" s="19" t="s">
        <v>34</v>
      </c>
      <c r="H65" s="19">
        <f>IFERROR(IF(OR(ABS(F63)&lt;0.5,H63*F63&lt;0),"n/m",H63/F63-1),"n/a")</f>
        <v>-0.5650282731622445</v>
      </c>
      <c r="I65" s="19">
        <f>IFERROR(IF(OR(ABS(H63)&lt;0.5,I63*H63&lt;0),"n/m",I63/H63-1),"n/a")</f>
        <v>0.3999999999999999</v>
      </c>
      <c r="J65" s="46">
        <f>IFERROR(IF(OR(ABS(I63)&lt;0.5,J63*I63&lt;0),"n/m",J63/I63-1),"n/a")</f>
        <v>0.0714285714285714</v>
      </c>
      <c r="K65" s="45"/>
    </row>
    <row r="66">
      <c r="B66" s="42" t="s">
        <v>118</v>
      </c>
      <c r="C66" s="20" t="s">
        <v>34</v>
      </c>
      <c r="D66" s="20">
        <f>IFERROR(D63-C63,"n/a")</f>
        <v>0.0020000000000000018</v>
      </c>
      <c r="E66" s="20">
        <f>IFERROR(E63-D63,"n/a")</f>
        <v>-0.43499999999999983</v>
      </c>
      <c r="F66" s="20">
        <f>IFERROR(F63-E63,"n/a")</f>
        <v>0.8499999999999999</v>
      </c>
      <c r="G66" s="20" t="s">
        <v>34</v>
      </c>
      <c r="H66" s="20">
        <f>IFERROR(H63-F63,"n/a")</f>
        <v>-1.299</v>
      </c>
      <c r="I66" s="20">
        <f>IFERROR(I63-H63,"n/a")</f>
        <v>0.3999999999999999</v>
      </c>
      <c r="J66" s="48">
        <f>IFERROR(J63-I63,"n/a")</f>
        <v>0.10000000000000009</v>
      </c>
      <c r="K66" s="45"/>
    </row>
    <row r="67">
      <c r="B67" s="49" t="s">
        <v>119</v>
      </c>
      <c r="C67" s="33">
        <f>IFERROR(C63/'Revenue summary'!C40,"n/a")</f>
        <v>0.002523376766162617</v>
      </c>
      <c r="D67" s="33">
        <f>IFERROR(D63/'Revenue summary'!D40,"n/a")</f>
        <v>0.002438269967217952</v>
      </c>
      <c r="E67" s="33">
        <f>IFERROR(E63/'Revenue summary'!E40,"n/a")</f>
        <v>0.0018262572691089027</v>
      </c>
      <c r="F67" s="33">
        <f>IFERROR(F63/'Revenue summary'!F40,"n/a")</f>
        <v>0.002795041627762216</v>
      </c>
      <c r="G67" s="33">
        <f>IFERROR(G63/'Revenue summary'!G40,"n/a")</f>
        <v>0.002397223890948964</v>
      </c>
      <c r="H67" s="33">
        <f>IFERROR(H63/'Revenue summary'!H40,"n/a")</f>
        <v>0.0011753643629525154</v>
      </c>
      <c r="I67" s="33">
        <f>IFERROR(I63/'Revenue summary'!I40,"n/a")</f>
        <v>0.0016147635524798153</v>
      </c>
      <c r="J67" s="69">
        <f>IFERROR(J63/'Revenue summary'!J40,"n/a")</f>
        <v>0.0016903773187340661</v>
      </c>
      <c r="K67" s="45"/>
    </row>
    <row r="68">
      <c r="B68" s="65" t="s">
        <v>120</v>
      </c>
      <c r="C68" s="62" t="s">
        <v>34</v>
      </c>
      <c r="D68" s="62" t="s">
        <v>34</v>
      </c>
      <c r="E68" s="62" t="s">
        <v>34</v>
      </c>
      <c r="F68" s="62" t="s">
        <v>34</v>
      </c>
      <c r="G68" s="62" t="s">
        <v>34</v>
      </c>
      <c r="H68" s="62">
        <f>IFERROR((H67-C67)*10000,"n/a")</f>
        <v>-13.480124032101019</v>
      </c>
      <c r="I68" s="62">
        <f>IFERROR((I67-D67)*10000,"n/a")</f>
        <v>-8.235064147381365</v>
      </c>
      <c r="J68" s="64">
        <f>IFERROR((J67-E67)*10000,"n/a")</f>
        <v>-1.3587995037483656</v>
      </c>
      <c r="K68" s="45"/>
    </row>
    <row r="69">
      <c r="B69" s="65" t="s">
        <v>121</v>
      </c>
      <c r="C69" s="62" t="s">
        <v>34</v>
      </c>
      <c r="D69" s="62">
        <f>IFERROR((D67-C67)*10000,"n/a")</f>
        <v>-0.8510679894466535</v>
      </c>
      <c r="E69" s="62">
        <f>IFERROR((E67-D67)*10000,"n/a")</f>
        <v>-6.1201269810904915</v>
      </c>
      <c r="F69" s="62">
        <f>IFERROR((F67-E67)*10000,"n/a")</f>
        <v>9.687843586533136</v>
      </c>
      <c r="G69" s="62" t="s">
        <v>34</v>
      </c>
      <c r="H69" s="62">
        <f>IFERROR((H67-F67)*10000,"n/a")</f>
        <v>-16.196772648097006</v>
      </c>
      <c r="I69" s="62">
        <f>IFERROR((I67-H67)*10000,"n/a")</f>
        <v>4.3939918952729995</v>
      </c>
      <c r="J69" s="64">
        <f>IFERROR((J67-I67)*10000,"n/a")</f>
        <v>0.7561376625425079</v>
      </c>
      <c r="K69" s="45"/>
    </row>
    <row r="70">
      <c r="B70" s="49" t="s">
        <v>122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58">
        <v>0</v>
      </c>
      <c r="K70" s="45" t="s">
        <v>195</v>
      </c>
    </row>
    <row r="71">
      <c r="B71" s="49" t="s">
        <v>124</v>
      </c>
      <c r="C71" s="9">
        <v>-0.015</v>
      </c>
      <c r="D71" s="9">
        <v>0.031</v>
      </c>
      <c r="E71" s="9">
        <v>0.026</v>
      </c>
      <c r="F71" s="9">
        <v>0.048</v>
      </c>
      <c r="G71" s="9">
        <v>0.026</v>
      </c>
      <c r="H71" s="9">
        <v>0.052000000000000005</v>
      </c>
      <c r="I71" s="9">
        <v>0</v>
      </c>
      <c r="J71" s="58">
        <v>0</v>
      </c>
      <c r="K71" s="45" t="s">
        <v>196</v>
      </c>
    </row>
    <row r="72">
      <c r="B72" s="49" t="s">
        <v>125</v>
      </c>
      <c r="C72" s="19">
        <f>IFERROR((1+C64)/((1+C70)*(1+C71))-1,"n/a")</f>
        <v>0.30355329949238574</v>
      </c>
      <c r="D72" s="19">
        <f>IFERROR((1+D64)/((1+D70)*(1+D71))-1,"n/a")</f>
        <v>-0.01454898157128992</v>
      </c>
      <c r="E72" s="19">
        <f>IFERROR((1+E64)/((1+E70)*(1+E71))-1,"n/a")</f>
        <v>-0.3294346978557505</v>
      </c>
      <c r="F72" s="19">
        <f>IFERROR((1+F64)/((1+F70)*(1+F71))-1,"n/a")</f>
        <v>-0.06202290076335881</v>
      </c>
      <c r="G72" s="19">
        <f>IFERROR((1+G64)/((1+G70)*(1+G71))-1,"n/a")</f>
        <v>-0.05653021442495132</v>
      </c>
      <c r="H72" s="19">
        <f>IFERROR((1+H64)/((1+H70)*(1+H71))-1,"n/a")</f>
        <v>-0.4949148022288399</v>
      </c>
      <c r="I72" s="19">
        <f>IFERROR((1+I64)/((1+I70)*(1+I71))-1,"n/a")</f>
        <v>-0.2569002123142251</v>
      </c>
      <c r="J72" s="46">
        <f>IFERROR((1+J64)/((1+J70)*(1+J71))-1,"n/a")</f>
        <v>0.035196687370600444</v>
      </c>
      <c r="K72" s="45" t="s">
        <v>126</v>
      </c>
    </row>
    <row r="73">
      <c r="B73" s="30" t="s">
        <v>253</v>
      </c>
      <c r="C73" s="19">
        <f>IFERROR(C63/C60,"n/a")</f>
        <v>0.9832810867293625</v>
      </c>
      <c r="D73" s="19">
        <f>IFERROR(D63/D60,"n/a")</f>
        <v>1.4197437829691033</v>
      </c>
      <c r="E73" s="19">
        <f>IFERROR(E63/E60,"n/a")</f>
        <v>1.9741144414168939</v>
      </c>
      <c r="F73" s="19">
        <f>IFERROR(F63/F60,"n/a")</f>
        <v>2.208453410182517</v>
      </c>
      <c r="G73" s="19">
        <f>IFERROR(G63/G60,"n/a")</f>
        <v>1.498006379585327</v>
      </c>
      <c r="H73" s="19">
        <f>IFERROR(H63/H60,"n/a")</f>
        <v>1</v>
      </c>
      <c r="I73" s="19">
        <f>IFERROR(I63/I60,"n/a")</f>
        <v>0.6363636363636362</v>
      </c>
      <c r="J73" s="46" t="s">
        <v>34</v>
      </c>
      <c r="K73" s="45"/>
    </row>
    <row r="74">
      <c r="B74" s="49" t="s">
        <v>120</v>
      </c>
      <c r="C74" s="62" t="s">
        <v>34</v>
      </c>
      <c r="D74" s="62" t="s">
        <v>34</v>
      </c>
      <c r="E74" s="62" t="s">
        <v>34</v>
      </c>
      <c r="F74" s="62" t="s">
        <v>34</v>
      </c>
      <c r="G74" s="62" t="s">
        <v>34</v>
      </c>
      <c r="H74" s="62">
        <f>IFERROR((H73-C73)*10000,"n/a")</f>
        <v>167.18913270637458</v>
      </c>
      <c r="I74" s="62">
        <f>IFERROR((I73-D73)*10000,"n/a")</f>
        <v>-7833.8014660546705</v>
      </c>
      <c r="J74" s="64" t="str">
        <f>IFERROR((J73-E73)*10000,"n/a")</f>
        <v>n/a</v>
      </c>
      <c r="K74" s="45"/>
    </row>
    <row r="75">
      <c r="B75" s="49" t="s">
        <v>121</v>
      </c>
      <c r="C75" s="62" t="s">
        <v>34</v>
      </c>
      <c r="D75" s="62">
        <f>IFERROR((D73-C73)*10000,"n/a")</f>
        <v>4364.626962397408</v>
      </c>
      <c r="E75" s="62">
        <f>IFERROR((E73-D73)*10000,"n/a")</f>
        <v>5543.706584477905</v>
      </c>
      <c r="F75" s="62">
        <f>IFERROR((F73-E73)*10000,"n/a")</f>
        <v>2343.38968765623</v>
      </c>
      <c r="G75" s="62" t="s">
        <v>34</v>
      </c>
      <c r="H75" s="62">
        <f>IFERROR((H73-F73)*10000,"n/a")</f>
        <v>-12084.53410182517</v>
      </c>
      <c r="I75" s="62">
        <f>IFERROR((I73-H73)*10000,"n/a")</f>
        <v>-3636.3636363636374</v>
      </c>
      <c r="J75" s="64" t="str">
        <f>IFERROR((J73-I73)*10000,"n/a")</f>
        <v>n/a</v>
      </c>
      <c r="K75" s="45"/>
    </row>
    <row r="76">
      <c r="B76" s="24" t="s">
        <v>254</v>
      </c>
      <c r="C76" s="10"/>
      <c r="D76" s="10"/>
      <c r="E76" s="10"/>
      <c r="F76" s="10"/>
      <c r="G76" s="10"/>
      <c r="H76" s="10"/>
      <c r="I76" s="10"/>
      <c r="J76" s="51"/>
      <c r="K76" s="45"/>
    </row>
    <row r="77">
      <c r="B77" s="24" t="s">
        <v>255</v>
      </c>
      <c r="C77" s="60">
        <f>C49+C63</f>
        <v>84.619</v>
      </c>
      <c r="D77" s="60">
        <f>D49+D63</f>
        <v>88.911</v>
      </c>
      <c r="E77" s="60">
        <f>E49+E63</f>
        <v>90.125</v>
      </c>
      <c r="F77" s="60">
        <f>F49+F63</f>
        <v>90.26</v>
      </c>
      <c r="G77" s="60">
        <f>G49+G63</f>
        <v>353.915</v>
      </c>
      <c r="H77" s="60">
        <f>H49+H63</f>
        <v>91.9</v>
      </c>
      <c r="I77" s="60">
        <f>I49+I63</f>
        <v>91.9</v>
      </c>
      <c r="J77" s="50">
        <f>J49+J63</f>
        <v>92.69939226903156</v>
      </c>
      <c r="K77" s="45" t="s">
        <v>256</v>
      </c>
    </row>
    <row r="78">
      <c r="B78" s="49" t="s">
        <v>116</v>
      </c>
      <c r="C78" s="33">
        <f>IFERROR(IF(OR(ABS(Inputs!C245)&lt;0.5,C77*Inputs!C245&lt;0),"n/m",C77/Inputs!C245-1),"n/a")</f>
        <v>0.08647475733141596</v>
      </c>
      <c r="D78" s="33">
        <f>IFERROR(IF(OR(ABS(Inputs!D245)&lt;0.5,D77*Inputs!D245&lt;0),"n/m",D77/Inputs!D245-1),"n/a")</f>
        <v>0.11340554755494336</v>
      </c>
      <c r="E78" s="33">
        <f>IFERROR(IF(OR(ABS(Inputs!E245)&lt;0.5,E77*Inputs!E245&lt;0),"n/m",E77/Inputs!E245-1),"n/a")</f>
        <v>0.07749602477194739</v>
      </c>
      <c r="F78" s="33">
        <f>IFERROR(IF(OR(ABS(Inputs!F245)&lt;0.5,F77*Inputs!F245&lt;0),"n/m",F77/Inputs!F245-1),"n/a")</f>
        <v>0.05915347516398928</v>
      </c>
      <c r="G78" s="33">
        <f>IFERROR(IF(OR(ABS(Inputs!G245)&lt;0.5,G77*Inputs!G245&lt;0),"n/m",G77/Inputs!G245-1),"n/a")</f>
        <v>0.08363109727159457</v>
      </c>
      <c r="H78" s="19">
        <f>IFERROR(IF(OR(ABS(C77)&lt;0.5,H77*C77&lt;0),"n/m",H77/C77-1),"n/a")</f>
        <v>0.08604450537113428</v>
      </c>
      <c r="I78" s="19">
        <f>IFERROR(IF(OR(ABS(D77)&lt;0.5,I77*D77&lt;0),"n/m",I77/D77-1),"n/a")</f>
        <v>0.03361788755047179</v>
      </c>
      <c r="J78" s="46">
        <f>IFERROR(IF(OR(ABS(E77)&lt;0.5,J77*E77&lt;0),"n/m",J77/E77-1),"n/a")</f>
        <v>0.02856468537066914</v>
      </c>
      <c r="K78" s="45"/>
    </row>
    <row r="79">
      <c r="B79" s="49" t="s">
        <v>117</v>
      </c>
      <c r="C79" s="33">
        <f>IFERROR(IF(OR(ABS(Inputs!F245)&lt;0.5,C77*Inputs!F245&lt;0),"n/m",C77/Inputs!F245-1),"n/a")</f>
        <v>-0.0070406834156701015</v>
      </c>
      <c r="D79" s="19">
        <f>IFERROR(IF(OR(ABS(C77)&lt;0.5,D77*C77&lt;0),"n/m",D77/C77-1),"n/a")</f>
        <v>0.05072146917358977</v>
      </c>
      <c r="E79" s="19">
        <f>IFERROR(IF(OR(ABS(D77)&lt;0.5,E77*D77&lt;0),"n/m",E77/D77-1),"n/a")</f>
        <v>0.0136541035417439</v>
      </c>
      <c r="F79" s="19">
        <f>IFERROR(IF(OR(ABS(E77)&lt;0.5,F77*E77&lt;0),"n/m",F77/E77-1),"n/a")</f>
        <v>0.001497919556171956</v>
      </c>
      <c r="G79" s="19" t="s">
        <v>34</v>
      </c>
      <c r="H79" s="19">
        <f>IFERROR(IF(OR(ABS(F77)&lt;0.5,H77*F77&lt;0),"n/m",H77/F77-1),"n/a")</f>
        <v>0.01816973188566373</v>
      </c>
      <c r="I79" s="19">
        <f>IFERROR(IF(OR(ABS(H77)&lt;0.5,I77*H77&lt;0),"n/m",I77/H77-1),"n/a")</f>
        <v>0</v>
      </c>
      <c r="J79" s="46">
        <f>IFERROR(IF(OR(ABS(I77)&lt;0.5,J77*I77&lt;0),"n/m",J77/I77-1),"n/a")</f>
        <v>0.0086985012952292</v>
      </c>
      <c r="K79" s="45"/>
    </row>
    <row r="80">
      <c r="B80" s="42" t="s">
        <v>118</v>
      </c>
      <c r="C80" s="4">
        <f>IFERROR(C77-Inputs!F245,"n/a")</f>
        <v>-0.5999999999999943</v>
      </c>
      <c r="D80" s="20">
        <f>IFERROR(D77-C77,"n/a")</f>
        <v>4.292000000000002</v>
      </c>
      <c r="E80" s="20">
        <f>IFERROR(E77-D77,"n/a")</f>
        <v>1.2139999999999986</v>
      </c>
      <c r="F80" s="20">
        <f>IFERROR(F77-E77,"n/a")</f>
        <v>0.13500000000000512</v>
      </c>
      <c r="G80" s="20" t="s">
        <v>34</v>
      </c>
      <c r="H80" s="20">
        <f>IFERROR(H77-F77,"n/a")</f>
        <v>1.6400000000000006</v>
      </c>
      <c r="I80" s="20">
        <f>IFERROR(I77-H77,"n/a")</f>
        <v>0</v>
      </c>
      <c r="J80" s="48">
        <f>IFERROR(J77-I77,"n/a")</f>
        <v>0.7993922690315571</v>
      </c>
      <c r="K80" s="45"/>
    </row>
    <row r="81">
      <c r="B81" s="49" t="s">
        <v>119</v>
      </c>
      <c r="C81" s="33">
        <f>IFERROR(C77/'Revenue summary'!C40,"n/a")</f>
        <v>0.11345675801058157</v>
      </c>
      <c r="D81" s="33">
        <f>IFERROR(D77/'Revenue summary'!D40,"n/a")</f>
        <v>0.115068482513437</v>
      </c>
      <c r="E81" s="33">
        <f>IFERROR(E77/'Revenue summary'!E40,"n/a")</f>
        <v>0.11358967313901991</v>
      </c>
      <c r="F81" s="33">
        <f>IFERROR(F77/'Revenue summary'!F40,"n/a")</f>
        <v>0.10973486616868972</v>
      </c>
      <c r="G81" s="33">
        <f>IFERROR(G77/'Revenue summary'!G40,"n/a")</f>
        <v>0.11291103185589602</v>
      </c>
      <c r="H81" s="33">
        <f>IFERROR(H77/'Revenue summary'!H40,"n/a")</f>
        <v>0.10801598495533617</v>
      </c>
      <c r="I81" s="33">
        <f>IFERROR(I77/'Revenue summary'!I40,"n/a")</f>
        <v>0.10599769319492504</v>
      </c>
      <c r="J81" s="69">
        <f>IFERROR(J77/'Revenue summary'!J40,"n/a")</f>
        <v>0.10446463343466866</v>
      </c>
      <c r="K81" s="45"/>
    </row>
    <row r="82">
      <c r="B82" s="65" t="s">
        <v>120</v>
      </c>
      <c r="C82" s="47">
        <f>IFERROR((C81-Inputs!C248)*10000,"n/a")</f>
        <v>-10.844316094723998</v>
      </c>
      <c r="D82" s="47">
        <f>IFERROR((D81-Inputs!D248)*10000,"n/a")</f>
        <v>22.708092347121095</v>
      </c>
      <c r="E82" s="47">
        <f>IFERROR((E81-Inputs!E248)*10000,"n/a")</f>
        <v>-18.26944657186816</v>
      </c>
      <c r="F82" s="47">
        <f>IFERROR((F81-Inputs!F248)*10000,"n/a")</f>
        <v>-48.82441758988346</v>
      </c>
      <c r="G82" s="47">
        <f>IFERROR((G81-Inputs!G248)*10000,"n/a")</f>
        <v>-14.399356077470642</v>
      </c>
      <c r="H82" s="62">
        <f>IFERROR((H81-C81)*10000,"n/a")</f>
        <v>-54.40773055245401</v>
      </c>
      <c r="I82" s="62">
        <f>IFERROR((I81-D81)*10000,"n/a")</f>
        <v>-90.70789318511963</v>
      </c>
      <c r="J82" s="64">
        <f>IFERROR((J81-E81)*10000,"n/a")</f>
        <v>-91.25039704351245</v>
      </c>
      <c r="K82" s="45"/>
    </row>
    <row r="83">
      <c r="B83" s="65" t="s">
        <v>121</v>
      </c>
      <c r="C83" s="47">
        <f>IFERROR((C81-Inputs!F248)*10000,"n/a")</f>
        <v>-11.605499170964928</v>
      </c>
      <c r="D83" s="62">
        <f>IFERROR((D81-C81)*10000,"n/a")</f>
        <v>16.11724502855433</v>
      </c>
      <c r="E83" s="62">
        <f>IFERROR((E81-D81)*10000,"n/a")</f>
        <v>-14.788093744170922</v>
      </c>
      <c r="F83" s="62">
        <f>IFERROR((F81-E81)*10000,"n/a")</f>
        <v>-38.548069703301934</v>
      </c>
      <c r="G83" s="62" t="s">
        <v>34</v>
      </c>
      <c r="H83" s="62">
        <f>IFERROR((H81-F81)*10000,"n/a")</f>
        <v>-17.188812133535485</v>
      </c>
      <c r="I83" s="62">
        <f>IFERROR((I81-H81)*10000,"n/a")</f>
        <v>-20.18291760411128</v>
      </c>
      <c r="J83" s="64">
        <f>IFERROR((J81-I81)*10000,"n/a")</f>
        <v>-15.330597602563751</v>
      </c>
      <c r="K83" s="45"/>
    </row>
    <row r="84">
      <c r="B84" s="49" t="s">
        <v>122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46">
        <f>(J56*E49+J70*E63)/E77</f>
        <v>0.013260662229675483</v>
      </c>
      <c r="K84" s="45" t="s">
        <v>195</v>
      </c>
    </row>
    <row r="85">
      <c r="B85" s="49" t="s">
        <v>124</v>
      </c>
      <c r="C85" s="9">
        <v>-0.006</v>
      </c>
      <c r="D85" s="9">
        <v>0.042</v>
      </c>
      <c r="E85" s="9">
        <v>0.026</v>
      </c>
      <c r="F85" s="9">
        <v>0.027999999999999997</v>
      </c>
      <c r="G85" s="9">
        <v>0.024</v>
      </c>
      <c r="H85" s="9">
        <v>0.049</v>
      </c>
      <c r="I85" s="9">
        <v>0.004</v>
      </c>
      <c r="J85" s="46">
        <f>(J57*E49+J71*E63)/E77</f>
        <v>-0.004919611650485437</v>
      </c>
      <c r="K85" s="45" t="s">
        <v>196</v>
      </c>
    </row>
    <row r="86">
      <c r="B86" s="49" t="s">
        <v>125</v>
      </c>
      <c r="C86" s="19">
        <f>IFERROR((1+C78)/((1+C84)*(1+C85))-1,"n/a")</f>
        <v>0.09303295506178677</v>
      </c>
      <c r="D86" s="19">
        <f>IFERROR((1+D78)/((1+D84)*(1+D85))-1,"n/a")</f>
        <v>0.06852739688574205</v>
      </c>
      <c r="E86" s="19">
        <f>IFERROR((1+E78)/((1+E84)*(1+E85))-1,"n/a")</f>
        <v>0.05019105728259987</v>
      </c>
      <c r="F86" s="19">
        <f>IFERROR((1+F78)/((1+F84)*(1+F85))-1,"n/a")</f>
        <v>0.03030493692995062</v>
      </c>
      <c r="G86" s="19">
        <f>IFERROR((1+G78)/((1+G84)*(1+G85))-1,"n/a")</f>
        <v>0.05823349342929163</v>
      </c>
      <c r="H86" s="19">
        <f>IFERROR((1+H78)/((1+H84)*(1+H85))-1,"n/a")</f>
        <v>0.03531411379517091</v>
      </c>
      <c r="I86" s="19">
        <f>IFERROR((1+I78)/((1+I84)*(1+I85))-1,"n/a")</f>
        <v>0.029499887998477803</v>
      </c>
      <c r="J86" s="46">
        <f>IFERROR((1+J78)/((1+J84)*(1+J85))-1,"n/a")</f>
        <v>0.02012234334379337</v>
      </c>
      <c r="K86" s="45" t="s">
        <v>126</v>
      </c>
    </row>
    <row r="87">
      <c r="B87" s="24" t="s">
        <v>257</v>
      </c>
      <c r="C87" s="10"/>
      <c r="D87" s="10"/>
      <c r="E87" s="10"/>
      <c r="F87" s="10"/>
      <c r="G87" s="10"/>
      <c r="H87" s="10"/>
      <c r="I87" s="10"/>
      <c r="J87" s="51"/>
      <c r="K87" s="45"/>
    </row>
    <row r="88">
      <c r="B88" s="2" t="s">
        <v>258</v>
      </c>
      <c r="C88" s="12">
        <v>60.798</v>
      </c>
      <c r="D88" s="12">
        <v>57.234</v>
      </c>
      <c r="E88" s="12">
        <v>55.319</v>
      </c>
      <c r="F88" s="12">
        <v>52.087</v>
      </c>
      <c r="G88" s="20">
        <f>SUM(C88:F88)</f>
        <v>225.43800000000002</v>
      </c>
      <c r="H88" s="12">
        <v>58.9</v>
      </c>
      <c r="I88" s="12">
        <v>56.3</v>
      </c>
      <c r="J88" s="53">
        <v>59.5</v>
      </c>
      <c r="K88" s="45" t="s">
        <v>259</v>
      </c>
    </row>
    <row r="89">
      <c r="B89" s="49" t="s">
        <v>150</v>
      </c>
      <c r="C89" s="33">
        <f>IFERROR(IF(OR(ABS(Inputs!C247)&lt;0.5,C88*Inputs!C247&lt;0),"n/m",C88/Inputs!C247-1),"n/a")</f>
        <v>0.07051925413343207</v>
      </c>
      <c r="D89" s="33">
        <f>IFERROR(IF(OR(ABS(Inputs!D247)&lt;0.5,D88*Inputs!D247&lt;0),"n/m",D88/Inputs!D247-1),"n/a")</f>
        <v>0.023406347787215065</v>
      </c>
      <c r="E89" s="33">
        <f>IFERROR(IF(OR(ABS(Inputs!E247)&lt;0.5,E88*Inputs!E247&lt;0),"n/m",E88/Inputs!E247-1),"n/a")</f>
        <v>0.03103216908338635</v>
      </c>
      <c r="F89" s="33">
        <f>IFERROR(IF(OR(ABS(Inputs!F247)&lt;0.5,F88*Inputs!F247&lt;0),"n/m",F88/Inputs!F247-1),"n/a")</f>
        <v>-0.061850470992957485</v>
      </c>
      <c r="G89" s="33">
        <f>IFERROR(IF(OR(ABS(Inputs!G247)&lt;0.5,G88*Inputs!G247&lt;0),"n/m",G88/Inputs!G247-1),"n/a")</f>
        <v>0.015976168693920156</v>
      </c>
      <c r="H89" s="19">
        <f>IFERROR(IF(OR(ABS(C88)&lt;0.5,H88*C88&lt;0),"n/m",H88/C88-1),"n/a")</f>
        <v>-0.031218132175400592</v>
      </c>
      <c r="I89" s="19">
        <f>IFERROR(IF(OR(ABS(D88)&lt;0.5,I88*D88&lt;0),"n/m",I88/D88-1),"n/a")</f>
        <v>-0.016318971240870894</v>
      </c>
      <c r="J89" s="46">
        <f>IFERROR(IF(OR(ABS(E88)&lt;0.5,J88*E88&lt;0),"n/m",J88/E88-1),"n/a")</f>
        <v>0.0755798188687431</v>
      </c>
      <c r="K89" s="45"/>
    </row>
    <row r="90">
      <c r="B90" s="42" t="s">
        <v>118</v>
      </c>
      <c r="C90" s="4">
        <f>IFERROR(C88-Inputs!F247,"n/a")</f>
        <v>5.277000000000008</v>
      </c>
      <c r="D90" s="20">
        <f>IFERROR(D88-C88,"n/a")</f>
        <v>-3.564</v>
      </c>
      <c r="E90" s="20">
        <f>IFERROR(E88-D88,"n/a")</f>
        <v>-1.9149999999999991</v>
      </c>
      <c r="F90" s="20">
        <f>IFERROR(F88-E88,"n/a")</f>
        <v>-3.2319999999999993</v>
      </c>
      <c r="G90" s="20" t="s">
        <v>34</v>
      </c>
      <c r="H90" s="20">
        <f>IFERROR(H88-F88,"n/a")</f>
        <v>6.812999999999995</v>
      </c>
      <c r="I90" s="20">
        <f>IFERROR(I88-H88,"n/a")</f>
        <v>-2.6000000000000014</v>
      </c>
      <c r="J90" s="48">
        <f>IFERROR(J88-I88,"n/a")</f>
        <v>3.200000000000003</v>
      </c>
      <c r="K90" s="45"/>
    </row>
    <row r="91">
      <c r="B91" s="24" t="s">
        <v>260</v>
      </c>
      <c r="C91" s="60">
        <f>C77-C88</f>
        <v>23.820999999999998</v>
      </c>
      <c r="D91" s="60">
        <f>D77-D88</f>
        <v>31.677</v>
      </c>
      <c r="E91" s="60">
        <f>E77-E88</f>
        <v>34.806</v>
      </c>
      <c r="F91" s="60">
        <f>F77-F88</f>
        <v>38.173</v>
      </c>
      <c r="G91" s="60">
        <f>G77-G88</f>
        <v>128.477</v>
      </c>
      <c r="H91" s="60">
        <f>H77-H88</f>
        <v>33.00000000000001</v>
      </c>
      <c r="I91" s="60">
        <f>I77-I88</f>
        <v>35.60000000000001</v>
      </c>
      <c r="J91" s="50">
        <f>J77-J88</f>
        <v>33.19939226903156</v>
      </c>
      <c r="K91" s="45"/>
    </row>
    <row r="92">
      <c r="B92" s="49" t="s">
        <v>150</v>
      </c>
      <c r="C92" s="33">
        <f>IFERROR(IF(OR(ABS(Inputs!C246)&lt;0.5,C91*Inputs!C246&lt;0),"n/m",C91/Inputs!C246-1),"n/a")</f>
        <v>0.12943909724527036</v>
      </c>
      <c r="D92" s="33">
        <f>IFERROR(IF(OR(ABS(Inputs!D246)&lt;0.5,D91*Inputs!D246&lt;0),"n/m",D91/Inputs!D246-1),"n/a")</f>
        <v>0.32373589636439615</v>
      </c>
      <c r="E92" s="33">
        <f>IFERROR(IF(OR(ABS(Inputs!E246)&lt;0.5,E91*Inputs!E246&lt;0),"n/m",E91/Inputs!E246-1),"n/a")</f>
        <v>0.16062556270632555</v>
      </c>
      <c r="F92" s="33">
        <f>IFERROR(IF(OR(ABS(Inputs!F246)&lt;0.5,F91*Inputs!F246&lt;0),"n/m",F91/Inputs!F246-1),"n/a")</f>
        <v>0.28537275237389736</v>
      </c>
      <c r="G92" s="33">
        <f>IFERROR(IF(OR(ABS(Inputs!G246)&lt;0.5,G91*Inputs!G246&lt;0),"n/m",G91/Inputs!G246-1),"n/a")</f>
        <v>0.22700271230469493</v>
      </c>
      <c r="H92" s="19">
        <f>IFERROR(IF(OR(ABS(C91)&lt;0.5,H91*C91&lt;0),"n/m",H91/C91-1),"n/a")</f>
        <v>0.3853322698459347</v>
      </c>
      <c r="I92" s="19">
        <f>IFERROR(IF(OR(ABS(D91)&lt;0.5,I91*D91&lt;0),"n/m",I91/D91-1),"n/a")</f>
        <v>0.12384379833948955</v>
      </c>
      <c r="J92" s="46">
        <f>IFERROR(IF(OR(ABS(E91)&lt;0.5,J91*E91&lt;0),"n/m",J91/E91-1),"n/a")</f>
        <v>-0.04615893038465879</v>
      </c>
      <c r="K92" s="45"/>
    </row>
    <row r="93">
      <c r="B93" s="42" t="s">
        <v>118</v>
      </c>
      <c r="C93" s="4">
        <f>IFERROR(C91-Inputs!F246,"n/a")</f>
        <v>-5.8770000000000024</v>
      </c>
      <c r="D93" s="20">
        <f>IFERROR(D91-C91,"n/a")</f>
        <v>7.856000000000002</v>
      </c>
      <c r="E93" s="20">
        <f>IFERROR(E91-D91,"n/a")</f>
        <v>3.128999999999998</v>
      </c>
      <c r="F93" s="20">
        <f>IFERROR(F91-E91,"n/a")</f>
        <v>3.3670000000000044</v>
      </c>
      <c r="G93" s="20" t="s">
        <v>34</v>
      </c>
      <c r="H93" s="20">
        <f>IFERROR(H91-F91,"n/a")</f>
        <v>-5.172999999999995</v>
      </c>
      <c r="I93" s="20">
        <f>IFERROR(I91-H91,"n/a")</f>
        <v>2.6000000000000014</v>
      </c>
      <c r="J93" s="48">
        <f>IFERROR(J91-I91,"n/a")</f>
        <v>-2.4006077309684457</v>
      </c>
      <c r="K93" s="45"/>
    </row>
    <row r="94">
      <c r="B94" s="30" t="s">
        <v>261</v>
      </c>
      <c r="C94" s="19">
        <f>C91/C77</f>
        <v>0.2815088809841761</v>
      </c>
      <c r="D94" s="19">
        <f>D91/D77</f>
        <v>0.3562776259405473</v>
      </c>
      <c r="E94" s="19">
        <f>E91/E77</f>
        <v>0.3861969486823855</v>
      </c>
      <c r="F94" s="19">
        <f>F91/F77</f>
        <v>0.42292266784843785</v>
      </c>
      <c r="G94" s="19">
        <f>G91/G77</f>
        <v>0.3630165435203368</v>
      </c>
      <c r="H94" s="19">
        <f>H91/H77</f>
        <v>0.35908596300326445</v>
      </c>
      <c r="I94" s="19">
        <f>I91/I77</f>
        <v>0.3873775843307944</v>
      </c>
      <c r="J94" s="46">
        <f>J91/J77</f>
        <v>0.3581403443582511</v>
      </c>
      <c r="K94" s="45"/>
    </row>
    <row r="95">
      <c r="B95" s="49" t="s">
        <v>120</v>
      </c>
      <c r="C95" s="47">
        <f>IFERROR((C94-Inputs!C250)*10000,"n/a")</f>
        <v>107.08716637198523</v>
      </c>
      <c r="D95" s="47">
        <f>IFERROR((D94-Inputs!D250)*10000,"n/a")</f>
        <v>566.094774213563</v>
      </c>
      <c r="E95" s="47">
        <f>IFERROR((E94-Inputs!E250)*10000,"n/a")</f>
        <v>276.6126727449725</v>
      </c>
      <c r="F95" s="47">
        <f>IFERROR((F94-Inputs!F250)*10000,"n/a")</f>
        <v>744.323077174811</v>
      </c>
      <c r="G95" s="47">
        <f>IFERROR((G94-Inputs!G250)*10000,"n/a")</f>
        <v>424.17402672635774</v>
      </c>
      <c r="H95" s="62">
        <f>IFERROR((H94-C94)*10000,"n/a")</f>
        <v>775.7708201908836</v>
      </c>
      <c r="I95" s="62">
        <f>IFERROR((I94-D94)*10000,"n/a")</f>
        <v>310.99958390247093</v>
      </c>
      <c r="J95" s="64">
        <f>IFERROR((J94-E94)*10000,"n/a")</f>
        <v>-280.5660432413443</v>
      </c>
      <c r="K95" s="45"/>
    </row>
    <row r="96">
      <c r="B96" s="49" t="s">
        <v>121</v>
      </c>
      <c r="C96" s="47">
        <f>IFERROR((C94-Inputs!F250)*10000,"n/a")</f>
        <v>-669.8147914678066</v>
      </c>
      <c r="D96" s="62">
        <f>IFERROR((D94-C94)*10000,"n/a")</f>
        <v>747.687449563712</v>
      </c>
      <c r="E96" s="62">
        <f>IFERROR((E94-D94)*10000,"n/a")</f>
        <v>299.19322741838226</v>
      </c>
      <c r="F96" s="62">
        <f>IFERROR((F94-E94)*10000,"n/a")</f>
        <v>367.2571916605233</v>
      </c>
      <c r="G96" s="62" t="s">
        <v>34</v>
      </c>
      <c r="H96" s="62">
        <f>IFERROR((H94-F94)*10000,"n/a")</f>
        <v>-638.3670484517339</v>
      </c>
      <c r="I96" s="62">
        <f>IFERROR((I94-H94)*10000,"n/a")</f>
        <v>282.91621327529936</v>
      </c>
      <c r="J96" s="64">
        <f>IFERROR((J94-I94)*10000,"n/a")</f>
        <v>-292.37239972543296</v>
      </c>
      <c r="K96" s="45"/>
    </row>
    <row r="97">
      <c r="B97" s="30" t="s">
        <v>262</v>
      </c>
      <c r="C97" s="19">
        <f>C88/C77</f>
        <v>0.7184911190158239</v>
      </c>
      <c r="D97" s="19">
        <f>D88/D77</f>
        <v>0.6437223740594528</v>
      </c>
      <c r="E97" s="19">
        <f>E88/E77</f>
        <v>0.6138030513176145</v>
      </c>
      <c r="F97" s="19">
        <f>F88/F77</f>
        <v>0.5770773321515622</v>
      </c>
      <c r="G97" s="19">
        <f>G88/G77</f>
        <v>0.6369834564796633</v>
      </c>
      <c r="H97" s="19">
        <f>H88/H77</f>
        <v>0.6409140369967355</v>
      </c>
      <c r="I97" s="19">
        <f>I88/I77</f>
        <v>0.6126224156692056</v>
      </c>
      <c r="J97" s="46">
        <f>J88/J77</f>
        <v>0.641859655641749</v>
      </c>
      <c r="K97" s="45"/>
    </row>
    <row r="98">
      <c r="B98" s="49" t="s">
        <v>120</v>
      </c>
      <c r="C98" s="47">
        <f>IFERROR((C97-Inputs!C251)*10000,"n/a")</f>
        <v>-107.08716637198634</v>
      </c>
      <c r="D98" s="47">
        <f>IFERROR((D97-Inputs!D251)*10000,"n/a")</f>
        <v>-566.0947742135625</v>
      </c>
      <c r="E98" s="47">
        <f>IFERROR((E97-Inputs!E251)*10000,"n/a")</f>
        <v>-276.6126727449725</v>
      </c>
      <c r="F98" s="47">
        <f>IFERROR((F97-Inputs!F251)*10000,"n/a")</f>
        <v>-744.3230771748099</v>
      </c>
      <c r="G98" s="47">
        <f>IFERROR((G97-Inputs!G251)*10000,"n/a")</f>
        <v>-424.17402672635717</v>
      </c>
      <c r="H98" s="62">
        <f>IFERROR((H97-C97)*10000,"n/a")</f>
        <v>-775.7708201908831</v>
      </c>
      <c r="I98" s="62">
        <f>IFERROR((I97-D97)*10000,"n/a")</f>
        <v>-310.9995839024715</v>
      </c>
      <c r="J98" s="64">
        <f>IFERROR((J97-E97)*10000,"n/a")</f>
        <v>280.5660432413448</v>
      </c>
      <c r="K98" s="45"/>
    </row>
    <row r="99">
      <c r="B99" s="49" t="s">
        <v>121</v>
      </c>
      <c r="C99" s="47">
        <f>IFERROR((C97-Inputs!F251)*10000,"n/a")</f>
        <v>669.8147914678066</v>
      </c>
      <c r="D99" s="62">
        <f>IFERROR((D97-C97)*10000,"n/a")</f>
        <v>-747.687449563711</v>
      </c>
      <c r="E99" s="62">
        <f>IFERROR((E97-D97)*10000,"n/a")</f>
        <v>-299.19322741838283</v>
      </c>
      <c r="F99" s="62">
        <f>IFERROR((F97-E97)*10000,"n/a")</f>
        <v>-367.2571916605227</v>
      </c>
      <c r="G99" s="62" t="s">
        <v>34</v>
      </c>
      <c r="H99" s="62">
        <f>IFERROR((H97-F97)*10000,"n/a")</f>
        <v>638.3670484517335</v>
      </c>
      <c r="I99" s="62">
        <f>IFERROR((I97-H97)*10000,"n/a")</f>
        <v>-282.91621327529936</v>
      </c>
      <c r="J99" s="64">
        <f>IFERROR((J97-I97)*10000,"n/a")</f>
        <v>292.3723997254335</v>
      </c>
      <c r="K99" s="45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1:K11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272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156</v>
      </c>
      <c r="C9" s="10"/>
      <c r="D9" s="10"/>
      <c r="E9" s="10"/>
      <c r="F9" s="10"/>
      <c r="G9" s="10"/>
      <c r="H9" s="10"/>
      <c r="I9" s="10"/>
      <c r="J9" s="51"/>
      <c r="K9" s="45" t="s">
        <v>157</v>
      </c>
    </row>
    <row r="10">
      <c r="B10" s="2" t="s">
        <v>158</v>
      </c>
      <c r="C10" s="4">
        <f>Inputs!F259</f>
        <v>266.719</v>
      </c>
      <c r="D10" s="20">
        <f>C26</f>
        <v>273.507</v>
      </c>
      <c r="E10" s="20">
        <f>D26</f>
        <v>280.313</v>
      </c>
      <c r="F10" s="20">
        <f>E26</f>
        <v>285.418</v>
      </c>
      <c r="G10" s="20">
        <f>C10</f>
        <v>266.719</v>
      </c>
      <c r="H10" s="20">
        <f>F26</f>
        <v>291.993</v>
      </c>
      <c r="I10" s="20">
        <f>H26</f>
        <v>296.4</v>
      </c>
      <c r="J10" s="48">
        <f>I26</f>
        <v>302.6</v>
      </c>
      <c r="K10" s="45" t="s">
        <v>159</v>
      </c>
    </row>
    <row r="11">
      <c r="B11" s="49" t="s">
        <v>150</v>
      </c>
      <c r="C11" s="19" t="s">
        <v>34</v>
      </c>
      <c r="D11" s="98">
        <f>IFERROR(IF(OR(ABS(Inputs!C259)&lt;0.5,D10*Inputs!C259&lt;0),"n/m",D10/Inputs!C259-1),"n/a")</f>
        <v>0.07497091560809976</v>
      </c>
      <c r="E11" s="98">
        <f>IFERROR(IF(OR(ABS(Inputs!D259)&lt;0.5,E10*Inputs!D259&lt;0),"n/m",E10/Inputs!D259-1),"n/a")</f>
        <v>0.0758263098911558</v>
      </c>
      <c r="F11" s="98">
        <f>IFERROR(IF(OR(ABS(Inputs!E259)&lt;0.5,F10*Inputs!E259&lt;0),"n/m",F10/Inputs!E259-1),"n/a")</f>
        <v>0.06270455027794641</v>
      </c>
      <c r="G11" s="19" t="s">
        <v>34</v>
      </c>
      <c r="H11" s="19">
        <f>IFERROR(IF(OR(ABS(C10)&lt;0.5,H10*C10&lt;0),"n/m",H10/C10-1),"n/a")</f>
        <v>0.09475890356517525</v>
      </c>
      <c r="I11" s="19">
        <f>IFERROR(IF(OR(ABS(D10)&lt;0.5,I10*D10&lt;0),"n/m",I10/D10-1),"n/a")</f>
        <v>0.08370169684870943</v>
      </c>
      <c r="J11" s="46">
        <f>IFERROR(IF(OR(ABS(E10)&lt;0.5,J10*E10&lt;0),"n/m",J10/E10-1),"n/a")</f>
        <v>0.07950755048820435</v>
      </c>
      <c r="K11" s="45" t="s">
        <v>160</v>
      </c>
    </row>
    <row r="12">
      <c r="B12" s="42" t="s">
        <v>118</v>
      </c>
      <c r="C12" s="20" t="s">
        <v>34</v>
      </c>
      <c r="D12" s="20">
        <f>IFERROR(D10-C10,"n/a")</f>
        <v>6.788000000000011</v>
      </c>
      <c r="E12" s="20">
        <f>IFERROR(E10-D10,"n/a")</f>
        <v>6.805999999999983</v>
      </c>
      <c r="F12" s="20">
        <f>IFERROR(F10-E10,"n/a")</f>
        <v>5.105000000000018</v>
      </c>
      <c r="G12" s="20" t="s">
        <v>34</v>
      </c>
      <c r="H12" s="20">
        <f>IFERROR(H10-F10,"n/a")</f>
        <v>6.574999999999989</v>
      </c>
      <c r="I12" s="20">
        <f>IFERROR(I10-H10,"n/a")</f>
        <v>4.406999999999982</v>
      </c>
      <c r="J12" s="48">
        <f>IFERROR(J10-I10,"n/a")</f>
        <v>6.2000000000000455</v>
      </c>
      <c r="K12" s="45"/>
    </row>
    <row r="13">
      <c r="B13" s="2" t="s">
        <v>161</v>
      </c>
      <c r="C13" s="12">
        <v>9.708</v>
      </c>
      <c r="D13" s="12">
        <v>9.869</v>
      </c>
      <c r="E13" s="12">
        <v>9.693</v>
      </c>
      <c r="F13" s="12">
        <v>13.502</v>
      </c>
      <c r="G13" s="20">
        <f>SUM(C13:F13)</f>
        <v>42.772</v>
      </c>
      <c r="H13" s="12">
        <v>10.2</v>
      </c>
      <c r="I13" s="12">
        <v>10.8</v>
      </c>
      <c r="J13" s="53">
        <v>10.5</v>
      </c>
      <c r="K13" s="45" t="s">
        <v>162</v>
      </c>
    </row>
    <row r="14">
      <c r="B14" s="49" t="s">
        <v>150</v>
      </c>
      <c r="C14" s="9">
        <v>0.175</v>
      </c>
      <c r="D14" s="9">
        <v>-0.153</v>
      </c>
      <c r="E14" s="9">
        <v>-0.027000000000000003</v>
      </c>
      <c r="F14" s="9">
        <v>0.241</v>
      </c>
      <c r="G14" s="9">
        <v>0.049</v>
      </c>
      <c r="H14" s="19">
        <f>IFERROR(IF(OR(ABS(C13)&lt;0.5,H13*C13&lt;0),"n/m",H13/C13-1),"n/a")</f>
        <v>0.050679851668726794</v>
      </c>
      <c r="I14" s="19">
        <f>IFERROR(IF(OR(ABS(D13)&lt;0.5,I13*D13&lt;0),"n/m",I13/D13-1),"n/a")</f>
        <v>0.09433579896646083</v>
      </c>
      <c r="J14" s="46">
        <f>IFERROR(IF(OR(ABS(E13)&lt;0.5,J13*E13&lt;0),"n/m",J13/E13-1),"n/a")</f>
        <v>0.08325595790776852</v>
      </c>
      <c r="K14" s="45"/>
    </row>
    <row r="15">
      <c r="B15" s="42" t="s">
        <v>118</v>
      </c>
      <c r="C15" s="20" t="s">
        <v>34</v>
      </c>
      <c r="D15" s="20">
        <f>IFERROR(D13-C13,"n/a")</f>
        <v>0.1609999999999996</v>
      </c>
      <c r="E15" s="20">
        <f>IFERROR(E13-D13,"n/a")</f>
        <v>-0.17600000000000016</v>
      </c>
      <c r="F15" s="20">
        <f>IFERROR(F13-E13,"n/a")</f>
        <v>3.809000000000001</v>
      </c>
      <c r="G15" s="20" t="s">
        <v>34</v>
      </c>
      <c r="H15" s="20">
        <f>IFERROR(H13-F13,"n/a")</f>
        <v>-3.3020000000000014</v>
      </c>
      <c r="I15" s="20">
        <f>IFERROR(I13-H13,"n/a")</f>
        <v>0.6000000000000014</v>
      </c>
      <c r="J15" s="48">
        <f>IFERROR(J13-I13,"n/a")</f>
        <v>-0.3000000000000007</v>
      </c>
      <c r="K15" s="45"/>
    </row>
    <row r="16">
      <c r="B16" s="2" t="s">
        <v>163</v>
      </c>
      <c r="C16" s="12">
        <v>-5.64</v>
      </c>
      <c r="D16" s="12">
        <v>-5.858</v>
      </c>
      <c r="E16" s="12">
        <v>-4.458</v>
      </c>
      <c r="F16" s="12">
        <v>-7.185</v>
      </c>
      <c r="G16" s="20">
        <f>SUM(C16:F16)</f>
        <v>-23.141</v>
      </c>
      <c r="H16" s="12">
        <v>-4.5</v>
      </c>
      <c r="I16" s="12">
        <v>-4.5</v>
      </c>
      <c r="J16" s="53">
        <v>-4.5</v>
      </c>
      <c r="K16" s="45" t="s">
        <v>164</v>
      </c>
    </row>
    <row r="17">
      <c r="B17" s="49" t="s">
        <v>150</v>
      </c>
      <c r="C17" s="9">
        <v>0.146</v>
      </c>
      <c r="D17" s="9">
        <v>0.05</v>
      </c>
      <c r="E17" s="9">
        <v>-0.033</v>
      </c>
      <c r="F17" s="9">
        <v>-0.162</v>
      </c>
      <c r="G17" s="9">
        <v>-0.023</v>
      </c>
      <c r="H17" s="19">
        <f>IFERROR(IF(OR(ABS(C16)&lt;0.5,H16*C16&lt;0),"n/m",H16/C16-1),"n/a")</f>
        <v>-0.202127659574468</v>
      </c>
      <c r="I17" s="19">
        <f>IFERROR(IF(OR(ABS(D16)&lt;0.5,I16*D16&lt;0),"n/m",I16/D16-1),"n/a")</f>
        <v>-0.23181973369750764</v>
      </c>
      <c r="J17" s="46">
        <f>IFERROR(IF(OR(ABS(E16)&lt;0.5,J16*E16&lt;0),"n/m",J16/E16-1),"n/a")</f>
        <v>0.009421265141319024</v>
      </c>
      <c r="K17" s="45"/>
    </row>
    <row r="18">
      <c r="B18" s="42" t="s">
        <v>118</v>
      </c>
      <c r="C18" s="20" t="s">
        <v>34</v>
      </c>
      <c r="D18" s="20">
        <f>IFERROR(D16-C16,"n/a")</f>
        <v>-0.21799999999999997</v>
      </c>
      <c r="E18" s="20">
        <f>IFERROR(E16-D16,"n/a")</f>
        <v>1.3999999999999995</v>
      </c>
      <c r="F18" s="20">
        <f>IFERROR(F16-E16,"n/a")</f>
        <v>-2.7269999999999994</v>
      </c>
      <c r="G18" s="20" t="s">
        <v>34</v>
      </c>
      <c r="H18" s="20">
        <f>IFERROR(H16-F16,"n/a")</f>
        <v>2.6849999999999996</v>
      </c>
      <c r="I18" s="20">
        <f>IFERROR(I16-H16,"n/a")</f>
        <v>0</v>
      </c>
      <c r="J18" s="48">
        <f>IFERROR(J16-I16,"n/a")</f>
        <v>0</v>
      </c>
      <c r="K18" s="45"/>
    </row>
    <row r="19">
      <c r="B19" s="24" t="s">
        <v>165</v>
      </c>
      <c r="C19" s="60">
        <f>C13+C16</f>
        <v>4.0680000000000005</v>
      </c>
      <c r="D19" s="60">
        <f>D13+D16</f>
        <v>4.011</v>
      </c>
      <c r="E19" s="60">
        <f>E13+E16</f>
        <v>5.234999999999999</v>
      </c>
      <c r="F19" s="60">
        <f>F13+F16</f>
        <v>6.317000000000001</v>
      </c>
      <c r="G19" s="60">
        <f>G13+G16</f>
        <v>19.631</v>
      </c>
      <c r="H19" s="60">
        <f>H13+H16</f>
        <v>5.699999999999999</v>
      </c>
      <c r="I19" s="60">
        <f>I13+I16</f>
        <v>6.300000000000001</v>
      </c>
      <c r="J19" s="50">
        <f>J13+J16</f>
        <v>6</v>
      </c>
      <c r="K19" s="45"/>
    </row>
    <row r="20">
      <c r="B20" s="49" t="s">
        <v>150</v>
      </c>
      <c r="C20" s="9">
        <v>0.217</v>
      </c>
      <c r="D20" s="9">
        <v>-0.34</v>
      </c>
      <c r="E20" s="9">
        <v>-0.021</v>
      </c>
      <c r="F20" s="9">
        <v>1.737</v>
      </c>
      <c r="G20" s="9">
        <v>0.15</v>
      </c>
      <c r="H20" s="19">
        <f>IFERROR(IF(OR(ABS(C19)&lt;0.5,H19*C19&lt;0),"n/m",H19/C19-1),"n/a")</f>
        <v>0.4011799410029495</v>
      </c>
      <c r="I20" s="19">
        <f>IFERROR(IF(OR(ABS(D19)&lt;0.5,I19*D19&lt;0),"n/m",I19/D19-1),"n/a")</f>
        <v>0.5706806282722514</v>
      </c>
      <c r="J20" s="46">
        <f>IFERROR(IF(OR(ABS(E19)&lt;0.5,J19*E19&lt;0),"n/m",J19/E19-1),"n/a")</f>
        <v>0.14613180515759328</v>
      </c>
      <c r="K20" s="45"/>
    </row>
    <row r="21">
      <c r="B21" s="42" t="s">
        <v>118</v>
      </c>
      <c r="C21" s="20" t="s">
        <v>34</v>
      </c>
      <c r="D21" s="20">
        <f>IFERROR(D19-C19,"n/a")</f>
        <v>-0.057000000000000384</v>
      </c>
      <c r="E21" s="20">
        <f>IFERROR(E19-D19,"n/a")</f>
        <v>1.2239999999999993</v>
      </c>
      <c r="F21" s="20">
        <f>IFERROR(F19-E19,"n/a")</f>
        <v>1.0820000000000016</v>
      </c>
      <c r="G21" s="20" t="s">
        <v>34</v>
      </c>
      <c r="H21" s="20">
        <f>IFERROR(H19-F19,"n/a")</f>
        <v>-0.6170000000000018</v>
      </c>
      <c r="I21" s="20">
        <f>IFERROR(I19-H19,"n/a")</f>
        <v>0.6000000000000014</v>
      </c>
      <c r="J21" s="48">
        <f>IFERROR(J19-I19,"n/a")</f>
        <v>-0.3000000000000007</v>
      </c>
      <c r="K21" s="45"/>
    </row>
    <row r="22">
      <c r="B22" s="2" t="s">
        <v>166</v>
      </c>
      <c r="C22" s="20" t="s">
        <v>34</v>
      </c>
      <c r="D22" s="20" t="s">
        <v>34</v>
      </c>
      <c r="E22" s="20" t="s">
        <v>34</v>
      </c>
      <c r="F22" s="20" t="s">
        <v>34</v>
      </c>
      <c r="G22" s="20" t="s">
        <v>34</v>
      </c>
      <c r="H22" s="20" t="s">
        <v>34</v>
      </c>
      <c r="I22" s="20" t="s">
        <v>34</v>
      </c>
      <c r="J22" s="53">
        <v>0</v>
      </c>
      <c r="K22" s="45" t="s">
        <v>273</v>
      </c>
    </row>
    <row r="23">
      <c r="B23" s="2" t="s">
        <v>168</v>
      </c>
      <c r="C23" s="20">
        <f>C26-C10-C19</f>
        <v>2.7200000000000104</v>
      </c>
      <c r="D23" s="20">
        <f>D26-D10-D19</f>
        <v>2.794999999999983</v>
      </c>
      <c r="E23" s="20">
        <f>E26-E10-E19</f>
        <v>-0.12999999999998124</v>
      </c>
      <c r="F23" s="20">
        <f>F26-F10-F19</f>
        <v>0.2579999999999876</v>
      </c>
      <c r="G23" s="20">
        <f>SUM(C23:F23)</f>
        <v>5.643</v>
      </c>
      <c r="H23" s="20">
        <f>H26-H10-H19</f>
        <v>-1.293000000000017</v>
      </c>
      <c r="I23" s="20">
        <f>I26-I10-I19</f>
        <v>-0.09999999999995524</v>
      </c>
      <c r="J23" s="53">
        <v>0</v>
      </c>
      <c r="K23" s="45" t="s">
        <v>169</v>
      </c>
    </row>
    <row r="24">
      <c r="B24" s="49" t="s">
        <v>150</v>
      </c>
      <c r="C24" s="19" t="s">
        <v>34</v>
      </c>
      <c r="D24" s="19" t="s">
        <v>34</v>
      </c>
      <c r="E24" s="19" t="s">
        <v>34</v>
      </c>
      <c r="F24" s="19" t="s">
        <v>34</v>
      </c>
      <c r="G24" s="19" t="s">
        <v>34</v>
      </c>
      <c r="H24" s="19" t="str">
        <f>IFERROR(IF(OR(ABS(C23)&lt;0.5,H23*C23&lt;0),"n/m",H23/C23-1),"n/a")</f>
        <v>n/m</v>
      </c>
      <c r="I24" s="19" t="str">
        <f>IFERROR(IF(OR(ABS(D23)&lt;0.5,I23*D23&lt;0),"n/m",I23/D23-1),"n/a")</f>
        <v>n/m</v>
      </c>
      <c r="J24" s="46" t="str">
        <f>IFERROR(IF(OR(J23=0,E23&lt;=0,ABS(E23)&lt;0.5,J23*E23&lt;0),"n/m",J23/E23-1),"n/a")</f>
        <v>n/m</v>
      </c>
      <c r="K24" s="45" t="s">
        <v>170</v>
      </c>
    </row>
    <row r="25">
      <c r="B25" s="42" t="s">
        <v>118</v>
      </c>
      <c r="C25" s="20" t="s">
        <v>34</v>
      </c>
      <c r="D25" s="20">
        <f>IFERROR(D23-C23,"n/a")</f>
        <v>0.07499999999997264</v>
      </c>
      <c r="E25" s="20">
        <f>IFERROR(E23-D23,"n/a")</f>
        <v>-2.9249999999999643</v>
      </c>
      <c r="F25" s="20">
        <f>IFERROR(F23-E23,"n/a")</f>
        <v>0.3879999999999688</v>
      </c>
      <c r="G25" s="20" t="s">
        <v>34</v>
      </c>
      <c r="H25" s="20">
        <f>IFERROR(H23-F23,"n/a")</f>
        <v>-1.5510000000000046</v>
      </c>
      <c r="I25" s="20">
        <f>IFERROR(I23-H23,"n/a")</f>
        <v>1.1930000000000618</v>
      </c>
      <c r="J25" s="48">
        <f>IFERROR(J23-I23,"n/a")</f>
        <v>0.09999999999995524</v>
      </c>
      <c r="K25" s="45"/>
    </row>
    <row r="26">
      <c r="B26" s="24" t="s">
        <v>171</v>
      </c>
      <c r="C26" s="44">
        <v>273.507</v>
      </c>
      <c r="D26" s="44">
        <v>280.313</v>
      </c>
      <c r="E26" s="44">
        <v>285.418</v>
      </c>
      <c r="F26" s="44">
        <v>291.993</v>
      </c>
      <c r="G26" s="60">
        <f>F26</f>
        <v>291.993</v>
      </c>
      <c r="H26" s="44">
        <v>296.4</v>
      </c>
      <c r="I26" s="44">
        <v>302.6</v>
      </c>
      <c r="J26" s="50">
        <f>J10+J19+J22+J23</f>
        <v>308.6</v>
      </c>
      <c r="K26" s="45" t="s">
        <v>172</v>
      </c>
    </row>
    <row r="27">
      <c r="B27" s="49" t="s">
        <v>150</v>
      </c>
      <c r="C27" s="33">
        <f>IFERROR(IF(OR(ABS(Inputs!C259)&lt;0.5,C26*Inputs!C259&lt;0),"n/m",C26/Inputs!C259-1),"n/a")</f>
        <v>0.07497091560809976</v>
      </c>
      <c r="D27" s="33">
        <f>IFERROR(IF(OR(ABS(Inputs!D259)&lt;0.5,D26*Inputs!D259&lt;0),"n/m",D26/Inputs!D259-1),"n/a")</f>
        <v>0.0758263098911558</v>
      </c>
      <c r="E27" s="33">
        <f>IFERROR(IF(OR(ABS(Inputs!E259)&lt;0.5,E26*Inputs!E259&lt;0),"n/m",E26/Inputs!E259-1),"n/a")</f>
        <v>0.06270455027794641</v>
      </c>
      <c r="F27" s="33">
        <f>IFERROR(IF(OR(ABS(Inputs!F259)&lt;0.5,F26*Inputs!F259&lt;0),"n/m",F26/Inputs!F259-1),"n/a")</f>
        <v>0.09475890356517525</v>
      </c>
      <c r="G27" s="33">
        <f>IFERROR(IF(OR(ABS(Inputs!G259)&lt;0.5,G26*Inputs!G259&lt;0),"n/m",G26/Inputs!G259-1),"n/a")</f>
        <v>0.09475890356517525</v>
      </c>
      <c r="H27" s="19">
        <f>IFERROR(IF(OR(ABS(C26)&lt;0.5,H26*C26&lt;0),"n/m",H26/C26-1),"n/a")</f>
        <v>0.08370169684870943</v>
      </c>
      <c r="I27" s="19">
        <f>IFERROR(IF(OR(ABS(D26)&lt;0.5,I26*D26&lt;0),"n/m",I26/D26-1),"n/a")</f>
        <v>0.07950755048820435</v>
      </c>
      <c r="J27" s="46">
        <f>IFERROR(IF(OR(ABS(E26)&lt;0.5,J26*E26&lt;0),"n/m",J26/E26-1),"n/a")</f>
        <v>0.08122122641178908</v>
      </c>
      <c r="K27" s="45"/>
    </row>
    <row r="28">
      <c r="B28" s="42" t="s">
        <v>118</v>
      </c>
      <c r="C28" s="4">
        <f>IFERROR(C26-Inputs!F259,"n/a")</f>
        <v>6.788000000000011</v>
      </c>
      <c r="D28" s="20">
        <f>IFERROR(D26-C26,"n/a")</f>
        <v>6.805999999999983</v>
      </c>
      <c r="E28" s="20">
        <f>IFERROR(E26-D26,"n/a")</f>
        <v>5.105000000000018</v>
      </c>
      <c r="F28" s="20">
        <f>IFERROR(F26-E26,"n/a")</f>
        <v>6.574999999999989</v>
      </c>
      <c r="G28" s="20" t="s">
        <v>34</v>
      </c>
      <c r="H28" s="20">
        <f>IFERROR(H26-F26,"n/a")</f>
        <v>4.406999999999982</v>
      </c>
      <c r="I28" s="20">
        <f>IFERROR(I26-H26,"n/a")</f>
        <v>6.2000000000000455</v>
      </c>
      <c r="J28" s="48">
        <f>IFERROR(J26-I26,"n/a")</f>
        <v>6</v>
      </c>
      <c r="K28" s="45"/>
    </row>
    <row r="29">
      <c r="B29" s="2" t="s">
        <v>173</v>
      </c>
      <c r="C29" s="20">
        <f>AVERAGE(C10,C26)</f>
        <v>270.113</v>
      </c>
      <c r="D29" s="20">
        <f>AVERAGE(D10,D26)</f>
        <v>276.90999999999997</v>
      </c>
      <c r="E29" s="20">
        <f>AVERAGE(E10,E26)</f>
        <v>282.8655</v>
      </c>
      <c r="F29" s="20">
        <f>AVERAGE(F10,F26)</f>
        <v>288.70550000000003</v>
      </c>
      <c r="G29" s="20">
        <f>AVERAGE(C29,D29,E29,F29)</f>
        <v>279.6485</v>
      </c>
      <c r="H29" s="20">
        <f>AVERAGE(H10,H26)</f>
        <v>294.1965</v>
      </c>
      <c r="I29" s="20">
        <f>AVERAGE(I10,I26)</f>
        <v>299.5</v>
      </c>
      <c r="J29" s="48">
        <f>AVERAGE(J10,J26)</f>
        <v>305.6</v>
      </c>
      <c r="K29" s="45"/>
    </row>
    <row r="30">
      <c r="B30" s="49" t="s">
        <v>150</v>
      </c>
      <c r="C30" s="19" t="s">
        <v>34</v>
      </c>
      <c r="D30" s="98">
        <f>IFERROR(IF(COUNT(Inputs!C259,Inputs!D259)&lt;2,"n/a",IF(OR(ABS((Inputs!C259+Inputs!D259)/2)&lt;0.5,D29*(Inputs!C259+Inputs!D259)&lt;0),"n/m",D29/((Inputs!C259+Inputs!D259)/2)-1)),"n/a")</f>
        <v>0.07540369872696062</v>
      </c>
      <c r="E30" s="98">
        <f>IFERROR(IF(COUNT(Inputs!D259,Inputs!E259)&lt;2,"n/a",IF(OR(ABS((Inputs!D259+Inputs!E259)/2)&lt;0.5,E29*(Inputs!D259+Inputs!E259)&lt;0),"n/m",E29/((Inputs!D259+Inputs!E259)/2)-1)),"n/a")</f>
        <v>0.06916597528409674</v>
      </c>
      <c r="F30" s="98">
        <f>IFERROR(IF(COUNT(Inputs!E259,Inputs!F259)&lt;2,"n/a",IF(OR(ABS((Inputs!E259+Inputs!F259)/2)&lt;0.5,F29*(Inputs!E259+Inputs!F259)&lt;0),"n/m",F29/((Inputs!E259+Inputs!F259)/2)-1)),"n/a")</f>
        <v>0.07867609696317546</v>
      </c>
      <c r="G30" s="19" t="s">
        <v>34</v>
      </c>
      <c r="H30" s="19">
        <f>IFERROR(IF(OR(ABS(C29)&lt;0.5,H29*C29&lt;0),"n/m",H29/C29-1),"n/a")</f>
        <v>0.08916083268854158</v>
      </c>
      <c r="I30" s="19">
        <f>IFERROR(IF(OR(ABS(D29)&lt;0.5,I29*D29&lt;0),"n/m",I29/D29-1),"n/a")</f>
        <v>0.08157885233469364</v>
      </c>
      <c r="J30" s="46">
        <f>IFERROR(IF(OR(ABS(E29)&lt;0.5,J29*E29&lt;0),"n/m",J29/E29-1),"n/a")</f>
        <v>0.08037212031866736</v>
      </c>
      <c r="K30" s="45" t="s">
        <v>174</v>
      </c>
    </row>
    <row r="31">
      <c r="B31" s="42" t="s">
        <v>118</v>
      </c>
      <c r="C31" s="20" t="s">
        <v>34</v>
      </c>
      <c r="D31" s="20">
        <f>IFERROR(D29-C29,"n/a")</f>
        <v>6.796999999999969</v>
      </c>
      <c r="E31" s="20">
        <f>IFERROR(E29-D29,"n/a")</f>
        <v>5.955500000000029</v>
      </c>
      <c r="F31" s="20">
        <f>IFERROR(F29-E29,"n/a")</f>
        <v>5.840000000000032</v>
      </c>
      <c r="G31" s="20" t="s">
        <v>34</v>
      </c>
      <c r="H31" s="20">
        <f>IFERROR(H29-F29,"n/a")</f>
        <v>5.4909999999999854</v>
      </c>
      <c r="I31" s="20">
        <f>IFERROR(I29-H29,"n/a")</f>
        <v>5.3034999999999854</v>
      </c>
      <c r="J31" s="48">
        <f>IFERROR(J29-I29,"n/a")</f>
        <v>6.100000000000023</v>
      </c>
      <c r="K31" s="45"/>
    </row>
    <row r="32">
      <c r="B32" s="24" t="s">
        <v>175</v>
      </c>
      <c r="C32" s="10"/>
      <c r="D32" s="10"/>
      <c r="E32" s="10"/>
      <c r="F32" s="10"/>
      <c r="G32" s="10"/>
      <c r="H32" s="10"/>
      <c r="I32" s="10"/>
      <c r="J32" s="51"/>
      <c r="K32" s="45" t="s">
        <v>176</v>
      </c>
    </row>
    <row r="33">
      <c r="B33" s="2" t="s">
        <v>274</v>
      </c>
      <c r="C33" s="12">
        <v>157.3</v>
      </c>
      <c r="D33" s="12">
        <v>161.1</v>
      </c>
      <c r="E33" s="12">
        <v>161.8</v>
      </c>
      <c r="F33" s="12">
        <v>163.1</v>
      </c>
      <c r="G33" s="20">
        <f>F33</f>
        <v>163.1</v>
      </c>
      <c r="H33" s="12">
        <v>162.1</v>
      </c>
      <c r="I33" s="12">
        <v>164</v>
      </c>
      <c r="J33" s="48">
        <f>J26*I33/I26</f>
        <v>167.25181758096497</v>
      </c>
      <c r="K33" s="45" t="s">
        <v>178</v>
      </c>
    </row>
    <row r="34">
      <c r="B34" s="49" t="s">
        <v>150</v>
      </c>
      <c r="C34" s="33" t="str">
        <f>IFERROR(IF(OR(ABS(Inputs!C264)&lt;0.5,C33*Inputs!C264&lt;0),"n/m",C33/Inputs!C264-1),"n/a")</f>
        <v>n/a</v>
      </c>
      <c r="D34" s="33" t="str">
        <f>IFERROR(IF(OR(ABS(Inputs!D264)&lt;0.5,D33*Inputs!D264&lt;0),"n/m",D33/Inputs!D264-1),"n/a")</f>
        <v>n/a</v>
      </c>
      <c r="E34" s="33">
        <f>IFERROR(IF(OR(ABS(Inputs!E264)&lt;0.5,E33*Inputs!E264&lt;0),"n/m",E33/Inputs!E264-1),"n/a")</f>
        <v>0.02146464646464641</v>
      </c>
      <c r="F34" s="33">
        <f>IFERROR(IF(OR(ABS(Inputs!F264)&lt;0.5,F33*Inputs!F264&lt;0),"n/m",F33/Inputs!F264-1),"n/a")</f>
        <v>0.05703175631885915</v>
      </c>
      <c r="G34" s="33">
        <f>IFERROR(IF(OR(ABS(Inputs!G264)&lt;0.5,G33*Inputs!G264&lt;0),"n/m",G33/Inputs!G264-1),"n/a")</f>
        <v>0.05703175631885915</v>
      </c>
      <c r="H34" s="19">
        <f>IFERROR(IF(OR(ABS(C33)&lt;0.5,H33*C33&lt;0),"n/m",H33/C33-1),"n/a")</f>
        <v>0.030514939605848612</v>
      </c>
      <c r="I34" s="19">
        <f>IFERROR(IF(OR(ABS(D33)&lt;0.5,I33*D33&lt;0),"n/m",I33/D33-1),"n/a")</f>
        <v>0.018001241464928652</v>
      </c>
      <c r="J34" s="46">
        <f>IFERROR(IF(OR(ABS(E33)&lt;0.5,J33*E33&lt;0),"n/m",J33/E33-1),"n/a")</f>
        <v>0.03369479345466608</v>
      </c>
      <c r="K34" s="45"/>
    </row>
    <row r="35">
      <c r="B35" s="42" t="s">
        <v>118</v>
      </c>
      <c r="C35" s="4">
        <f>IFERROR(C33-Inputs!F264,"n/a")</f>
        <v>3</v>
      </c>
      <c r="D35" s="20">
        <f>IFERROR(D33-C33,"n/a")</f>
        <v>3.799999999999983</v>
      </c>
      <c r="E35" s="20">
        <f>IFERROR(E33-D33,"n/a")</f>
        <v>0.700000000000017</v>
      </c>
      <c r="F35" s="20">
        <f>IFERROR(F33-E33,"n/a")</f>
        <v>1.299999999999983</v>
      </c>
      <c r="G35" s="20" t="s">
        <v>34</v>
      </c>
      <c r="H35" s="20">
        <f>IFERROR(H33-F33,"n/a")</f>
        <v>-1</v>
      </c>
      <c r="I35" s="20">
        <f>IFERROR(I33-H33,"n/a")</f>
        <v>1.9000000000000057</v>
      </c>
      <c r="J35" s="48">
        <f>IFERROR(J33-I33,"n/a")</f>
        <v>3.2518175809649676</v>
      </c>
      <c r="K35" s="45"/>
    </row>
    <row r="36">
      <c r="B36" s="49" t="s">
        <v>179</v>
      </c>
      <c r="C36" s="19">
        <f>C33/C26</f>
        <v>0.5751223917486573</v>
      </c>
      <c r="D36" s="19">
        <f>D33/D26</f>
        <v>0.5747146939314267</v>
      </c>
      <c r="E36" s="19">
        <f>E33/E26</f>
        <v>0.5668878627136341</v>
      </c>
      <c r="F36" s="19">
        <f>F33/F26</f>
        <v>0.5585750343330148</v>
      </c>
      <c r="G36" s="19">
        <f>G33/G26</f>
        <v>0.5585750343330148</v>
      </c>
      <c r="H36" s="19">
        <f>H33/H26</f>
        <v>0.5468960863697706</v>
      </c>
      <c r="I36" s="19">
        <f>I33/I26</f>
        <v>0.541969596827495</v>
      </c>
      <c r="J36" s="46">
        <f>J33/J26</f>
        <v>0.541969596827495</v>
      </c>
      <c r="K36" s="45"/>
    </row>
    <row r="37">
      <c r="B37" s="65" t="s">
        <v>120</v>
      </c>
      <c r="C37" s="47" t="str">
        <f>IFERROR((C36-Inputs!C265)*10000,"n/a")</f>
        <v>n/a</v>
      </c>
      <c r="D37" s="47" t="str">
        <f>IFERROR((D36-Inputs!D265)*10000,"n/a")</f>
        <v>n/a</v>
      </c>
      <c r="E37" s="47">
        <f>IFERROR((E36-Inputs!E265)*10000,"n/a")</f>
        <v>-228.871366347837</v>
      </c>
      <c r="F37" s="47">
        <f>IFERROR((F36-Inputs!F265)*10000,"n/a")</f>
        <v>-199.36432791562098</v>
      </c>
      <c r="G37" s="47">
        <f>IFERROR((G36-Inputs!G265)*10000,"n/a")</f>
        <v>-199.36432791562098</v>
      </c>
      <c r="H37" s="62">
        <f>IFERROR((H36-C36)*10000,"n/a")</f>
        <v>-282.26305378886707</v>
      </c>
      <c r="I37" s="62">
        <f>IFERROR((I36-D36)*10000,"n/a")</f>
        <v>-327.450971039317</v>
      </c>
      <c r="J37" s="64">
        <f>IFERROR((J36-E36)*10000,"n/a")</f>
        <v>-249.18265886139102</v>
      </c>
      <c r="K37" s="45"/>
    </row>
    <row r="38">
      <c r="B38" s="65" t="s">
        <v>121</v>
      </c>
      <c r="C38" s="47">
        <f>IFERROR((C36-Inputs!F265)*10000,"n/a")</f>
        <v>-33.890753759195924</v>
      </c>
      <c r="D38" s="62">
        <f>IFERROR((D36-C36)*10000,"n/a")</f>
        <v>-4.076978172306012</v>
      </c>
      <c r="E38" s="62">
        <f>IFERROR((E36-D36)*10000,"n/a")</f>
        <v>-78.26831217792596</v>
      </c>
      <c r="F38" s="62">
        <f>IFERROR((F36-E36)*10000,"n/a")</f>
        <v>-83.12828380619308</v>
      </c>
      <c r="G38" s="62" t="s">
        <v>34</v>
      </c>
      <c r="H38" s="62">
        <f>IFERROR((H36-F36)*10000,"n/a")</f>
        <v>-116.78947963244201</v>
      </c>
      <c r="I38" s="62">
        <f>IFERROR((I36-H36)*10000,"n/a")</f>
        <v>-49.26489542275591</v>
      </c>
      <c r="J38" s="64">
        <f>IFERROR((J36-I36)*10000,"n/a")</f>
        <v>0</v>
      </c>
      <c r="K38" s="45"/>
    </row>
    <row r="39">
      <c r="B39" s="2" t="s">
        <v>275</v>
      </c>
      <c r="C39" s="12">
        <v>116.2</v>
      </c>
      <c r="D39" s="12">
        <v>119.3</v>
      </c>
      <c r="E39" s="12">
        <v>123.6</v>
      </c>
      <c r="F39" s="12">
        <v>128.9</v>
      </c>
      <c r="G39" s="20">
        <f>F39</f>
        <v>128.9</v>
      </c>
      <c r="H39" s="12">
        <v>134.3</v>
      </c>
      <c r="I39" s="12">
        <v>138.6</v>
      </c>
      <c r="J39" s="48">
        <f>J26*I39/I26</f>
        <v>141.34818241903503</v>
      </c>
      <c r="K39" s="45" t="s">
        <v>178</v>
      </c>
    </row>
    <row r="40">
      <c r="B40" s="49" t="s">
        <v>150</v>
      </c>
      <c r="C40" s="33" t="str">
        <f>IFERROR(IF(OR(ABS(Inputs!C266)&lt;0.5,C39*Inputs!C266&lt;0),"n/m",C39/Inputs!C266-1),"n/a")</f>
        <v>n/a</v>
      </c>
      <c r="D40" s="33" t="str">
        <f>IFERROR(IF(OR(ABS(Inputs!D266)&lt;0.5,D39*Inputs!D266&lt;0),"n/m",D39/Inputs!D266-1),"n/a")</f>
        <v>n/a</v>
      </c>
      <c r="E40" s="33">
        <f>IFERROR(IF(OR(ABS(Inputs!E266)&lt;0.5,E39*Inputs!E266&lt;0),"n/m",E39/Inputs!E266-1),"n/a")</f>
        <v>0.12159709618874759</v>
      </c>
      <c r="F40" s="33">
        <f>IFERROR(IF(OR(ABS(Inputs!F266)&lt;0.5,F39*Inputs!F266&lt;0),"n/m",F39/Inputs!F266-1),"n/a")</f>
        <v>0.14577777777777778</v>
      </c>
      <c r="G40" s="33">
        <f>IFERROR(IF(OR(ABS(Inputs!G266)&lt;0.5,G39*Inputs!G266&lt;0),"n/m",G39/Inputs!G266-1),"n/a")</f>
        <v>0.14577777777777778</v>
      </c>
      <c r="H40" s="19">
        <f>IFERROR(IF(OR(ABS(C39)&lt;0.5,H39*C39&lt;0),"n/m",H39/C39-1),"n/a")</f>
        <v>0.15576592082616192</v>
      </c>
      <c r="I40" s="19">
        <f>IFERROR(IF(OR(ABS(D39)&lt;0.5,I39*D39&lt;0),"n/m",I39/D39-1),"n/a")</f>
        <v>0.16177703269069577</v>
      </c>
      <c r="J40" s="46">
        <f>IFERROR(IF(OR(ABS(E39)&lt;0.5,J39*E39&lt;0),"n/m",J39/E39-1),"n/a")</f>
        <v>0.1435937088918693</v>
      </c>
      <c r="K40" s="45"/>
    </row>
    <row r="41">
      <c r="B41" s="42" t="s">
        <v>118</v>
      </c>
      <c r="C41" s="4">
        <f>IFERROR(C39-Inputs!F266,"n/a")</f>
        <v>3.700000000000003</v>
      </c>
      <c r="D41" s="20">
        <f>IFERROR(D39-C39,"n/a")</f>
        <v>3.0999999999999943</v>
      </c>
      <c r="E41" s="20">
        <f>IFERROR(E39-D39,"n/a")</f>
        <v>4.299999999999997</v>
      </c>
      <c r="F41" s="20">
        <f>IFERROR(F39-E39,"n/a")</f>
        <v>5.300000000000011</v>
      </c>
      <c r="G41" s="20" t="s">
        <v>34</v>
      </c>
      <c r="H41" s="20">
        <f>IFERROR(H39-F39,"n/a")</f>
        <v>5.400000000000006</v>
      </c>
      <c r="I41" s="20">
        <f>IFERROR(I39-H39,"n/a")</f>
        <v>4.299999999999983</v>
      </c>
      <c r="J41" s="48">
        <f>IFERROR(J39-I39,"n/a")</f>
        <v>2.7481824190350324</v>
      </c>
      <c r="K41" s="45"/>
    </row>
    <row r="42">
      <c r="B42" s="49" t="s">
        <v>179</v>
      </c>
      <c r="C42" s="19">
        <f>C39/C26</f>
        <v>0.4248520147564779</v>
      </c>
      <c r="D42" s="19">
        <f>D39/D26</f>
        <v>0.4255956734079404</v>
      </c>
      <c r="E42" s="19">
        <f>E39/E26</f>
        <v>0.4330490718875474</v>
      </c>
      <c r="F42" s="19">
        <f>F39/F26</f>
        <v>0.4414489388444244</v>
      </c>
      <c r="G42" s="19">
        <f>G39/G26</f>
        <v>0.4414489388444244</v>
      </c>
      <c r="H42" s="19">
        <f>H39/H26</f>
        <v>0.4531039136302295</v>
      </c>
      <c r="I42" s="19">
        <f>I39/I26</f>
        <v>0.45803040317250493</v>
      </c>
      <c r="J42" s="46">
        <f>J39/J26</f>
        <v>0.45803040317250493</v>
      </c>
      <c r="K42" s="45"/>
    </row>
    <row r="43">
      <c r="B43" s="65" t="s">
        <v>120</v>
      </c>
      <c r="C43" s="47" t="str">
        <f>IFERROR((C42-Inputs!C267)*10000,"n/a")</f>
        <v>n/a</v>
      </c>
      <c r="D43" s="47" t="str">
        <f>IFERROR((D42-Inputs!D267)*10000,"n/a")</f>
        <v>n/a</v>
      </c>
      <c r="E43" s="47">
        <f>IFERROR((E42-Inputs!E267)*10000,"n/a")</f>
        <v>227.38434714595078</v>
      </c>
      <c r="F43" s="47">
        <f>IFERROR((F42-Inputs!F267)*10000,"n/a")</f>
        <v>196.56715568242333</v>
      </c>
      <c r="G43" s="47">
        <f>IFERROR((G42-Inputs!G267)*10000,"n/a")</f>
        <v>196.56715568242333</v>
      </c>
      <c r="H43" s="62">
        <f>IFERROR((H42-C42)*10000,"n/a")</f>
        <v>282.5189887375162</v>
      </c>
      <c r="I43" s="62">
        <f>IFERROR((I42-D42)*10000,"n/a")</f>
        <v>324.3472976456452</v>
      </c>
      <c r="J43" s="64">
        <f>IFERROR((J42-E42)*10000,"n/a")</f>
        <v>249.81331284957554</v>
      </c>
      <c r="K43" s="45"/>
    </row>
    <row r="44">
      <c r="B44" s="65" t="s">
        <v>121</v>
      </c>
      <c r="C44" s="47">
        <f>IFERROR((C42-Inputs!F267)*10000,"n/a")</f>
        <v>30.59791480295837</v>
      </c>
      <c r="D44" s="62">
        <f>IFERROR((D42-C42)*10000,"n/a")</f>
        <v>7.43658651462531</v>
      </c>
      <c r="E44" s="62">
        <f>IFERROR((E42-D42)*10000,"n/a")</f>
        <v>74.53398479606965</v>
      </c>
      <c r="F44" s="62">
        <f>IFERROR((F42-E42)*10000,"n/a")</f>
        <v>83.99866956877</v>
      </c>
      <c r="G44" s="62" t="s">
        <v>34</v>
      </c>
      <c r="H44" s="62">
        <f>IFERROR((H42-F42)*10000,"n/a")</f>
        <v>116.54974785805128</v>
      </c>
      <c r="I44" s="62">
        <f>IFERROR((I42-H42)*10000,"n/a")</f>
        <v>49.26489542275425</v>
      </c>
      <c r="J44" s="64">
        <f>IFERROR((J42-I42)*10000,"n/a")</f>
        <v>0</v>
      </c>
      <c r="K44" s="45"/>
    </row>
    <row r="45">
      <c r="B45" s="24" t="s">
        <v>182</v>
      </c>
      <c r="C45" s="60">
        <f>C33+C39</f>
        <v>273.5</v>
      </c>
      <c r="D45" s="60">
        <f>D33+D39</f>
        <v>280.4</v>
      </c>
      <c r="E45" s="60">
        <f>E33+E39</f>
        <v>285.4</v>
      </c>
      <c r="F45" s="60">
        <f>F33+F39</f>
        <v>292</v>
      </c>
      <c r="G45" s="60">
        <f>G33+G39</f>
        <v>292</v>
      </c>
      <c r="H45" s="60">
        <f>H33+H39</f>
        <v>296.4</v>
      </c>
      <c r="I45" s="60">
        <f>I33+I39</f>
        <v>302.6</v>
      </c>
      <c r="J45" s="50">
        <f>J33+J39</f>
        <v>308.6</v>
      </c>
      <c r="K45" s="45"/>
    </row>
    <row r="46">
      <c r="B46" s="42" t="s">
        <v>183</v>
      </c>
      <c r="C46" s="20">
        <f>C45-C26</f>
        <v>-0.007000000000005002</v>
      </c>
      <c r="D46" s="20">
        <f>D45-D26</f>
        <v>0.08699999999998909</v>
      </c>
      <c r="E46" s="20">
        <f>E45-E26</f>
        <v>-0.018000000000029104</v>
      </c>
      <c r="F46" s="20">
        <f>F45-F26</f>
        <v>0.007000000000005002</v>
      </c>
      <c r="G46" s="20">
        <f>G45-G26</f>
        <v>0.007000000000005002</v>
      </c>
      <c r="H46" s="20">
        <f>H45-H26</f>
        <v>0</v>
      </c>
      <c r="I46" s="20">
        <f>I45-I26</f>
        <v>0</v>
      </c>
      <c r="J46" s="48">
        <f>J45-J26</f>
        <v>0</v>
      </c>
      <c r="K46" s="45"/>
    </row>
    <row r="47">
      <c r="B47" s="24" t="s">
        <v>184</v>
      </c>
      <c r="C47" s="10"/>
      <c r="D47" s="10"/>
      <c r="E47" s="10"/>
      <c r="F47" s="10"/>
      <c r="G47" s="10"/>
      <c r="H47" s="10"/>
      <c r="I47" s="10"/>
      <c r="J47" s="51"/>
      <c r="K47" s="45"/>
    </row>
    <row r="48">
      <c r="B48" s="30" t="s">
        <v>185</v>
      </c>
      <c r="C48" s="9">
        <v>0.915</v>
      </c>
      <c r="D48" s="9">
        <v>0.912</v>
      </c>
      <c r="E48" s="9">
        <v>0.933</v>
      </c>
      <c r="F48" s="9">
        <v>0.892</v>
      </c>
      <c r="G48" s="9">
        <v>0.913</v>
      </c>
      <c r="H48" s="9">
        <v>0.938</v>
      </c>
      <c r="I48" s="9">
        <v>0.938</v>
      </c>
      <c r="J48" s="46">
        <f>1-(-J16*4)/F26</f>
        <v>0.9383546865849524</v>
      </c>
      <c r="K48" s="45" t="s">
        <v>186</v>
      </c>
    </row>
    <row r="49">
      <c r="B49" s="49" t="s">
        <v>120</v>
      </c>
      <c r="C49" s="47">
        <f>IFERROR((C48-Inputs!C262)*10000,"n/a")</f>
        <v>-70.00000000000006</v>
      </c>
      <c r="D49" s="47">
        <f>IFERROR((D48-Inputs!D262)*10000,"n/a")</f>
        <v>0</v>
      </c>
      <c r="E49" s="47">
        <f>IFERROR((E48-Inputs!E262)*10000,"n/a")</f>
        <v>60.00000000000006</v>
      </c>
      <c r="F49" s="47">
        <f>IFERROR((F48-Inputs!F262)*10000,"n/a")</f>
        <v>280.0000000000002</v>
      </c>
      <c r="G49" s="47">
        <f>IFERROR((G48-Inputs!G262)*10000,"n/a")</f>
        <v>70.00000000000006</v>
      </c>
      <c r="H49" s="62">
        <f>IFERROR((H48-C48)*10000,"n/a")</f>
        <v>229.9999999999991</v>
      </c>
      <c r="I49" s="62">
        <f>IFERROR((I48-D48)*10000,"n/a")</f>
        <v>259.99999999999915</v>
      </c>
      <c r="J49" s="64">
        <f>IFERROR((J48-E48)*10000,"n/a")</f>
        <v>53.54686584952306</v>
      </c>
      <c r="K49" s="45"/>
    </row>
    <row r="50">
      <c r="B50" s="49" t="s">
        <v>121</v>
      </c>
      <c r="C50" s="47">
        <f>IFERROR((C48-Inputs!F262)*10000,"n/a")</f>
        <v>510.00000000000045</v>
      </c>
      <c r="D50" s="62">
        <f>IFERROR((D48-C48)*10000,"n/a")</f>
        <v>-30.00000000000003</v>
      </c>
      <c r="E50" s="62">
        <f>IFERROR((E48-D48)*10000,"n/a")</f>
        <v>210.0000000000002</v>
      </c>
      <c r="F50" s="62">
        <f>IFERROR((F48-E48)*10000,"n/a")</f>
        <v>-410.00000000000034</v>
      </c>
      <c r="G50" s="62" t="s">
        <v>34</v>
      </c>
      <c r="H50" s="62">
        <f>IFERROR((H48-F48)*10000,"n/a")</f>
        <v>459.9999999999993</v>
      </c>
      <c r="I50" s="62">
        <f>IFERROR((I48-H48)*10000,"n/a")</f>
        <v>0</v>
      </c>
      <c r="J50" s="64">
        <f>IFERROR((J48-I48)*10000,"n/a")</f>
        <v>3.546865849524128</v>
      </c>
      <c r="K50" s="45"/>
    </row>
    <row r="51">
      <c r="B51" s="30" t="s">
        <v>187</v>
      </c>
      <c r="C51" s="19">
        <f>1-C48</f>
        <v>0.08499999999999996</v>
      </c>
      <c r="D51" s="19">
        <f>1-D48</f>
        <v>0.08799999999999997</v>
      </c>
      <c r="E51" s="19">
        <f>1-E48</f>
        <v>0.06699999999999995</v>
      </c>
      <c r="F51" s="19">
        <f>1-F48</f>
        <v>0.10799999999999998</v>
      </c>
      <c r="G51" s="19">
        <f>1-G48</f>
        <v>0.08699999999999997</v>
      </c>
      <c r="H51" s="19">
        <f>1-H48</f>
        <v>0.062000000000000055</v>
      </c>
      <c r="I51" s="19">
        <f>1-I48</f>
        <v>0.062000000000000055</v>
      </c>
      <c r="J51" s="46">
        <f>1-J48</f>
        <v>0.06164531341504764</v>
      </c>
      <c r="K51" s="45"/>
    </row>
    <row r="52">
      <c r="B52" s="49" t="s">
        <v>120</v>
      </c>
      <c r="C52" s="47">
        <f>IFERROR((C51-Inputs!C263)*10000,"n/a")</f>
        <v>70.00000000000006</v>
      </c>
      <c r="D52" s="47">
        <f>IFERROR((D51-Inputs!D263)*10000,"n/a")</f>
        <v>0</v>
      </c>
      <c r="E52" s="47">
        <f>IFERROR((E51-Inputs!E263)*10000,"n/a")</f>
        <v>-60.00000000000006</v>
      </c>
      <c r="F52" s="47">
        <f>IFERROR((F51-Inputs!F263)*10000,"n/a")</f>
        <v>-280.0000000000002</v>
      </c>
      <c r="G52" s="47">
        <f>IFERROR((G51-Inputs!G263)*10000,"n/a")</f>
        <v>-70.00000000000006</v>
      </c>
      <c r="H52" s="62">
        <f>IFERROR((H51-C51)*10000,"n/a")</f>
        <v>-229.9999999999991</v>
      </c>
      <c r="I52" s="62">
        <f>IFERROR((I51-D51)*10000,"n/a")</f>
        <v>-259.99999999999915</v>
      </c>
      <c r="J52" s="64">
        <f>IFERROR((J51-E51)*10000,"n/a")</f>
        <v>-53.54686584952306</v>
      </c>
      <c r="K52" s="45"/>
    </row>
    <row r="53">
      <c r="B53" s="49" t="s">
        <v>121</v>
      </c>
      <c r="C53" s="47">
        <f>IFERROR((C51-Inputs!F263)*10000,"n/a")</f>
        <v>-510.00000000000045</v>
      </c>
      <c r="D53" s="62">
        <f>IFERROR((D51-C51)*10000,"n/a")</f>
        <v>30.00000000000003</v>
      </c>
      <c r="E53" s="62">
        <f>IFERROR((E51-D51)*10000,"n/a")</f>
        <v>-210.0000000000002</v>
      </c>
      <c r="F53" s="62">
        <f>IFERROR((F51-E51)*10000,"n/a")</f>
        <v>410.00000000000034</v>
      </c>
      <c r="G53" s="62" t="s">
        <v>34</v>
      </c>
      <c r="H53" s="62">
        <f>IFERROR((H51-F51)*10000,"n/a")</f>
        <v>-459.9999999999993</v>
      </c>
      <c r="I53" s="62">
        <f>IFERROR((I51-H51)*10000,"n/a")</f>
        <v>0</v>
      </c>
      <c r="J53" s="64">
        <f>IFERROR((J51-I51)*10000,"n/a")</f>
        <v>-3.546865849524128</v>
      </c>
      <c r="K53" s="45"/>
    </row>
    <row r="54">
      <c r="B54" s="30" t="s">
        <v>188</v>
      </c>
      <c r="C54" s="19">
        <f>C13*4/C10</f>
        <v>0.14559142768231736</v>
      </c>
      <c r="D54" s="19">
        <f>D13*4/D10</f>
        <v>0.1443326861835346</v>
      </c>
      <c r="E54" s="19">
        <f>E13*4/E10</f>
        <v>0.13831681013723945</v>
      </c>
      <c r="F54" s="19">
        <f>F13*4/F10</f>
        <v>0.18922422552186619</v>
      </c>
      <c r="G54" s="19">
        <f>G13/G10</f>
        <v>0.16036352865750098</v>
      </c>
      <c r="H54" s="19">
        <f>H13*4/H10</f>
        <v>0.13972937707410793</v>
      </c>
      <c r="I54" s="19">
        <f>I13*4/I10</f>
        <v>0.14574898785425103</v>
      </c>
      <c r="J54" s="46">
        <f>J13*4/J10</f>
        <v>0.13879709187045602</v>
      </c>
      <c r="K54" s="45"/>
    </row>
    <row r="55">
      <c r="B55" s="49" t="s">
        <v>120</v>
      </c>
      <c r="C55" s="62" t="s">
        <v>34</v>
      </c>
      <c r="D55" s="62" t="s">
        <v>34</v>
      </c>
      <c r="E55" s="62" t="s">
        <v>34</v>
      </c>
      <c r="F55" s="62" t="s">
        <v>34</v>
      </c>
      <c r="G55" s="62" t="s">
        <v>34</v>
      </c>
      <c r="H55" s="62">
        <f>IFERROR((H54-C54)*10000,"n/a")</f>
        <v>-58.62050608209435</v>
      </c>
      <c r="I55" s="62">
        <f>IFERROR((I54-D54)*10000,"n/a")</f>
        <v>14.163016707164356</v>
      </c>
      <c r="J55" s="64">
        <f>IFERROR((J54-E54)*10000,"n/a")</f>
        <v>4.802817332165699</v>
      </c>
      <c r="K55" s="45"/>
    </row>
    <row r="56">
      <c r="B56" s="49" t="s">
        <v>121</v>
      </c>
      <c r="C56" s="62" t="s">
        <v>34</v>
      </c>
      <c r="D56" s="62">
        <f>IFERROR((D54-C54)*10000,"n/a")</f>
        <v>-12.587414987827728</v>
      </c>
      <c r="E56" s="62">
        <f>IFERROR((E54-D54)*10000,"n/a")</f>
        <v>-60.15876046295138</v>
      </c>
      <c r="F56" s="62">
        <f>IFERROR((F54-E54)*10000,"n/a")</f>
        <v>509.07415384626734</v>
      </c>
      <c r="G56" s="62" t="s">
        <v>34</v>
      </c>
      <c r="H56" s="62">
        <f>IFERROR((H54-F54)*10000,"n/a")</f>
        <v>-494.94848447758255</v>
      </c>
      <c r="I56" s="62">
        <f>IFERROR((I54-H54)*10000,"n/a")</f>
        <v>60.196107801430976</v>
      </c>
      <c r="J56" s="64">
        <f>IFERROR((J54-I54)*10000,"n/a")</f>
        <v>-69.51895983795004</v>
      </c>
      <c r="K56" s="45"/>
    </row>
    <row r="57">
      <c r="B57" s="30" t="s">
        <v>189</v>
      </c>
      <c r="C57" s="19">
        <f>C19*4/C10</f>
        <v>0.06100802717466698</v>
      </c>
      <c r="D57" s="19">
        <f>D19*4/D10</f>
        <v>0.05866029023023177</v>
      </c>
      <c r="E57" s="19">
        <f>E19*4/E10</f>
        <v>0.07470220788903832</v>
      </c>
      <c r="F57" s="19">
        <f>F19*4/F10</f>
        <v>0.08852980540820833</v>
      </c>
      <c r="G57" s="19">
        <f>G19/G10</f>
        <v>0.07360180564564205</v>
      </c>
      <c r="H57" s="19">
        <f>H19*4/H10</f>
        <v>0.07808406365906032</v>
      </c>
      <c r="I57" s="19">
        <f>I19*4/I10</f>
        <v>0.08502024291497977</v>
      </c>
      <c r="J57" s="46">
        <f>J19*4/J10</f>
        <v>0.07931262392597488</v>
      </c>
      <c r="K57" s="45"/>
    </row>
    <row r="58">
      <c r="B58" s="49" t="s">
        <v>120</v>
      </c>
      <c r="C58" s="62" t="s">
        <v>34</v>
      </c>
      <c r="D58" s="62" t="s">
        <v>34</v>
      </c>
      <c r="E58" s="62" t="s">
        <v>34</v>
      </c>
      <c r="F58" s="62" t="s">
        <v>34</v>
      </c>
      <c r="G58" s="62" t="s">
        <v>34</v>
      </c>
      <c r="H58" s="62">
        <f>IFERROR((H57-C57)*10000,"n/a")</f>
        <v>170.76036484393333</v>
      </c>
      <c r="I58" s="62">
        <f>IFERROR((I57-D57)*10000,"n/a")</f>
        <v>263.59952684748</v>
      </c>
      <c r="J58" s="64">
        <f>IFERROR((J57-E57)*10000,"n/a")</f>
        <v>46.10416036936557</v>
      </c>
      <c r="K58" s="45"/>
    </row>
    <row r="59">
      <c r="B59" s="49" t="s">
        <v>121</v>
      </c>
      <c r="C59" s="62" t="s">
        <v>34</v>
      </c>
      <c r="D59" s="62">
        <f>IFERROR((D57-C57)*10000,"n/a")</f>
        <v>-23.477369444352135</v>
      </c>
      <c r="E59" s="62">
        <f>IFERROR((E57-D57)*10000,"n/a")</f>
        <v>160.41917658806554</v>
      </c>
      <c r="F59" s="62">
        <f>IFERROR((F57-E57)*10000,"n/a")</f>
        <v>138.2759751917001</v>
      </c>
      <c r="G59" s="62" t="s">
        <v>34</v>
      </c>
      <c r="H59" s="62">
        <f>IFERROR((H57-F57)*10000,"n/a")</f>
        <v>-104.45741749148016</v>
      </c>
      <c r="I59" s="62">
        <f>IFERROR((I57-H57)*10000,"n/a")</f>
        <v>69.36179255919453</v>
      </c>
      <c r="J59" s="64">
        <f>IFERROR((J57-I57)*10000,"n/a")</f>
        <v>-57.076189890048894</v>
      </c>
      <c r="K59" s="45"/>
    </row>
    <row r="60">
      <c r="B60" s="30" t="s">
        <v>190</v>
      </c>
      <c r="C60" s="19">
        <f>C64/(C29/4)</f>
        <v>0.9894969882974903</v>
      </c>
      <c r="D60" s="19">
        <f>D64/(D29/4)</f>
        <v>1.0156801848976202</v>
      </c>
      <c r="E60" s="19">
        <f>E64/(E29/4)</f>
        <v>0.9831386294899873</v>
      </c>
      <c r="F60" s="19">
        <f>F64/(F29/4)</f>
        <v>0.97347643186569</v>
      </c>
      <c r="G60" s="19">
        <f>G64/G29</f>
        <v>0.9902359569244963</v>
      </c>
      <c r="H60" s="19">
        <f>H64/(H29/4)</f>
        <v>0.9775779113619639</v>
      </c>
      <c r="I60" s="19">
        <f>I64/(I29/4)</f>
        <v>0.988313856427379</v>
      </c>
      <c r="J60" s="46">
        <f>AVERAGE(E60,F60,H60,I60)</f>
        <v>0.9806267072862551</v>
      </c>
      <c r="K60" s="45" t="s">
        <v>191</v>
      </c>
    </row>
    <row r="61">
      <c r="B61" s="49" t="s">
        <v>120</v>
      </c>
      <c r="C61" s="62" t="s">
        <v>34</v>
      </c>
      <c r="D61" s="62" t="s">
        <v>34</v>
      </c>
      <c r="E61" s="62" t="s">
        <v>34</v>
      </c>
      <c r="F61" s="62" t="s">
        <v>34</v>
      </c>
      <c r="G61" s="62" t="s">
        <v>34</v>
      </c>
      <c r="H61" s="62">
        <f>IFERROR((H60-C60)*10000,"n/a")</f>
        <v>-119.19076935526407</v>
      </c>
      <c r="I61" s="62">
        <f>IFERROR((I60-D60)*10000,"n/a")</f>
        <v>-273.6632847024123</v>
      </c>
      <c r="J61" s="64">
        <f>IFERROR((J60-E60)*10000,"n/a")</f>
        <v>-25.119222037321975</v>
      </c>
      <c r="K61" s="45"/>
    </row>
    <row r="62">
      <c r="B62" s="49" t="s">
        <v>121</v>
      </c>
      <c r="C62" s="62" t="s">
        <v>34</v>
      </c>
      <c r="D62" s="62">
        <f>IFERROR((D60-C60)*10000,"n/a")</f>
        <v>261.8319660012991</v>
      </c>
      <c r="E62" s="62">
        <f>IFERROR((E60-D60)*10000,"n/a")</f>
        <v>-325.4155540763293</v>
      </c>
      <c r="F62" s="62">
        <f>IFERROR((F60-E60)*10000,"n/a")</f>
        <v>-96.62197624297319</v>
      </c>
      <c r="G62" s="62" t="s">
        <v>34</v>
      </c>
      <c r="H62" s="62">
        <f>IFERROR((H60-F60)*10000,"n/a")</f>
        <v>41.0147949627393</v>
      </c>
      <c r="I62" s="62">
        <f>IFERROR((I60-H60)*10000,"n/a")</f>
        <v>107.35945065415086</v>
      </c>
      <c r="J62" s="64">
        <f>IFERROR((J60-I60)*10000,"n/a")</f>
        <v>-76.87149141123895</v>
      </c>
      <c r="K62" s="45"/>
    </row>
    <row r="63">
      <c r="B63" s="24" t="s">
        <v>192</v>
      </c>
      <c r="C63" s="10"/>
      <c r="D63" s="10"/>
      <c r="E63" s="10"/>
      <c r="F63" s="10"/>
      <c r="G63" s="10"/>
      <c r="H63" s="10"/>
      <c r="I63" s="10"/>
      <c r="J63" s="51"/>
      <c r="K63" s="45"/>
    </row>
    <row r="64">
      <c r="B64" s="2" t="s">
        <v>193</v>
      </c>
      <c r="C64" s="12">
        <v>66.819</v>
      </c>
      <c r="D64" s="12">
        <v>70.313</v>
      </c>
      <c r="E64" s="12">
        <v>69.524</v>
      </c>
      <c r="F64" s="12">
        <v>70.262</v>
      </c>
      <c r="G64" s="20">
        <f>SUM(C64:F64)</f>
        <v>276.918</v>
      </c>
      <c r="H64" s="12">
        <v>71.9</v>
      </c>
      <c r="I64" s="12">
        <v>74</v>
      </c>
      <c r="J64" s="48">
        <f>J29/4*J60</f>
        <v>74.9198804366699</v>
      </c>
      <c r="K64" s="45" t="s">
        <v>194</v>
      </c>
    </row>
    <row r="65">
      <c r="B65" s="49" t="s">
        <v>116</v>
      </c>
      <c r="C65" s="9">
        <v>0.058</v>
      </c>
      <c r="D65" s="9">
        <v>0.093</v>
      </c>
      <c r="E65" s="9">
        <v>0.104</v>
      </c>
      <c r="F65" s="9">
        <v>0.094</v>
      </c>
      <c r="G65" s="9">
        <v>0.08800000000000001</v>
      </c>
      <c r="H65" s="19">
        <f>IFERROR(IF(OR(ABS(C64)&lt;0.5,H64*C64&lt;0),"n/m",H64/C64-1),"n/a")</f>
        <v>0.07604124575345339</v>
      </c>
      <c r="I65" s="19">
        <f>IFERROR(IF(OR(ABS(D64)&lt;0.5,I64*D64&lt;0),"n/m",I64/D64-1),"n/a")</f>
        <v>0.05243696044828128</v>
      </c>
      <c r="J65" s="46">
        <f>IFERROR(IF(OR(ABS(E64)&lt;0.5,J64*E64&lt;0),"n/m",J64/E64-1),"n/a")</f>
        <v>0.0776117662486322</v>
      </c>
      <c r="K65" s="45"/>
    </row>
    <row r="66">
      <c r="B66" s="49" t="s">
        <v>117</v>
      </c>
      <c r="C66" s="19" t="s">
        <v>34</v>
      </c>
      <c r="D66" s="19">
        <f>IFERROR(IF(OR(ABS(C64)&lt;0.5,D64*C64&lt;0),"n/m",D64/C64-1),"n/a")</f>
        <v>0.05229051617055025</v>
      </c>
      <c r="E66" s="19">
        <f>IFERROR(IF(OR(ABS(D64)&lt;0.5,E64*D64&lt;0),"n/m",E64/D64-1),"n/a")</f>
        <v>-0.011221253537752607</v>
      </c>
      <c r="F66" s="19">
        <f>IFERROR(IF(OR(ABS(E64)&lt;0.5,F64*E64&lt;0),"n/m",F64/E64-1),"n/a")</f>
        <v>0.010615039410850846</v>
      </c>
      <c r="G66" s="19" t="s">
        <v>34</v>
      </c>
      <c r="H66" s="19">
        <f>IFERROR(IF(OR(ABS(F64)&lt;0.5,H64*F64&lt;0),"n/m",H64/F64-1),"n/a")</f>
        <v>0.023312743730608432</v>
      </c>
      <c r="I66" s="19">
        <f>IFERROR(IF(OR(ABS(H64)&lt;0.5,I64*H64&lt;0),"n/m",I64/H64-1),"n/a")</f>
        <v>0.029207232267037364</v>
      </c>
      <c r="J66" s="46">
        <f>IFERROR(IF(OR(ABS(I64)&lt;0.5,J64*I64&lt;0),"n/m",J64/I64-1),"n/a")</f>
        <v>0.012430816711755499</v>
      </c>
      <c r="K66" s="45"/>
    </row>
    <row r="67">
      <c r="B67" s="42" t="s">
        <v>118</v>
      </c>
      <c r="C67" s="20" t="s">
        <v>34</v>
      </c>
      <c r="D67" s="20">
        <f>IFERROR(D64-C64,"n/a")</f>
        <v>3.4939999999999998</v>
      </c>
      <c r="E67" s="20">
        <f>IFERROR(E64-D64,"n/a")</f>
        <v>-0.7890000000000015</v>
      </c>
      <c r="F67" s="20">
        <f>IFERROR(F64-E64,"n/a")</f>
        <v>0.7379999999999995</v>
      </c>
      <c r="G67" s="20" t="s">
        <v>34</v>
      </c>
      <c r="H67" s="20">
        <f>IFERROR(H64-F64,"n/a")</f>
        <v>1.6380000000000052</v>
      </c>
      <c r="I67" s="20">
        <f>IFERROR(I64-H64,"n/a")</f>
        <v>2.0999999999999943</v>
      </c>
      <c r="J67" s="48">
        <f>IFERROR(J64-I64,"n/a")</f>
        <v>0.9198804366698994</v>
      </c>
      <c r="K67" s="45"/>
    </row>
    <row r="68">
      <c r="B68" s="49" t="s">
        <v>119</v>
      </c>
      <c r="C68" s="33">
        <f>IFERROR(C64/'Revenue summary'!C40,"n/a")</f>
        <v>0.08959060156122207</v>
      </c>
      <c r="D68" s="33">
        <f>IFERROR(D64/'Revenue summary'!D40,"n/a")</f>
        <v>0.09099897887738634</v>
      </c>
      <c r="E68" s="33">
        <f>IFERROR(E64/'Revenue summary'!E40,"n/a")</f>
        <v>0.087625058921689</v>
      </c>
      <c r="F68" s="33">
        <f>IFERROR(F64/'Revenue summary'!F40,"n/a")</f>
        <v>0.08542201602863368</v>
      </c>
      <c r="G68" s="33">
        <f>IFERROR(G64/'Revenue summary'!G40,"n/a")</f>
        <v>0.0883463462115791</v>
      </c>
      <c r="H68" s="33">
        <f>IFERROR(H64/'Revenue summary'!H40,"n/a")</f>
        <v>0.08450869769628586</v>
      </c>
      <c r="I68" s="33">
        <f>IFERROR(I64/'Revenue summary'!I40,"n/a")</f>
        <v>0.0853517877739331</v>
      </c>
      <c r="J68" s="69">
        <f>IFERROR(J64/'Revenue summary'!J40,"n/a")</f>
        <v>0.08442857774160992</v>
      </c>
      <c r="K68" s="45"/>
    </row>
    <row r="69">
      <c r="B69" s="65" t="s">
        <v>120</v>
      </c>
      <c r="C69" s="62" t="s">
        <v>34</v>
      </c>
      <c r="D69" s="62" t="s">
        <v>34</v>
      </c>
      <c r="E69" s="62" t="s">
        <v>34</v>
      </c>
      <c r="F69" s="62" t="s">
        <v>34</v>
      </c>
      <c r="G69" s="62" t="s">
        <v>34</v>
      </c>
      <c r="H69" s="62">
        <f>IFERROR((H68-C68)*10000,"n/a")</f>
        <v>-50.819038649362184</v>
      </c>
      <c r="I69" s="62">
        <f>IFERROR((I68-D68)*10000,"n/a")</f>
        <v>-56.47191103453242</v>
      </c>
      <c r="J69" s="64">
        <f>IFERROR((J68-E68)*10000,"n/a")</f>
        <v>-31.964811800790777</v>
      </c>
      <c r="K69" s="45"/>
    </row>
    <row r="70">
      <c r="B70" s="65" t="s">
        <v>121</v>
      </c>
      <c r="C70" s="62" t="s">
        <v>34</v>
      </c>
      <c r="D70" s="62">
        <f>IFERROR((D68-C68)*10000,"n/a")</f>
        <v>14.083773161642638</v>
      </c>
      <c r="E70" s="62">
        <f>IFERROR((E68-D68)*10000,"n/a")</f>
        <v>-33.73919955697344</v>
      </c>
      <c r="F70" s="62">
        <f>IFERROR((F68-E68)*10000,"n/a")</f>
        <v>-22.030428930553125</v>
      </c>
      <c r="G70" s="62" t="s">
        <v>34</v>
      </c>
      <c r="H70" s="62">
        <f>IFERROR((H68-F68)*10000,"n/a")</f>
        <v>-9.133183323478262</v>
      </c>
      <c r="I70" s="62">
        <f>IFERROR((I68-H68)*10000,"n/a")</f>
        <v>8.430900776472406</v>
      </c>
      <c r="J70" s="64">
        <f>IFERROR((J68-I68)*10000,"n/a")</f>
        <v>-9.232100323231796</v>
      </c>
      <c r="K70" s="45"/>
    </row>
    <row r="71">
      <c r="B71" s="49" t="s">
        <v>122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58">
        <v>0</v>
      </c>
      <c r="K71" s="45" t="s">
        <v>195</v>
      </c>
    </row>
    <row r="72">
      <c r="B72" s="49" t="s">
        <v>124</v>
      </c>
      <c r="C72" s="9">
        <v>-0.005</v>
      </c>
      <c r="D72" s="9">
        <v>0.015</v>
      </c>
      <c r="E72" s="9">
        <v>0.014</v>
      </c>
      <c r="F72" s="9">
        <v>0.018000000000000002</v>
      </c>
      <c r="G72" s="9">
        <v>0.011</v>
      </c>
      <c r="H72" s="9">
        <v>0.025</v>
      </c>
      <c r="I72" s="9">
        <v>0.006</v>
      </c>
      <c r="J72" s="58">
        <v>-0.004</v>
      </c>
      <c r="K72" s="45" t="s">
        <v>196</v>
      </c>
    </row>
    <row r="73">
      <c r="B73" s="49" t="s">
        <v>125</v>
      </c>
      <c r="C73" s="19">
        <f>IFERROR((1+C65)/((1+C71)*(1+C72))-1,"n/a")</f>
        <v>0.06331658291457298</v>
      </c>
      <c r="D73" s="19">
        <f>IFERROR((1+D65)/((1+D71)*(1+D72))-1,"n/a")</f>
        <v>0.07684729064039408</v>
      </c>
      <c r="E73" s="19">
        <f>IFERROR((1+E65)/((1+E71)*(1+E72))-1,"n/a")</f>
        <v>0.08875739644970415</v>
      </c>
      <c r="F73" s="19">
        <f>IFERROR((1+F65)/((1+F71)*(1+F72))-1,"n/a")</f>
        <v>0.07465618860510803</v>
      </c>
      <c r="G73" s="19">
        <f>IFERROR((1+G65)/((1+G71)*(1+G72))-1,"n/a")</f>
        <v>0.07616221562809122</v>
      </c>
      <c r="H73" s="19">
        <f>IFERROR((1+H65)/((1+H71)*(1+H72))-1,"n/a")</f>
        <v>0.04979633732044242</v>
      </c>
      <c r="I73" s="19">
        <f>IFERROR((1+I65)/((1+I71)*(1+I72))-1,"n/a")</f>
        <v>0.04616000044560753</v>
      </c>
      <c r="J73" s="46">
        <f>IFERROR((1+J65)/((1+J71)*(1+J72))-1,"n/a")</f>
        <v>0.08193952434601637</v>
      </c>
      <c r="K73" s="45" t="s">
        <v>126</v>
      </c>
    </row>
    <row r="74">
      <c r="B74" s="24" t="s">
        <v>129</v>
      </c>
      <c r="C74" s="10"/>
      <c r="D74" s="10"/>
      <c r="E74" s="10"/>
      <c r="F74" s="10"/>
      <c r="G74" s="10"/>
      <c r="H74" s="10"/>
      <c r="I74" s="10"/>
      <c r="J74" s="51"/>
      <c r="K74" s="45"/>
    </row>
    <row r="75">
      <c r="B75" s="2" t="s">
        <v>249</v>
      </c>
      <c r="C75" s="12">
        <v>1.061</v>
      </c>
      <c r="D75" s="12">
        <v>0.757</v>
      </c>
      <c r="E75" s="12">
        <v>0.939</v>
      </c>
      <c r="F75" s="12">
        <v>1.547</v>
      </c>
      <c r="G75" s="20">
        <f>SUM(C75:F75)</f>
        <v>4.304</v>
      </c>
      <c r="H75" s="12">
        <v>0.8</v>
      </c>
      <c r="I75" s="12">
        <v>0.5</v>
      </c>
      <c r="J75" s="48" t="s">
        <v>34</v>
      </c>
      <c r="K75" s="45" t="s">
        <v>250</v>
      </c>
    </row>
    <row r="76">
      <c r="B76" s="49" t="s">
        <v>150</v>
      </c>
      <c r="C76" s="9">
        <v>-0.026</v>
      </c>
      <c r="D76" s="9">
        <v>0.006999999999999999</v>
      </c>
      <c r="E76" s="9">
        <v>0.8059999999999999</v>
      </c>
      <c r="F76" s="9">
        <v>0.02</v>
      </c>
      <c r="G76" s="9">
        <v>0.11</v>
      </c>
      <c r="H76" s="19">
        <f>IFERROR(IF(OR(ABS(C75)&lt;0.5,H75*C75&lt;0),"n/m",H75/C75-1),"n/a")</f>
        <v>-0.2459943449575871</v>
      </c>
      <c r="I76" s="19">
        <f>IFERROR(IF(OR(ABS(D75)&lt;0.5,I75*D75&lt;0),"n/m",I75/D75-1),"n/a")</f>
        <v>-0.3394980184940555</v>
      </c>
      <c r="J76" s="46" t="str">
        <f>IFERROR(IF(OR(ABS(E75)&lt;0.5,J75*E75&lt;0),"n/m",J75/E75-1),"n/a")</f>
        <v>n/a</v>
      </c>
      <c r="K76" s="45"/>
    </row>
    <row r="77">
      <c r="B77" s="42" t="s">
        <v>118</v>
      </c>
      <c r="C77" s="20" t="s">
        <v>34</v>
      </c>
      <c r="D77" s="20">
        <f>IFERROR(D75-C75,"n/a")</f>
        <v>-0.30399999999999994</v>
      </c>
      <c r="E77" s="20">
        <f>IFERROR(E75-D75,"n/a")</f>
        <v>0.18199999999999994</v>
      </c>
      <c r="F77" s="20">
        <f>IFERROR(F75-E75,"n/a")</f>
        <v>0.608</v>
      </c>
      <c r="G77" s="20" t="s">
        <v>34</v>
      </c>
      <c r="H77" s="20">
        <f>IFERROR(H75-F75,"n/a")</f>
        <v>-0.7469999999999999</v>
      </c>
      <c r="I77" s="20">
        <f>IFERROR(I75-H75,"n/a")</f>
        <v>-0.30000000000000004</v>
      </c>
      <c r="J77" s="48" t="str">
        <f>IFERROR(J75-I75,"n/a")</f>
        <v>n/a</v>
      </c>
      <c r="K77" s="45"/>
    </row>
    <row r="78">
      <c r="B78" s="2" t="s">
        <v>251</v>
      </c>
      <c r="C78" s="12">
        <v>0.46</v>
      </c>
      <c r="D78" s="12">
        <v>0.919</v>
      </c>
      <c r="E78" s="12">
        <v>0.447</v>
      </c>
      <c r="F78" s="12">
        <v>0.595</v>
      </c>
      <c r="G78" s="20">
        <f>SUM(C78:F78)</f>
        <v>2.4210000000000003</v>
      </c>
      <c r="H78" s="12">
        <v>0.7</v>
      </c>
      <c r="I78" s="12">
        <v>0.7</v>
      </c>
      <c r="J78" s="53">
        <v>0.6</v>
      </c>
      <c r="K78" s="45" t="s">
        <v>252</v>
      </c>
    </row>
    <row r="79">
      <c r="B79" s="49" t="s">
        <v>116</v>
      </c>
      <c r="C79" s="9">
        <v>-0.585</v>
      </c>
      <c r="D79" s="9">
        <v>0.537</v>
      </c>
      <c r="E79" s="9">
        <v>-0.45</v>
      </c>
      <c r="F79" s="9">
        <v>-0.478</v>
      </c>
      <c r="G79" s="9">
        <v>-0.33899999999999997</v>
      </c>
      <c r="H79" s="19" t="str">
        <f>IFERROR(IF(OR(ABS(C78)&lt;0.5,H78*C78&lt;0),"n/m",H78/C78-1),"n/a")</f>
        <v>n/m</v>
      </c>
      <c r="I79" s="19">
        <f>IFERROR(IF(OR(ABS(D78)&lt;0.5,I78*D78&lt;0),"n/m",I78/D78-1),"n/a")</f>
        <v>-0.23830250272034825</v>
      </c>
      <c r="J79" s="46" t="str">
        <f>IFERROR(IF(OR(ABS(E78)&lt;0.5,J78*E78&lt;0),"n/m",J78/E78-1),"n/a")</f>
        <v>n/m</v>
      </c>
      <c r="K79" s="45"/>
    </row>
    <row r="80">
      <c r="B80" s="49" t="s">
        <v>117</v>
      </c>
      <c r="C80" s="19" t="s">
        <v>34</v>
      </c>
      <c r="D80" s="19" t="str">
        <f>IFERROR(IF(OR(ABS(C78)&lt;0.5,D78*C78&lt;0),"n/m",D78/C78-1),"n/a")</f>
        <v>n/m</v>
      </c>
      <c r="E80" s="19">
        <f>IFERROR(IF(OR(ABS(D78)&lt;0.5,E78*D78&lt;0),"n/m",E78/D78-1),"n/a")</f>
        <v>-0.5136017410228509</v>
      </c>
      <c r="F80" s="19" t="str">
        <f>IFERROR(IF(OR(ABS(E78)&lt;0.5,F78*E78&lt;0),"n/m",F78/E78-1),"n/a")</f>
        <v>n/m</v>
      </c>
      <c r="G80" s="19" t="s">
        <v>34</v>
      </c>
      <c r="H80" s="19">
        <f>IFERROR(IF(OR(ABS(F78)&lt;0.5,H78*F78&lt;0),"n/m",H78/F78-1),"n/a")</f>
        <v>0.17647058823529416</v>
      </c>
      <c r="I80" s="19">
        <f>IFERROR(IF(OR(ABS(H78)&lt;0.5,I78*H78&lt;0),"n/m",I78/H78-1),"n/a")</f>
        <v>0</v>
      </c>
      <c r="J80" s="46">
        <f>IFERROR(IF(OR(ABS(I78)&lt;0.5,J78*I78&lt;0),"n/m",J78/I78-1),"n/a")</f>
        <v>-0.1428571428571428</v>
      </c>
      <c r="K80" s="45"/>
    </row>
    <row r="81">
      <c r="B81" s="42" t="s">
        <v>118</v>
      </c>
      <c r="C81" s="20" t="s">
        <v>34</v>
      </c>
      <c r="D81" s="20">
        <f>IFERROR(D78-C78,"n/a")</f>
        <v>0.459</v>
      </c>
      <c r="E81" s="20">
        <f>IFERROR(E78-D78,"n/a")</f>
        <v>-0.47200000000000003</v>
      </c>
      <c r="F81" s="20">
        <f>IFERROR(F78-E78,"n/a")</f>
        <v>0.14799999999999996</v>
      </c>
      <c r="G81" s="20" t="s">
        <v>34</v>
      </c>
      <c r="H81" s="20">
        <f>IFERROR(H78-F78,"n/a")</f>
        <v>0.10499999999999998</v>
      </c>
      <c r="I81" s="20">
        <f>IFERROR(I78-H78,"n/a")</f>
        <v>0</v>
      </c>
      <c r="J81" s="48">
        <f>IFERROR(J78-I78,"n/a")</f>
        <v>-0.09999999999999998</v>
      </c>
      <c r="K81" s="45"/>
    </row>
    <row r="82">
      <c r="B82" s="49" t="s">
        <v>119</v>
      </c>
      <c r="C82" s="33">
        <f>IFERROR(C78/'Revenue summary'!C40,"n/a")</f>
        <v>0.0006167658408261445</v>
      </c>
      <c r="D82" s="33">
        <f>IFERROR(D78/'Revenue summary'!D40,"n/a")</f>
        <v>0.0011893684181917717</v>
      </c>
      <c r="E82" s="33">
        <f>IFERROR(E78/'Revenue summary'!E40,"n/a")</f>
        <v>0.0005633795716298685</v>
      </c>
      <c r="F82" s="33">
        <f>IFERROR(F78/'Revenue summary'!F40,"n/a")</f>
        <v>0.0007233796296296297</v>
      </c>
      <c r="G82" s="33">
        <f>IFERROR(G78/'Revenue summary'!G40,"n/a")</f>
        <v>0.0007723820920930853</v>
      </c>
      <c r="H82" s="33">
        <f>IFERROR(H78/'Revenue summary'!H40,"n/a")</f>
        <v>0.0008227550540667607</v>
      </c>
      <c r="I82" s="33">
        <f>IFERROR(I78/'Revenue summary'!I40,"n/a")</f>
        <v>0.0008073817762399077</v>
      </c>
      <c r="J82" s="69">
        <f>IFERROR(J78/'Revenue summary'!J40,"n/a")</f>
        <v>0.0006761509274936264</v>
      </c>
      <c r="K82" s="45"/>
    </row>
    <row r="83">
      <c r="B83" s="65" t="s">
        <v>120</v>
      </c>
      <c r="C83" s="62" t="s">
        <v>34</v>
      </c>
      <c r="D83" s="62" t="s">
        <v>34</v>
      </c>
      <c r="E83" s="62" t="s">
        <v>34</v>
      </c>
      <c r="F83" s="62" t="s">
        <v>34</v>
      </c>
      <c r="G83" s="62" t="s">
        <v>34</v>
      </c>
      <c r="H83" s="62">
        <f>IFERROR((H82-C82)*10000,"n/a")</f>
        <v>2.059892132406162</v>
      </c>
      <c r="I83" s="62">
        <f>IFERROR((I82-D82)*10000,"n/a")</f>
        <v>-3.81986641951864</v>
      </c>
      <c r="J83" s="64">
        <f>IFERROR((J82-E82)*10000,"n/a")</f>
        <v>1.1277135586375795</v>
      </c>
      <c r="K83" s="45"/>
    </row>
    <row r="84">
      <c r="B84" s="65" t="s">
        <v>121</v>
      </c>
      <c r="C84" s="62" t="s">
        <v>34</v>
      </c>
      <c r="D84" s="62">
        <f>IFERROR((D82-C82)*10000,"n/a")</f>
        <v>5.726025773656271</v>
      </c>
      <c r="E84" s="62">
        <f>IFERROR((E82-D82)*10000,"n/a")</f>
        <v>-6.259888465619032</v>
      </c>
      <c r="F84" s="62">
        <f>IFERROR((F82-E82)*10000,"n/a")</f>
        <v>1.6000005799976122</v>
      </c>
      <c r="G84" s="62" t="s">
        <v>34</v>
      </c>
      <c r="H84" s="62">
        <f>IFERROR((H82-F82)*10000,"n/a")</f>
        <v>0.9937542443713102</v>
      </c>
      <c r="I84" s="62">
        <f>IFERROR((I82-H82)*10000,"n/a")</f>
        <v>-0.15373277826853052</v>
      </c>
      <c r="J84" s="64">
        <f>IFERROR((J82-I82)*10000,"n/a")</f>
        <v>-1.3123084874628124</v>
      </c>
      <c r="K84" s="45"/>
    </row>
    <row r="85">
      <c r="B85" s="49" t="s">
        <v>122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58">
        <v>0</v>
      </c>
      <c r="K85" s="45" t="s">
        <v>195</v>
      </c>
    </row>
    <row r="86">
      <c r="B86" s="49" t="s">
        <v>124</v>
      </c>
      <c r="C86" s="9">
        <v>0.002</v>
      </c>
      <c r="D86" s="9">
        <v>0.019</v>
      </c>
      <c r="E86" s="9">
        <v>0.001</v>
      </c>
      <c r="F86" s="9">
        <v>0.003</v>
      </c>
      <c r="G86" s="9">
        <v>0.004</v>
      </c>
      <c r="H86" s="9">
        <v>0</v>
      </c>
      <c r="I86" s="9">
        <v>0</v>
      </c>
      <c r="J86" s="58">
        <v>0</v>
      </c>
      <c r="K86" s="45" t="s">
        <v>196</v>
      </c>
    </row>
    <row r="87">
      <c r="B87" s="49" t="s">
        <v>125</v>
      </c>
      <c r="C87" s="19">
        <f>IFERROR((1+C79)/((1+C85)*(1+C86))-1,"n/a")</f>
        <v>-0.5858283433133733</v>
      </c>
      <c r="D87" s="19">
        <f>IFERROR((1+D79)/((1+D85)*(1+D86))-1,"n/a")</f>
        <v>0.5083415112855743</v>
      </c>
      <c r="E87" s="19">
        <f>IFERROR((1+E79)/((1+E85)*(1+E86))-1,"n/a")</f>
        <v>-0.4505494505494504</v>
      </c>
      <c r="F87" s="19">
        <f>IFERROR((1+F79)/((1+F85)*(1+F86))-1,"n/a")</f>
        <v>-0.4795613160518444</v>
      </c>
      <c r="G87" s="19">
        <f>IFERROR((1+G79)/((1+G85)*(1+G86))-1,"n/a")</f>
        <v>-0.3416334661354581</v>
      </c>
      <c r="H87" s="19" t="str">
        <f>IFERROR((1+H79)/((1+H85)*(1+H86))-1,"n/a")</f>
        <v>n/a</v>
      </c>
      <c r="I87" s="19">
        <f>IFERROR((1+I79)/((1+I85)*(1+I86))-1,"n/a")</f>
        <v>-0.23830250272034825</v>
      </c>
      <c r="J87" s="46" t="str">
        <f>IFERROR((1+J79)/((1+J85)*(1+J86))-1,"n/a")</f>
        <v>n/a</v>
      </c>
      <c r="K87" s="45" t="s">
        <v>126</v>
      </c>
    </row>
    <row r="88">
      <c r="B88" s="30" t="s">
        <v>253</v>
      </c>
      <c r="C88" s="19">
        <f>IFERROR(C78/C75,"n/a")</f>
        <v>0.4335532516493874</v>
      </c>
      <c r="D88" s="19">
        <f>IFERROR(D78/D75,"n/a")</f>
        <v>1.214002642007926</v>
      </c>
      <c r="E88" s="19">
        <f>IFERROR(E78/E75,"n/a")</f>
        <v>0.476038338658147</v>
      </c>
      <c r="F88" s="19">
        <f>IFERROR(F78/F75,"n/a")</f>
        <v>0.38461538461538464</v>
      </c>
      <c r="G88" s="19">
        <f>IFERROR(G78/G75,"n/a")</f>
        <v>0.5625</v>
      </c>
      <c r="H88" s="19">
        <f>IFERROR(H78/H75,"n/a")</f>
        <v>0.8749999999999999</v>
      </c>
      <c r="I88" s="19">
        <f>IFERROR(I78/I75,"n/a")</f>
        <v>1.4</v>
      </c>
      <c r="J88" s="46" t="s">
        <v>34</v>
      </c>
      <c r="K88" s="45"/>
    </row>
    <row r="89">
      <c r="B89" s="49" t="s">
        <v>120</v>
      </c>
      <c r="C89" s="62" t="s">
        <v>34</v>
      </c>
      <c r="D89" s="62" t="s">
        <v>34</v>
      </c>
      <c r="E89" s="62" t="s">
        <v>34</v>
      </c>
      <c r="F89" s="62" t="s">
        <v>34</v>
      </c>
      <c r="G89" s="62" t="s">
        <v>34</v>
      </c>
      <c r="H89" s="62">
        <f>IFERROR((H88-C88)*10000,"n/a")</f>
        <v>4414.467483506125</v>
      </c>
      <c r="I89" s="62">
        <f>IFERROR((I88-D88)*10000,"n/a")</f>
        <v>1859.9735799207394</v>
      </c>
      <c r="J89" s="64" t="str">
        <f>IFERROR((J88-E88)*10000,"n/a")</f>
        <v>n/a</v>
      </c>
      <c r="K89" s="45"/>
    </row>
    <row r="90">
      <c r="B90" s="49" t="s">
        <v>121</v>
      </c>
      <c r="C90" s="62" t="s">
        <v>34</v>
      </c>
      <c r="D90" s="62">
        <f>IFERROR((D88-C88)*10000,"n/a")</f>
        <v>7804.493903585386</v>
      </c>
      <c r="E90" s="62">
        <f>IFERROR((E88-D88)*10000,"n/a")</f>
        <v>-7379.6430334977895</v>
      </c>
      <c r="F90" s="62">
        <f>IFERROR((F88-E88)*10000,"n/a")</f>
        <v>-914.2295404276235</v>
      </c>
      <c r="G90" s="62" t="s">
        <v>34</v>
      </c>
      <c r="H90" s="62">
        <f>IFERROR((H88-F88)*10000,"n/a")</f>
        <v>4903.846153846152</v>
      </c>
      <c r="I90" s="62">
        <f>IFERROR((I88-H88)*10000,"n/a")</f>
        <v>5250</v>
      </c>
      <c r="J90" s="64" t="str">
        <f>IFERROR((J88-I88)*10000,"n/a")</f>
        <v>n/a</v>
      </c>
      <c r="K90" s="45"/>
    </row>
    <row r="91">
      <c r="B91" s="24" t="s">
        <v>254</v>
      </c>
      <c r="C91" s="10"/>
      <c r="D91" s="10"/>
      <c r="E91" s="10"/>
      <c r="F91" s="10"/>
      <c r="G91" s="10"/>
      <c r="H91" s="10"/>
      <c r="I91" s="10"/>
      <c r="J91" s="51"/>
      <c r="K91" s="45"/>
    </row>
    <row r="92">
      <c r="B92" s="24" t="s">
        <v>255</v>
      </c>
      <c r="C92" s="60">
        <f>C64+C78</f>
        <v>67.279</v>
      </c>
      <c r="D92" s="60">
        <f>D64+D78</f>
        <v>71.232</v>
      </c>
      <c r="E92" s="60">
        <f>E64+E78</f>
        <v>69.971</v>
      </c>
      <c r="F92" s="60">
        <f>F64+F78</f>
        <v>70.857</v>
      </c>
      <c r="G92" s="60">
        <f>G64+G78</f>
        <v>279.339</v>
      </c>
      <c r="H92" s="60">
        <f>H64+H78</f>
        <v>72.60000000000001</v>
      </c>
      <c r="I92" s="60">
        <f>I64+I78</f>
        <v>74.7</v>
      </c>
      <c r="J92" s="50">
        <f>J64+J78</f>
        <v>75.5198804366699</v>
      </c>
      <c r="K92" s="45" t="s">
        <v>256</v>
      </c>
    </row>
    <row r="93">
      <c r="B93" s="49" t="s">
        <v>116</v>
      </c>
      <c r="C93" s="33">
        <f>IFERROR(IF(OR(ABS(Inputs!C255)&lt;0.5,C92*Inputs!C255&lt;0),"n/m",C92/Inputs!C255-1),"n/a")</f>
        <v>0.04725806702675772</v>
      </c>
      <c r="D93" s="33">
        <f>IFERROR(IF(OR(ABS(Inputs!D255)&lt;0.5,D92*Inputs!D255&lt;0),"n/m",D92/Inputs!D255-1),"n/a")</f>
        <v>0.09744711664381356</v>
      </c>
      <c r="E93" s="33">
        <f>IFERROR(IF(OR(ABS(Inputs!E255)&lt;0.5,E92*Inputs!E255&lt;0),"n/m",E92/Inputs!E255-1),"n/a")</f>
        <v>0.09665538210770497</v>
      </c>
      <c r="F93" s="33">
        <f>IFERROR(IF(OR(ABS(Inputs!F255)&lt;0.5,F92*Inputs!F255&lt;0),"n/m",F92/Inputs!F255-1),"n/a")</f>
        <v>0.08445185876735173</v>
      </c>
      <c r="G93" s="33">
        <f>IFERROR(IF(OR(ABS(Inputs!G255)&lt;0.5,G92*Inputs!G255&lt;0),"n/m",G92/Inputs!G255-1),"n/a")</f>
        <v>0.08148110866341707</v>
      </c>
      <c r="H93" s="19">
        <f>IFERROR(IF(OR(ABS(C92)&lt;0.5,H92*C92&lt;0),"n/m",H92/C92-1),"n/a")</f>
        <v>0.07908857147103876</v>
      </c>
      <c r="I93" s="19">
        <f>IFERROR(IF(OR(ABS(D92)&lt;0.5,I92*D92&lt;0),"n/m",I92/D92-1),"n/a")</f>
        <v>0.04868598382749334</v>
      </c>
      <c r="J93" s="46">
        <f>IFERROR(IF(OR(ABS(E92)&lt;0.5,J92*E92&lt;0),"n/m",J92/E92-1),"n/a")</f>
        <v>0.07930257444755529</v>
      </c>
      <c r="K93" s="45"/>
    </row>
    <row r="94">
      <c r="B94" s="49" t="s">
        <v>117</v>
      </c>
      <c r="C94" s="33">
        <f>IFERROR(IF(OR(ABS(Inputs!F255)&lt;0.5,C92*Inputs!F255&lt;0),"n/m",C92/Inputs!F255-1),"n/a")</f>
        <v>0.029691302285005827</v>
      </c>
      <c r="D94" s="19">
        <f>IFERROR(IF(OR(ABS(C92)&lt;0.5,D92*C92&lt;0),"n/m",D92/C92-1),"n/a")</f>
        <v>0.058755332273071836</v>
      </c>
      <c r="E94" s="19">
        <f>IFERROR(IF(OR(ABS(D92)&lt;0.5,E92*D92&lt;0),"n/m",E92/D92-1),"n/a")</f>
        <v>-0.017702717879604646</v>
      </c>
      <c r="F94" s="19">
        <f>IFERROR(IF(OR(ABS(E92)&lt;0.5,F92*E92&lt;0),"n/m",F92/E92-1),"n/a")</f>
        <v>0.01266238870389147</v>
      </c>
      <c r="G94" s="19" t="s">
        <v>34</v>
      </c>
      <c r="H94" s="19">
        <f>IFERROR(IF(OR(ABS(F92)&lt;0.5,H92*F92&lt;0),"n/m",H92/F92-1),"n/a")</f>
        <v>0.024598839917016058</v>
      </c>
      <c r="I94" s="19">
        <f>IFERROR(IF(OR(ABS(H92)&lt;0.5,I92*H92&lt;0),"n/m",I92/H92-1),"n/a")</f>
        <v>0.02892561983471076</v>
      </c>
      <c r="J94" s="46">
        <f>IFERROR(IF(OR(ABS(I92)&lt;0.5,J92*I92&lt;0),"n/m",J92/I92-1),"n/a")</f>
        <v>0.010975641722488438</v>
      </c>
      <c r="K94" s="45"/>
    </row>
    <row r="95">
      <c r="B95" s="42" t="s">
        <v>118</v>
      </c>
      <c r="C95" s="4">
        <f>IFERROR(C92-Inputs!F255,"n/a")</f>
        <v>1.9399999999999977</v>
      </c>
      <c r="D95" s="20">
        <f>IFERROR(D92-C92,"n/a")</f>
        <v>3.953000000000003</v>
      </c>
      <c r="E95" s="20">
        <f>IFERROR(E92-D92,"n/a")</f>
        <v>-1.2609999999999957</v>
      </c>
      <c r="F95" s="20">
        <f>IFERROR(F92-E92,"n/a")</f>
        <v>0.8859999999999957</v>
      </c>
      <c r="G95" s="20" t="s">
        <v>34</v>
      </c>
      <c r="H95" s="20">
        <f>IFERROR(H92-F92,"n/a")</f>
        <v>1.7430000000000092</v>
      </c>
      <c r="I95" s="20">
        <f>IFERROR(I92-H92,"n/a")</f>
        <v>2.0999999999999943</v>
      </c>
      <c r="J95" s="48">
        <f>IFERROR(J92-I92,"n/a")</f>
        <v>0.8198804366698909</v>
      </c>
      <c r="K95" s="45"/>
    </row>
    <row r="96">
      <c r="B96" s="49" t="s">
        <v>119</v>
      </c>
      <c r="C96" s="33">
        <f>IFERROR(C92/'Revenue summary'!C40,"n/a")</f>
        <v>0.09020736740204821</v>
      </c>
      <c r="D96" s="33">
        <f>IFERROR(D92/'Revenue summary'!D40,"n/a")</f>
        <v>0.09218834729557811</v>
      </c>
      <c r="E96" s="33">
        <f>IFERROR(E92/'Revenue summary'!E40,"n/a")</f>
        <v>0.08818843849331887</v>
      </c>
      <c r="F96" s="33">
        <f>IFERROR(F92/'Revenue summary'!F40,"n/a")</f>
        <v>0.08614539565826332</v>
      </c>
      <c r="G96" s="33">
        <f>IFERROR(G92/'Revenue summary'!G40,"n/a")</f>
        <v>0.08911872830367218</v>
      </c>
      <c r="H96" s="33">
        <f>IFERROR(H92/'Revenue summary'!H40,"n/a")</f>
        <v>0.08533145275035263</v>
      </c>
      <c r="I96" s="33">
        <f>IFERROR(I92/'Revenue summary'!I40,"n/a")</f>
        <v>0.08615916955017301</v>
      </c>
      <c r="J96" s="69">
        <f>IFERROR(J92/'Revenue summary'!J40,"n/a")</f>
        <v>0.08510472866910354</v>
      </c>
      <c r="K96" s="45"/>
    </row>
    <row r="97">
      <c r="B97" s="65" t="s">
        <v>120</v>
      </c>
      <c r="C97" s="47">
        <f>IFERROR((C96-Inputs!C258)*10000,"n/a")</f>
        <v>-42.72495532073386</v>
      </c>
      <c r="D97" s="47">
        <f>IFERROR((D96-Inputs!D258)*10000,"n/a")</f>
        <v>5.051893279843927</v>
      </c>
      <c r="E97" s="47">
        <f>IFERROR((E96-Inputs!E258)*10000,"n/a")</f>
        <v>1.4709753389399727</v>
      </c>
      <c r="F97" s="47">
        <f>IFERROR((F96-Inputs!F258)*10000,"n/a")</f>
        <v>-17.338364693908204</v>
      </c>
      <c r="G97" s="47">
        <f>IFERROR((G96-Inputs!G258)*10000,"n/a")</f>
        <v>-13.159440919627425</v>
      </c>
      <c r="H97" s="62">
        <f>IFERROR((H96-C96)*10000,"n/a")</f>
        <v>-48.759146516955816</v>
      </c>
      <c r="I97" s="62">
        <f>IFERROR((I96-D96)*10000,"n/a")</f>
        <v>-60.29177745405095</v>
      </c>
      <c r="J97" s="64">
        <f>IFERROR((J96-E96)*10000,"n/a")</f>
        <v>-30.83709824215325</v>
      </c>
      <c r="K97" s="45"/>
    </row>
    <row r="98">
      <c r="B98" s="65" t="s">
        <v>121</v>
      </c>
      <c r="C98" s="47">
        <f>IFERROR((C96-Inputs!F258)*10000,"n/a")</f>
        <v>23.28135274394072</v>
      </c>
      <c r="D98" s="62">
        <f>IFERROR((D96-C96)*10000,"n/a")</f>
        <v>19.809798935298968</v>
      </c>
      <c r="E98" s="62">
        <f>IFERROR((E96-D96)*10000,"n/a")</f>
        <v>-39.99908802259242</v>
      </c>
      <c r="F98" s="62">
        <f>IFERROR((F96-E96)*10000,"n/a")</f>
        <v>-20.430428350555474</v>
      </c>
      <c r="G98" s="62" t="s">
        <v>34</v>
      </c>
      <c r="H98" s="62">
        <f>IFERROR((H96-F96)*10000,"n/a")</f>
        <v>-8.139429079106892</v>
      </c>
      <c r="I98" s="62">
        <f>IFERROR((I96-H96)*10000,"n/a")</f>
        <v>8.277167998203828</v>
      </c>
      <c r="J98" s="64">
        <f>IFERROR((J96-I96)*10000,"n/a")</f>
        <v>-10.54440881069471</v>
      </c>
      <c r="K98" s="45"/>
    </row>
    <row r="99">
      <c r="B99" s="49" t="s">
        <v>122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46">
        <f>(J71*E64+J85*E78)/E92</f>
        <v>0</v>
      </c>
      <c r="K99" s="45" t="s">
        <v>195</v>
      </c>
    </row>
    <row r="100">
      <c r="B100" s="49" t="s">
        <v>124</v>
      </c>
      <c r="C100" s="9">
        <v>-0.005</v>
      </c>
      <c r="D100" s="9">
        <v>0.015</v>
      </c>
      <c r="E100" s="9">
        <v>0.014</v>
      </c>
      <c r="F100" s="9">
        <v>0.018000000000000002</v>
      </c>
      <c r="G100" s="9">
        <v>0.01</v>
      </c>
      <c r="H100" s="9">
        <v>0.026</v>
      </c>
      <c r="I100" s="9">
        <v>0.005</v>
      </c>
      <c r="J100" s="46">
        <f>(J72*E64+J86*E78)/E92</f>
        <v>-0.003974446556430521</v>
      </c>
      <c r="K100" s="45" t="s">
        <v>196</v>
      </c>
    </row>
    <row r="101">
      <c r="B101" s="49" t="s">
        <v>125</v>
      </c>
      <c r="C101" s="19">
        <f>IFERROR((1+C93)/((1+C99)*(1+C100))-1,"n/a")</f>
        <v>0.052520670378650935</v>
      </c>
      <c r="D101" s="19">
        <f>IFERROR((1+D93)/((1+D99)*(1+D100))-1,"n/a")</f>
        <v>0.08122868634858493</v>
      </c>
      <c r="E101" s="19">
        <f>IFERROR((1+E93)/((1+E99)*(1+E100))-1,"n/a")</f>
        <v>0.08151418353817053</v>
      </c>
      <c r="F101" s="19">
        <f>IFERROR((1+F93)/((1+F99)*(1+F100))-1,"n/a")</f>
        <v>0.06527687501704493</v>
      </c>
      <c r="G101" s="19">
        <f>IFERROR((1+G93)/((1+G99)*(1+G100))-1,"n/a")</f>
        <v>0.07077337491427427</v>
      </c>
      <c r="H101" s="19">
        <f>IFERROR((1+H93)/((1+H99)*(1+H100))-1,"n/a")</f>
        <v>0.05174324704779609</v>
      </c>
      <c r="I101" s="19">
        <f>IFERROR((1+I93)/((1+I99)*(1+I100))-1,"n/a")</f>
        <v>0.04346864062437161</v>
      </c>
      <c r="J101" s="46">
        <f>IFERROR((1+J93)/((1+J99)*(1+J100))-1,"n/a")</f>
        <v>0.08360932178503977</v>
      </c>
      <c r="K101" s="45" t="s">
        <v>126</v>
      </c>
    </row>
    <row r="102">
      <c r="B102" s="24" t="s">
        <v>257</v>
      </c>
      <c r="C102" s="10"/>
      <c r="D102" s="10"/>
      <c r="E102" s="10"/>
      <c r="F102" s="10"/>
      <c r="G102" s="10"/>
      <c r="H102" s="10"/>
      <c r="I102" s="10"/>
      <c r="J102" s="51"/>
      <c r="K102" s="45"/>
    </row>
    <row r="103">
      <c r="B103" s="2" t="s">
        <v>258</v>
      </c>
      <c r="C103" s="12">
        <v>53.06</v>
      </c>
      <c r="D103" s="12">
        <v>51.294</v>
      </c>
      <c r="E103" s="12">
        <v>50.648</v>
      </c>
      <c r="F103" s="12">
        <v>54.9</v>
      </c>
      <c r="G103" s="20">
        <f>SUM(C103:F103)</f>
        <v>209.902</v>
      </c>
      <c r="H103" s="12">
        <v>58.9</v>
      </c>
      <c r="I103" s="12">
        <v>57.6</v>
      </c>
      <c r="J103" s="53">
        <v>58</v>
      </c>
      <c r="K103" s="45" t="s">
        <v>259</v>
      </c>
    </row>
    <row r="104">
      <c r="B104" s="49" t="s">
        <v>150</v>
      </c>
      <c r="C104" s="33">
        <f>IFERROR(IF(OR(ABS(Inputs!C257)&lt;0.5,C103*Inputs!C257&lt;0),"n/m",C103/Inputs!C257-1),"n/a")</f>
        <v>0.02565093847254185</v>
      </c>
      <c r="D104" s="33">
        <f>IFERROR(IF(OR(ABS(Inputs!D257)&lt;0.5,D103*Inputs!D257&lt;0),"n/m",D103/Inputs!D257-1),"n/a")</f>
        <v>0.07887430590610811</v>
      </c>
      <c r="E104" s="33">
        <f>IFERROR(IF(OR(ABS(Inputs!E257)&lt;0.5,E103*Inputs!E257&lt;0),"n/m",E103/Inputs!E257-1),"n/a")</f>
        <v>0.06569035896141062</v>
      </c>
      <c r="F104" s="33">
        <f>IFERROR(IF(OR(ABS(Inputs!F257)&lt;0.5,F103*Inputs!F257&lt;0),"n/m",F103/Inputs!F257-1),"n/a")</f>
        <v>0.096618260991151</v>
      </c>
      <c r="G104" s="33">
        <f>IFERROR(IF(OR(ABS(Inputs!G257)&lt;0.5,G103*Inputs!G257&lt;0),"n/m",G103/Inputs!G257-1),"n/a")</f>
        <v>0.06621763026627225</v>
      </c>
      <c r="H104" s="19">
        <f>IFERROR(IF(OR(ABS(C103)&lt;0.5,H103*C103&lt;0),"n/m",H103/C103-1),"n/a")</f>
        <v>0.1100640784018092</v>
      </c>
      <c r="I104" s="19">
        <f>IFERROR(IF(OR(ABS(D103)&lt;0.5,I103*D103&lt;0),"n/m",I103/D103-1),"n/a")</f>
        <v>0.12293835536320041</v>
      </c>
      <c r="J104" s="46">
        <f>IFERROR(IF(OR(ABS(E103)&lt;0.5,J103*E103&lt;0),"n/m",J103/E103-1),"n/a")</f>
        <v>0.145158742694677</v>
      </c>
      <c r="K104" s="45"/>
    </row>
    <row r="105">
      <c r="B105" s="42" t="s">
        <v>118</v>
      </c>
      <c r="C105" s="4">
        <f>IFERROR(C103-Inputs!F257,"n/a")</f>
        <v>2.997</v>
      </c>
      <c r="D105" s="20">
        <f>IFERROR(D103-C103,"n/a")</f>
        <v>-1.7660000000000053</v>
      </c>
      <c r="E105" s="20">
        <f>IFERROR(E103-D103,"n/a")</f>
        <v>-0.6459999999999937</v>
      </c>
      <c r="F105" s="20">
        <f>IFERROR(F103-E103,"n/a")</f>
        <v>4.251999999999995</v>
      </c>
      <c r="G105" s="20" t="s">
        <v>34</v>
      </c>
      <c r="H105" s="20">
        <f>IFERROR(H103-F103,"n/a")</f>
        <v>4</v>
      </c>
      <c r="I105" s="20">
        <f>IFERROR(I103-H103,"n/a")</f>
        <v>-1.2999999999999972</v>
      </c>
      <c r="J105" s="48">
        <f>IFERROR(J103-I103,"n/a")</f>
        <v>0.3999999999999986</v>
      </c>
      <c r="K105" s="45"/>
    </row>
    <row r="106">
      <c r="B106" s="24" t="s">
        <v>260</v>
      </c>
      <c r="C106" s="60">
        <f>C92-C103</f>
        <v>14.218999999999994</v>
      </c>
      <c r="D106" s="60">
        <f>D92-D103</f>
        <v>19.938000000000002</v>
      </c>
      <c r="E106" s="60">
        <f>E92-E103</f>
        <v>19.323</v>
      </c>
      <c r="F106" s="60">
        <f>F92-F103</f>
        <v>15.957</v>
      </c>
      <c r="G106" s="60">
        <f>G92-G103</f>
        <v>69.43700000000001</v>
      </c>
      <c r="H106" s="60">
        <f>H92-H103</f>
        <v>13.70000000000001</v>
      </c>
      <c r="I106" s="60">
        <f>I92-I103</f>
        <v>17.1</v>
      </c>
      <c r="J106" s="50">
        <f>J92-J103</f>
        <v>17.519880436669894</v>
      </c>
      <c r="K106" s="45"/>
    </row>
    <row r="107">
      <c r="B107" s="49" t="s">
        <v>150</v>
      </c>
      <c r="C107" s="33">
        <f>IFERROR(IF(OR(ABS(Inputs!C256)&lt;0.5,C106*Inputs!C256&lt;0),"n/m",C106/Inputs!C256-1),"n/a")</f>
        <v>0.1366107114308548</v>
      </c>
      <c r="D107" s="33">
        <f>IFERROR(IF(OR(ABS(Inputs!D256)&lt;0.5,D106*Inputs!D256&lt;0),"n/m",D106/Inputs!D256-1),"n/a")</f>
        <v>0.14830386453953825</v>
      </c>
      <c r="E107" s="33">
        <f>IFERROR(IF(OR(ABS(Inputs!E256)&lt;0.5,E106*Inputs!E256&lt;0),"n/m",E106/Inputs!E256-1),"n/a")</f>
        <v>0.18706229266494678</v>
      </c>
      <c r="F107" s="33">
        <f>IFERROR(IF(OR(ABS(Inputs!F256)&lt;0.5,F106*Inputs!F256&lt;0),"n/m",F106/Inputs!F256-1),"n/a")</f>
        <v>0.04457973291437556</v>
      </c>
      <c r="G107" s="33">
        <f>IFERROR(IF(OR(ABS(Inputs!G256)&lt;0.5,G106*Inputs!G256&lt;0),"n/m",G106/Inputs!G256-1),"n/a")</f>
        <v>0.1303986846175138</v>
      </c>
      <c r="H107" s="19">
        <f>IFERROR(IF(OR(ABS(C106)&lt;0.5,H106*C106&lt;0),"n/m",H106/C106-1),"n/a")</f>
        <v>-0.03650045713481853</v>
      </c>
      <c r="I107" s="19">
        <f>IFERROR(IF(OR(ABS(D106)&lt;0.5,I106*D106&lt;0),"n/m",I106/D106-1),"n/a")</f>
        <v>-0.14234125789948848</v>
      </c>
      <c r="J107" s="46">
        <f>IFERROR(IF(OR(ABS(E106)&lt;0.5,J106*E106&lt;0),"n/m",J106/E106-1),"n/a")</f>
        <v>-0.09331468008746602</v>
      </c>
      <c r="K107" s="45"/>
    </row>
    <row r="108">
      <c r="B108" s="42" t="s">
        <v>118</v>
      </c>
      <c r="C108" s="4">
        <f>IFERROR(C106-Inputs!F256,"n/a")</f>
        <v>-1.0570000000000057</v>
      </c>
      <c r="D108" s="20">
        <f>IFERROR(D106-C106,"n/a")</f>
        <v>5.719000000000008</v>
      </c>
      <c r="E108" s="20">
        <f>IFERROR(E106-D106,"n/a")</f>
        <v>-0.615000000000002</v>
      </c>
      <c r="F108" s="20">
        <f>IFERROR(F106-E106,"n/a")</f>
        <v>-3.3659999999999997</v>
      </c>
      <c r="G108" s="20" t="s">
        <v>34</v>
      </c>
      <c r="H108" s="20">
        <f>IFERROR(H106-F106,"n/a")</f>
        <v>-2.256999999999991</v>
      </c>
      <c r="I108" s="20">
        <f>IFERROR(I106-H106,"n/a")</f>
        <v>3.3999999999999915</v>
      </c>
      <c r="J108" s="48">
        <f>IFERROR(J106-I106,"n/a")</f>
        <v>0.4198804366698923</v>
      </c>
      <c r="K108" s="45"/>
    </row>
    <row r="109">
      <c r="B109" s="30" t="s">
        <v>261</v>
      </c>
      <c r="C109" s="19">
        <f>C106/C92</f>
        <v>0.2113438071314971</v>
      </c>
      <c r="D109" s="19">
        <f>D106/D92</f>
        <v>0.2799022911051213</v>
      </c>
      <c r="E109" s="19">
        <f>E106/E92</f>
        <v>0.2761572651527061</v>
      </c>
      <c r="F109" s="19">
        <f>F106/F92</f>
        <v>0.22520005080655406</v>
      </c>
      <c r="G109" s="19">
        <f>G106/G92</f>
        <v>0.2485761028714215</v>
      </c>
      <c r="H109" s="19">
        <f>H106/H92</f>
        <v>0.18870523415977972</v>
      </c>
      <c r="I109" s="19">
        <f>I106/I92</f>
        <v>0.22891566265060243</v>
      </c>
      <c r="J109" s="46">
        <f>J106/J92</f>
        <v>0.23199030951011457</v>
      </c>
      <c r="K109" s="45"/>
    </row>
    <row r="110">
      <c r="B110" s="49" t="s">
        <v>120</v>
      </c>
      <c r="C110" s="47">
        <f>IFERROR((C109-Inputs!C260)*10000,"n/a")</f>
        <v>166.14420272228398</v>
      </c>
      <c r="D110" s="47">
        <f>IFERROR((D109-Inputs!D260)*10000,"n/a")</f>
        <v>123.96475091440206</v>
      </c>
      <c r="E110" s="47">
        <f>IFERROR((E109-Inputs!E260)*10000,"n/a")</f>
        <v>210.3219462421263</v>
      </c>
      <c r="F110" s="47">
        <f>IFERROR((F109-Inputs!F260)*10000,"n/a")</f>
        <v>-85.95997495378927</v>
      </c>
      <c r="G110" s="47">
        <f>IFERROR((G109-Inputs!G260)*10000,"n/a")</f>
        <v>107.5703692693214</v>
      </c>
      <c r="H110" s="62">
        <f>IFERROR((H109-C109)*10000,"n/a")</f>
        <v>-226.38572971717397</v>
      </c>
      <c r="I110" s="62">
        <f>IFERROR((I109-D109)*10000,"n/a")</f>
        <v>-509.866284545189</v>
      </c>
      <c r="J110" s="64">
        <f>IFERROR((J109-E109)*10000,"n/a")</f>
        <v>-441.66955642591546</v>
      </c>
      <c r="K110" s="45"/>
    </row>
    <row r="111">
      <c r="B111" s="49" t="s">
        <v>121</v>
      </c>
      <c r="C111" s="47">
        <f>IFERROR((C109-Inputs!F260)*10000,"n/a")</f>
        <v>-224.52241170435872</v>
      </c>
      <c r="D111" s="62">
        <f>IFERROR((D109-C109)*10000,"n/a")</f>
        <v>685.5848397362421</v>
      </c>
      <c r="E111" s="62">
        <f>IFERROR((E109-D109)*10000,"n/a")</f>
        <v>-37.45025952415215</v>
      </c>
      <c r="F111" s="62">
        <f>IFERROR((F109-E109)*10000,"n/a")</f>
        <v>-509.5721434615205</v>
      </c>
      <c r="G111" s="62" t="s">
        <v>34</v>
      </c>
      <c r="H111" s="62">
        <f>IFERROR((H109-F109)*10000,"n/a")</f>
        <v>-364.9481664677434</v>
      </c>
      <c r="I111" s="62">
        <f>IFERROR((I109-H109)*10000,"n/a")</f>
        <v>402.1042849082271</v>
      </c>
      <c r="J111" s="64">
        <f>IFERROR((J109-I109)*10000,"n/a")</f>
        <v>30.746468595121424</v>
      </c>
      <c r="K111" s="45"/>
    </row>
    <row r="112">
      <c r="B112" s="30" t="s">
        <v>262</v>
      </c>
      <c r="C112" s="19">
        <f>C103/C92</f>
        <v>0.7886561928685029</v>
      </c>
      <c r="D112" s="19">
        <f>D103/D92</f>
        <v>0.7200977088948787</v>
      </c>
      <c r="E112" s="19">
        <f>E103/E92</f>
        <v>0.7238427348472939</v>
      </c>
      <c r="F112" s="19">
        <f>F103/F92</f>
        <v>0.774799949193446</v>
      </c>
      <c r="G112" s="19">
        <f>G103/G92</f>
        <v>0.7514238971285785</v>
      </c>
      <c r="H112" s="19">
        <f>H103/H92</f>
        <v>0.8112947658402203</v>
      </c>
      <c r="I112" s="19">
        <f>I103/I92</f>
        <v>0.7710843373493976</v>
      </c>
      <c r="J112" s="46">
        <f>J103/J92</f>
        <v>0.7680096904898854</v>
      </c>
      <c r="K112" s="45"/>
    </row>
    <row r="113">
      <c r="B113" s="49" t="s">
        <v>120</v>
      </c>
      <c r="C113" s="47">
        <f>IFERROR((C112-Inputs!C261)*10000,"n/a")</f>
        <v>-166.1442027222837</v>
      </c>
      <c r="D113" s="47">
        <f>IFERROR((D112-Inputs!D261)*10000,"n/a")</f>
        <v>-123.9647509144015</v>
      </c>
      <c r="E113" s="47">
        <f>IFERROR((E112-Inputs!E261)*10000,"n/a")</f>
        <v>-210.32194624212573</v>
      </c>
      <c r="F113" s="47">
        <f>IFERROR((F112-Inputs!F261)*10000,"n/a")</f>
        <v>85.95997495378982</v>
      </c>
      <c r="G113" s="47">
        <f>IFERROR((G112-Inputs!G261)*10000,"n/a")</f>
        <v>-107.57036926932085</v>
      </c>
      <c r="H113" s="62">
        <f>IFERROR((H112-C112)*10000,"n/a")</f>
        <v>226.3857297171745</v>
      </c>
      <c r="I113" s="62">
        <f>IFERROR((I112-D112)*10000,"n/a")</f>
        <v>509.86628454518956</v>
      </c>
      <c r="J113" s="64">
        <f>IFERROR((J112-E112)*10000,"n/a")</f>
        <v>441.66955642591546</v>
      </c>
      <c r="K113" s="45"/>
    </row>
    <row r="114">
      <c r="B114" s="49" t="s">
        <v>121</v>
      </c>
      <c r="C114" s="47">
        <f>IFERROR((C112-Inputs!F261)*10000,"n/a")</f>
        <v>224.52241170435872</v>
      </c>
      <c r="D114" s="62">
        <f>IFERROR((D112-C112)*10000,"n/a")</f>
        <v>-685.5848397362419</v>
      </c>
      <c r="E114" s="62">
        <f>IFERROR((E112-D112)*10000,"n/a")</f>
        <v>37.45025952415215</v>
      </c>
      <c r="F114" s="62">
        <f>IFERROR((F112-E112)*10000,"n/a")</f>
        <v>509.5721434615208</v>
      </c>
      <c r="G114" s="62" t="s">
        <v>34</v>
      </c>
      <c r="H114" s="62">
        <f>IFERROR((H112-F112)*10000,"n/a")</f>
        <v>364.9481664677434</v>
      </c>
      <c r="I114" s="62">
        <f>IFERROR((I112-H112)*10000,"n/a")</f>
        <v>-402.1042849082268</v>
      </c>
      <c r="J114" s="64">
        <f>IFERROR((J112-I112)*10000,"n/a")</f>
        <v>-30.74646859512198</v>
      </c>
      <c r="K114" s="45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1:K14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276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277</v>
      </c>
      <c r="C9" s="10"/>
      <c r="D9" s="10"/>
      <c r="E9" s="10"/>
      <c r="F9" s="10"/>
      <c r="G9" s="10"/>
      <c r="H9" s="10"/>
      <c r="I9" s="10"/>
      <c r="J9" s="51"/>
      <c r="K9" s="45" t="s">
        <v>135</v>
      </c>
    </row>
    <row r="10">
      <c r="B10" s="24" t="s">
        <v>278</v>
      </c>
      <c r="C10" s="73">
        <f>'Revenue summary'!C40</f>
        <v>745.8259999999999</v>
      </c>
      <c r="D10" s="73">
        <f>'Revenue summary'!D40</f>
        <v>772.6790000000001</v>
      </c>
      <c r="E10" s="73">
        <f>'Revenue summary'!E40</f>
        <v>793.4259999999999</v>
      </c>
      <c r="F10" s="73">
        <f>'Revenue summary'!F40</f>
        <v>822.5279999999999</v>
      </c>
      <c r="G10" s="73">
        <f>'Revenue summary'!G40</f>
        <v>3134.4590000000003</v>
      </c>
      <c r="H10" s="73">
        <f>'Revenue summary'!H40</f>
        <v>850.8</v>
      </c>
      <c r="I10" s="73">
        <f>'Revenue summary'!I40</f>
        <v>867</v>
      </c>
      <c r="J10" s="72">
        <f>'Revenue summary'!J40</f>
        <v>887.3758440650157</v>
      </c>
      <c r="K10" s="45" t="s">
        <v>279</v>
      </c>
    </row>
    <row r="11">
      <c r="B11" s="49" t="s">
        <v>150</v>
      </c>
      <c r="C11" s="33">
        <f>IFERROR(IF(OR(ABS(Inputs!C113)&lt;0.5,C10*Inputs!C113&lt;0),"n/m",C10/Inputs!C113-1),"n/a")</f>
        <v>0.09685939717485437</v>
      </c>
      <c r="D11" s="33">
        <f>IFERROR(IF(OR(ABS(Inputs!D113)&lt;0.5,D10*Inputs!D113&lt;0),"n/m",D10/Inputs!D113-1),"n/a")</f>
        <v>0.0914331399578221</v>
      </c>
      <c r="E11" s="33">
        <f>IFERROR(IF(OR(ABS(Inputs!E113)&lt;0.5,E10*Inputs!E113&lt;0),"n/m",E10/Inputs!E113-1),"n/a")</f>
        <v>0.09482617064874654</v>
      </c>
      <c r="F11" s="33">
        <f>IFERROR(IF(OR(ABS(Inputs!F113)&lt;0.5,F10*Inputs!F113&lt;0),"n/m",F10/Inputs!F113-1),"n/a")</f>
        <v>0.10627847141056779</v>
      </c>
      <c r="G11" s="33">
        <f>IFERROR(IF(OR(ABS(Inputs!G113)&lt;0.5,G10*Inputs!G113&lt;0),"n/m",G10/Inputs!G113-1),"n/a")</f>
        <v>0.09745046440495675</v>
      </c>
      <c r="H11" s="19">
        <f>IFERROR(IF(OR(ABS(C10)&lt;0.5,H10*C10&lt;0),"n/m",H10/C10-1),"n/a")</f>
        <v>0.14074864646713858</v>
      </c>
      <c r="I11" s="19">
        <f>IFERROR(IF(OR(ABS(D10)&lt;0.5,I10*D10&lt;0),"n/m",I10/D10-1),"n/a")</f>
        <v>0.12207009637896182</v>
      </c>
      <c r="J11" s="46">
        <f>IFERROR(IF(OR(ABS(E10)&lt;0.5,J10*E10&lt;0),"n/m",J10/E10-1),"n/a")</f>
        <v>0.11841034206720691</v>
      </c>
      <c r="K11" s="45"/>
    </row>
    <row r="12">
      <c r="B12" s="49" t="s">
        <v>117</v>
      </c>
      <c r="C12" s="33">
        <f>IFERROR(IF(OR(ABS(Inputs!F113)&lt;0.5,C10*Inputs!F113&lt;0),"n/m",C10/Inputs!F113-1),"n/a")</f>
        <v>0.003116303904861839</v>
      </c>
      <c r="D12" s="19">
        <f>IFERROR(IF(OR(ABS(C10)&lt;0.5,D10*C10&lt;0),"n/m",D10/C10-1),"n/a")</f>
        <v>0.0360043763558795</v>
      </c>
      <c r="E12" s="19">
        <f>IFERROR(IF(OR(ABS(D10)&lt;0.5,E10*D10&lt;0),"n/m",E10/D10-1),"n/a")</f>
        <v>0.026850736204814485</v>
      </c>
      <c r="F12" s="19">
        <f>IFERROR(IF(OR(ABS(E10)&lt;0.5,F10*E10&lt;0),"n/m",F10/E10-1),"n/a")</f>
        <v>0.03667890893416659</v>
      </c>
      <c r="G12" s="19" t="s">
        <v>34</v>
      </c>
      <c r="H12" s="19">
        <f>IFERROR(IF(OR(ABS(F10)&lt;0.5,H10*F10&lt;0),"n/m",H10/F10-1),"n/a")</f>
        <v>0.03437208216619991</v>
      </c>
      <c r="I12" s="19">
        <f>IFERROR(IF(OR(ABS(H10)&lt;0.5,I10*H10&lt;0),"n/m",I10/H10-1),"n/a")</f>
        <v>0.01904090267983083</v>
      </c>
      <c r="J12" s="46">
        <f>IFERROR(IF(OR(ABS(I10)&lt;0.5,J10*I10&lt;0),"n/m",J10/I10-1),"n/a")</f>
        <v>0.023501550247999603</v>
      </c>
      <c r="K12" s="45"/>
    </row>
    <row r="13">
      <c r="B13" s="42" t="s">
        <v>118</v>
      </c>
      <c r="C13" s="4">
        <f>IFERROR(C10-Inputs!F113,"n/a")</f>
        <v>2.3169999999998936</v>
      </c>
      <c r="D13" s="20">
        <f>IFERROR(D10-C10,"n/a")</f>
        <v>26.85300000000018</v>
      </c>
      <c r="E13" s="20">
        <f>IFERROR(E10-D10,"n/a")</f>
        <v>20.746999999999844</v>
      </c>
      <c r="F13" s="20">
        <f>IFERROR(F10-E10,"n/a")</f>
        <v>29.101999999999975</v>
      </c>
      <c r="G13" s="20" t="s">
        <v>34</v>
      </c>
      <c r="H13" s="20">
        <f>IFERROR(H10-F10,"n/a")</f>
        <v>28.272000000000048</v>
      </c>
      <c r="I13" s="20">
        <f>IFERROR(I10-H10,"n/a")</f>
        <v>16.200000000000045</v>
      </c>
      <c r="J13" s="48">
        <f>IFERROR(J10-I10,"n/a")</f>
        <v>20.375844065015713</v>
      </c>
      <c r="K13" s="45"/>
    </row>
    <row r="14">
      <c r="B14" s="42" t="s">
        <v>280</v>
      </c>
      <c r="C14" s="12">
        <v>136.79</v>
      </c>
      <c r="D14" s="12">
        <v>137.667</v>
      </c>
      <c r="E14" s="12">
        <v>132.528</v>
      </c>
      <c r="F14" s="12">
        <v>143.381</v>
      </c>
      <c r="G14" s="20">
        <f>SUM(C14:F14)</f>
        <v>550.366</v>
      </c>
      <c r="H14" s="12">
        <v>141.8</v>
      </c>
      <c r="I14" s="12">
        <v>149.9</v>
      </c>
      <c r="J14" s="53">
        <v>151</v>
      </c>
      <c r="K14" s="45" t="s">
        <v>281</v>
      </c>
    </row>
    <row r="15">
      <c r="B15" s="65" t="s">
        <v>150</v>
      </c>
      <c r="C15" s="33">
        <f>IFERROR(IF(OR(ABS(Inputs!C114)&lt;0.5,C14*Inputs!C114&lt;0),"n/m",C14/Inputs!C114-1),"n/a")</f>
        <v>0.06439765317397317</v>
      </c>
      <c r="D15" s="33">
        <f>IFERROR(IF(OR(ABS(Inputs!D114)&lt;0.5,D14*Inputs!D114&lt;0),"n/m",D14/Inputs!D114-1),"n/a")</f>
        <v>0.07460834133433236</v>
      </c>
      <c r="E15" s="33">
        <f>IFERROR(IF(OR(ABS(Inputs!E114)&lt;0.5,E14*Inputs!E114&lt;0),"n/m",E14/Inputs!E114-1),"n/a")</f>
        <v>0.05020920502092041</v>
      </c>
      <c r="F15" s="33">
        <f>IFERROR(IF(OR(ABS(Inputs!F114)&lt;0.5,F14*Inputs!F114&lt;0),"n/m",F14/Inputs!F114-1),"n/a")</f>
        <v>0.08979455334544362</v>
      </c>
      <c r="G15" s="33">
        <f>IFERROR(IF(OR(ABS(Inputs!G114)&lt;0.5,G14*Inputs!G114&lt;0),"n/m",G14/Inputs!G114-1),"n/a")</f>
        <v>0.0699557916101261</v>
      </c>
      <c r="H15" s="19">
        <f>IFERROR(IF(OR(ABS(C14)&lt;0.5,H14*C14&lt;0),"n/m",H14/C14-1),"n/a")</f>
        <v>0.03662548431902923</v>
      </c>
      <c r="I15" s="19">
        <f>IFERROR(IF(OR(ABS(D14)&lt;0.5,I14*D14&lt;0),"n/m",I14/D14-1),"n/a")</f>
        <v>0.0888593490088403</v>
      </c>
      <c r="J15" s="46">
        <f>IFERROR(IF(OR(ABS(E14)&lt;0.5,J14*E14&lt;0),"n/m",J14/E14-1),"n/a")</f>
        <v>0.13938186647350004</v>
      </c>
      <c r="K15" s="45"/>
    </row>
    <row r="16">
      <c r="B16" s="54" t="s">
        <v>118</v>
      </c>
      <c r="C16" s="4">
        <f>IFERROR(C14-Inputs!F114,"n/a")</f>
        <v>5.222999999999985</v>
      </c>
      <c r="D16" s="20">
        <f>IFERROR(D14-C14,"n/a")</f>
        <v>0.8770000000000095</v>
      </c>
      <c r="E16" s="20">
        <f>IFERROR(E14-D14,"n/a")</f>
        <v>-5.13900000000001</v>
      </c>
      <c r="F16" s="20">
        <f>IFERROR(F14-E14,"n/a")</f>
        <v>10.853000000000009</v>
      </c>
      <c r="G16" s="20" t="s">
        <v>34</v>
      </c>
      <c r="H16" s="20">
        <f>IFERROR(H14-F14,"n/a")</f>
        <v>-1.5809999999999889</v>
      </c>
      <c r="I16" s="20">
        <f>IFERROR(I14-H14,"n/a")</f>
        <v>8.099999999999994</v>
      </c>
      <c r="J16" s="48">
        <f>IFERROR(J14-I14,"n/a")</f>
        <v>1.0999999999999943</v>
      </c>
      <c r="K16" s="45"/>
    </row>
    <row r="17">
      <c r="B17" s="65" t="s">
        <v>282</v>
      </c>
      <c r="C17" s="19">
        <f>C14/C10</f>
        <v>0.18340738992740935</v>
      </c>
      <c r="D17" s="19">
        <f>D14/D10</f>
        <v>0.1781684244039245</v>
      </c>
      <c r="E17" s="19">
        <f>E14/E10</f>
        <v>0.16703259031087966</v>
      </c>
      <c r="F17" s="19">
        <f>F14/F10</f>
        <v>0.174317470043573</v>
      </c>
      <c r="G17" s="19">
        <f>G14/G10</f>
        <v>0.17558564332792356</v>
      </c>
      <c r="H17" s="19">
        <f>H14/H10</f>
        <v>0.16666666666666669</v>
      </c>
      <c r="I17" s="19">
        <f>I14/I10</f>
        <v>0.17289504036908881</v>
      </c>
      <c r="J17" s="46">
        <f>J14/J10</f>
        <v>0.17016465008589599</v>
      </c>
      <c r="K17" s="45"/>
    </row>
    <row r="18">
      <c r="B18" s="71" t="s">
        <v>120</v>
      </c>
      <c r="C18" s="47">
        <f>IFERROR((C17-Inputs!C120)*10000,"n/a")</f>
        <v>-55.935145309083666</v>
      </c>
      <c r="D18" s="47">
        <f>IFERROR((D17-Inputs!D120)*10000,"n/a")</f>
        <v>-27.895259569065967</v>
      </c>
      <c r="E18" s="47">
        <f>IFERROR((E17-Inputs!E120)*10000,"n/a")</f>
        <v>-70.96193125139122</v>
      </c>
      <c r="F18" s="47">
        <f>IFERROR((F17-Inputs!F120)*10000,"n/a")</f>
        <v>-26.36675770398306</v>
      </c>
      <c r="G18" s="47">
        <f>IFERROR((G17-Inputs!G120)*10000,"n/a")</f>
        <v>-45.120273647064614</v>
      </c>
      <c r="H18" s="62">
        <f>IFERROR((H17-C17)*10000,"n/a")</f>
        <v>-167.40723260742664</v>
      </c>
      <c r="I18" s="62">
        <f>IFERROR((I17-D17)*10000,"n/a")</f>
        <v>-52.73384034835682</v>
      </c>
      <c r="J18" s="64">
        <f>IFERROR((J17-E17)*10000,"n/a")</f>
        <v>31.320597750163216</v>
      </c>
      <c r="K18" s="45"/>
    </row>
    <row r="19">
      <c r="B19" s="71" t="s">
        <v>121</v>
      </c>
      <c r="C19" s="47">
        <f>IFERROR((C17-Inputs!F120)*10000,"n/a")</f>
        <v>64.53244113438033</v>
      </c>
      <c r="D19" s="62">
        <f>IFERROR((D17-C17)*10000,"n/a")</f>
        <v>-52.38965523484851</v>
      </c>
      <c r="E19" s="62">
        <f>IFERROR((E17-D17)*10000,"n/a")</f>
        <v>-111.35834093044834</v>
      </c>
      <c r="F19" s="62">
        <f>IFERROR((F17-E17)*10000,"n/a")</f>
        <v>72.84879732693345</v>
      </c>
      <c r="G19" s="62" t="s">
        <v>34</v>
      </c>
      <c r="H19" s="62">
        <f>IFERROR((H17-F17)*10000,"n/a")</f>
        <v>-76.50803376906323</v>
      </c>
      <c r="I19" s="62">
        <f>IFERROR((I17-H17)*10000,"n/a")</f>
        <v>62.283737024221296</v>
      </c>
      <c r="J19" s="64">
        <f>IFERROR((J17-I17)*10000,"n/a")</f>
        <v>-27.303902831928294</v>
      </c>
      <c r="K19" s="45"/>
    </row>
    <row r="20">
      <c r="B20" s="42" t="s">
        <v>283</v>
      </c>
      <c r="C20" s="12">
        <v>78.707</v>
      </c>
      <c r="D20" s="12">
        <v>78.21</v>
      </c>
      <c r="E20" s="12">
        <v>79.856</v>
      </c>
      <c r="F20" s="12">
        <v>83.056</v>
      </c>
      <c r="G20" s="20">
        <f>SUM(C20:F20)</f>
        <v>319.82899999999995</v>
      </c>
      <c r="H20" s="12">
        <v>85.7</v>
      </c>
      <c r="I20" s="12">
        <v>87.4</v>
      </c>
      <c r="J20" s="53">
        <v>88.5</v>
      </c>
      <c r="K20" s="45" t="s">
        <v>284</v>
      </c>
    </row>
    <row r="21">
      <c r="B21" s="65" t="s">
        <v>150</v>
      </c>
      <c r="C21" s="33">
        <f>IFERROR(IF(OR(ABS(Inputs!C115)&lt;0.5,C20*Inputs!C115&lt;0),"n/m",C20/Inputs!C115-1),"n/a")</f>
        <v>0.09060802571776949</v>
      </c>
      <c r="D21" s="33">
        <f>IFERROR(IF(OR(ABS(Inputs!D115)&lt;0.5,D20*Inputs!D115&lt;0),"n/m",D20/Inputs!D115-1),"n/a")</f>
        <v>0.09455034007893182</v>
      </c>
      <c r="E21" s="33">
        <f>IFERROR(IF(OR(ABS(Inputs!E115)&lt;0.5,E20*Inputs!E115&lt;0),"n/m",E20/Inputs!E115-1),"n/a")</f>
        <v>0.12849935700860593</v>
      </c>
      <c r="F21" s="33">
        <f>IFERROR(IF(OR(ABS(Inputs!F115)&lt;0.5,F20*Inputs!F115&lt;0),"n/m",F20/Inputs!F115-1),"n/a")</f>
        <v>0.08096570573306439</v>
      </c>
      <c r="G21" s="33">
        <f>IFERROR(IF(OR(ABS(Inputs!G115)&lt;0.5,G20*Inputs!G115&lt;0),"n/m",G20/Inputs!G115-1),"n/a")</f>
        <v>0.09823844516173308</v>
      </c>
      <c r="H21" s="19">
        <f>IFERROR(IF(OR(ABS(C20)&lt;0.5,H20*C20&lt;0),"n/m",H20/C20-1),"n/a")</f>
        <v>0.08884851410929162</v>
      </c>
      <c r="I21" s="19">
        <f>IFERROR(IF(OR(ABS(D20)&lt;0.5,I20*D20&lt;0),"n/m",I20/D20-1),"n/a")</f>
        <v>0.11750415547883919</v>
      </c>
      <c r="J21" s="46">
        <f>IFERROR(IF(OR(ABS(E20)&lt;0.5,J20*E20&lt;0),"n/m",J20/E20-1),"n/a")</f>
        <v>0.10824484071328389</v>
      </c>
      <c r="K21" s="45"/>
    </row>
    <row r="22">
      <c r="B22" s="54" t="s">
        <v>118</v>
      </c>
      <c r="C22" s="4">
        <f>IFERROR(C20-Inputs!F115,"n/a")</f>
        <v>1.8719999999999999</v>
      </c>
      <c r="D22" s="20">
        <f>IFERROR(D20-C20,"n/a")</f>
        <v>-0.4969999999999999</v>
      </c>
      <c r="E22" s="20">
        <f>IFERROR(E20-D20,"n/a")</f>
        <v>1.6460000000000008</v>
      </c>
      <c r="F22" s="20">
        <f>IFERROR(F20-E20,"n/a")</f>
        <v>3.200000000000003</v>
      </c>
      <c r="G22" s="20" t="s">
        <v>34</v>
      </c>
      <c r="H22" s="20">
        <f>IFERROR(H20-F20,"n/a")</f>
        <v>2.6440000000000055</v>
      </c>
      <c r="I22" s="20">
        <f>IFERROR(I20-H20,"n/a")</f>
        <v>1.7000000000000028</v>
      </c>
      <c r="J22" s="48">
        <f>IFERROR(J20-I20,"n/a")</f>
        <v>1.0999999999999943</v>
      </c>
      <c r="K22" s="45"/>
    </row>
    <row r="23">
      <c r="B23" s="65" t="s">
        <v>282</v>
      </c>
      <c r="C23" s="19">
        <f>C20/C10</f>
        <v>0.10552997616065946</v>
      </c>
      <c r="D23" s="19">
        <f>D20/D10</f>
        <v>0.1012192644034586</v>
      </c>
      <c r="E23" s="19">
        <f>E20/E10</f>
        <v>0.10064706727533507</v>
      </c>
      <c r="F23" s="19">
        <f>F20/F10</f>
        <v>0.10097650171179584</v>
      </c>
      <c r="G23" s="19">
        <f>G20/G10</f>
        <v>0.1020364279768853</v>
      </c>
      <c r="H23" s="19">
        <f>H20/H10</f>
        <v>0.10072872590503057</v>
      </c>
      <c r="I23" s="19">
        <f>I20/I10</f>
        <v>0.10080738177623992</v>
      </c>
      <c r="J23" s="46">
        <f>J20/J10</f>
        <v>0.0997322618053099</v>
      </c>
      <c r="K23" s="45"/>
    </row>
    <row r="24">
      <c r="B24" s="71" t="s">
        <v>120</v>
      </c>
      <c r="C24" s="47">
        <f>IFERROR((C23-Inputs!C121)*10000,"n/a")</f>
        <v>-6.048984284738185</v>
      </c>
      <c r="D24" s="47">
        <f>IFERROR((D23-Inputs!D121)*10000,"n/a")</f>
        <v>2.882651365622574</v>
      </c>
      <c r="E24" s="47">
        <f>IFERROR((E23-Inputs!E121)*10000,"n/a")</f>
        <v>30.03198390754441</v>
      </c>
      <c r="F24" s="47">
        <f>IFERROR((F23-Inputs!F121)*10000,"n/a")</f>
        <v>-23.64547286938523</v>
      </c>
      <c r="G24" s="47">
        <f>IFERROR((G23-Inputs!G121)*10000,"n/a")</f>
        <v>0.7321064208797023</v>
      </c>
      <c r="H24" s="62">
        <f>IFERROR((H23-C23)*10000,"n/a")</f>
        <v>-48.01250255628886</v>
      </c>
      <c r="I24" s="62">
        <f>IFERROR((I23-D23)*10000,"n/a")</f>
        <v>-4.118826272186821</v>
      </c>
      <c r="J24" s="64">
        <f>IFERROR((J23-E23)*10000,"n/a")</f>
        <v>-9.148054700251624</v>
      </c>
      <c r="K24" s="45"/>
    </row>
    <row r="25">
      <c r="B25" s="71" t="s">
        <v>121</v>
      </c>
      <c r="C25" s="47">
        <f>IFERROR((C23-Inputs!F121)*10000,"n/a")</f>
        <v>21.889271619250916</v>
      </c>
      <c r="D25" s="62">
        <f>IFERROR((D23-C23)*10000,"n/a")</f>
        <v>-43.10711757200853</v>
      </c>
      <c r="E25" s="62">
        <f>IFERROR((E23-D23)*10000,"n/a")</f>
        <v>-5.72197128123536</v>
      </c>
      <c r="F25" s="62">
        <f>IFERROR((F23-E23)*10000,"n/a")</f>
        <v>3.2943443646077375</v>
      </c>
      <c r="G25" s="62" t="s">
        <v>34</v>
      </c>
      <c r="H25" s="62">
        <f>IFERROR((H23-F23)*10000,"n/a")</f>
        <v>-2.4777580676527133</v>
      </c>
      <c r="I25" s="62">
        <f>IFERROR((I23-H23)*10000,"n/a")</f>
        <v>0.7865587120935158</v>
      </c>
      <c r="J25" s="64">
        <f>IFERROR((J23-I23)*10000,"n/a")</f>
        <v>-10.751199709300163</v>
      </c>
      <c r="K25" s="45"/>
    </row>
    <row r="26">
      <c r="B26" s="42" t="s">
        <v>285</v>
      </c>
      <c r="C26" s="12">
        <v>47.591</v>
      </c>
      <c r="D26" s="12">
        <v>44.074</v>
      </c>
      <c r="E26" s="12">
        <v>44.807</v>
      </c>
      <c r="F26" s="12">
        <v>41.124</v>
      </c>
      <c r="G26" s="20">
        <f>SUM(C26:F26)</f>
        <v>177.596</v>
      </c>
      <c r="H26" s="12">
        <v>49.6</v>
      </c>
      <c r="I26" s="12">
        <v>46</v>
      </c>
      <c r="J26" s="53">
        <v>47.5</v>
      </c>
      <c r="K26" s="45" t="s">
        <v>284</v>
      </c>
    </row>
    <row r="27">
      <c r="B27" s="65" t="s">
        <v>150</v>
      </c>
      <c r="C27" s="33">
        <f>IFERROR(IF(OR(ABS(Inputs!C116)&lt;0.5,C26*Inputs!C116&lt;0),"n/m",C26/Inputs!C116-1),"n/a")</f>
        <v>0.17436150524367688</v>
      </c>
      <c r="D27" s="33">
        <f>IFERROR(IF(OR(ABS(Inputs!D116)&lt;0.5,D26*Inputs!D116&lt;0),"n/m",D26/Inputs!D116-1),"n/a")</f>
        <v>0.07306503055535263</v>
      </c>
      <c r="E27" s="33">
        <f>IFERROR(IF(OR(ABS(Inputs!E116)&lt;0.5,E26*Inputs!E116&lt;0),"n/m",E26/Inputs!E116-1),"n/a")</f>
        <v>0.16128447024673442</v>
      </c>
      <c r="F27" s="33">
        <f>IFERROR(IF(OR(ABS(Inputs!F116)&lt;0.5,F26*Inputs!F116&lt;0),"n/m",F26/Inputs!F116-1),"n/a")</f>
        <v>0.06896103558524613</v>
      </c>
      <c r="G27" s="33">
        <f>IFERROR(IF(OR(ABS(Inputs!G116)&lt;0.5,G26*Inputs!G116&lt;0),"n/m",G26/Inputs!G116-1),"n/a")</f>
        <v>0.11939893982464889</v>
      </c>
      <c r="H27" s="19">
        <f>IFERROR(IF(OR(ABS(C26)&lt;0.5,H26*C26&lt;0),"n/m",H26/C26-1),"n/a")</f>
        <v>0.04221386396587601</v>
      </c>
      <c r="I27" s="19">
        <f>IFERROR(IF(OR(ABS(D26)&lt;0.5,I26*D26&lt;0),"n/m",I26/D26-1),"n/a")</f>
        <v>0.04369923310795487</v>
      </c>
      <c r="J27" s="46">
        <f>IFERROR(IF(OR(ABS(E26)&lt;0.5,J26*E26&lt;0),"n/m",J26/E26-1),"n/a")</f>
        <v>0.06010221617158029</v>
      </c>
      <c r="K27" s="45"/>
    </row>
    <row r="28">
      <c r="B28" s="54" t="s">
        <v>118</v>
      </c>
      <c r="C28" s="4">
        <f>IFERROR(C26-Inputs!F116,"n/a")</f>
        <v>9.120000000000005</v>
      </c>
      <c r="D28" s="20">
        <f>IFERROR(D26-C26,"n/a")</f>
        <v>-3.517000000000003</v>
      </c>
      <c r="E28" s="20">
        <f>IFERROR(E26-D26,"n/a")</f>
        <v>0.7330000000000041</v>
      </c>
      <c r="F28" s="20">
        <f>IFERROR(F26-E26,"n/a")</f>
        <v>-3.683</v>
      </c>
      <c r="G28" s="20" t="s">
        <v>34</v>
      </c>
      <c r="H28" s="20">
        <f>IFERROR(H26-F26,"n/a")</f>
        <v>8.475999999999999</v>
      </c>
      <c r="I28" s="20">
        <f>IFERROR(I26-H26,"n/a")</f>
        <v>-3.6000000000000014</v>
      </c>
      <c r="J28" s="48">
        <f>IFERROR(J26-I26,"n/a")</f>
        <v>1.5</v>
      </c>
      <c r="K28" s="45"/>
    </row>
    <row r="29">
      <c r="B29" s="65" t="s">
        <v>282</v>
      </c>
      <c r="C29" s="19">
        <f>C26/C10</f>
        <v>0.06380978941468923</v>
      </c>
      <c r="D29" s="19">
        <f>D26/D10</f>
        <v>0.057040504530341825</v>
      </c>
      <c r="E29" s="19">
        <f>E26/E10</f>
        <v>0.05647281536022264</v>
      </c>
      <c r="F29" s="19">
        <f>F26/F10</f>
        <v>0.04999708216619982</v>
      </c>
      <c r="G29" s="19">
        <f>G26/G10</f>
        <v>0.056659219342157605</v>
      </c>
      <c r="H29" s="19">
        <f>H26/H10</f>
        <v>0.058298072402444764</v>
      </c>
      <c r="I29" s="19">
        <f>I26/I10</f>
        <v>0.0530565167243368</v>
      </c>
      <c r="J29" s="46">
        <f>J26/J10</f>
        <v>0.05352861509324543</v>
      </c>
      <c r="K29" s="45"/>
    </row>
    <row r="30">
      <c r="B30" s="71" t="s">
        <v>120</v>
      </c>
      <c r="C30" s="47">
        <f>IFERROR((C29-Inputs!C122)*10000,"n/a")</f>
        <v>42.11133601522386</v>
      </c>
      <c r="D30" s="47">
        <f>IFERROR((D29-Inputs!D122)*10000,"n/a")</f>
        <v>-9.763865168946339</v>
      </c>
      <c r="E30" s="47">
        <f>IFERROR((E29-Inputs!E122)*10000,"n/a")</f>
        <v>32.318414466992046</v>
      </c>
      <c r="F30" s="47">
        <f>IFERROR((F29-Inputs!F122)*10000,"n/a")</f>
        <v>-17.45398422468229</v>
      </c>
      <c r="G30" s="47">
        <f>IFERROR((G29-Inputs!G122)*10000,"n/a")</f>
        <v>11.10938592835453</v>
      </c>
      <c r="H30" s="62">
        <f>IFERROR((H29-C29)*10000,"n/a")</f>
        <v>-55.11717012244468</v>
      </c>
      <c r="I30" s="62">
        <f>IFERROR((I29-D29)*10000,"n/a")</f>
        <v>-39.83987806005028</v>
      </c>
      <c r="J30" s="64">
        <f>IFERROR((J29-E29)*10000,"n/a")</f>
        <v>-29.442002669772123</v>
      </c>
      <c r="K30" s="45"/>
    </row>
    <row r="31">
      <c r="B31" s="71" t="s">
        <v>121</v>
      </c>
      <c r="C31" s="47">
        <f>IFERROR((C29-Inputs!F122)*10000,"n/a")</f>
        <v>120.67308826021181</v>
      </c>
      <c r="D31" s="62">
        <f>IFERROR((D29-C29)*10000,"n/a")</f>
        <v>-67.69284884347408</v>
      </c>
      <c r="E31" s="62">
        <f>IFERROR((E29-D29)*10000,"n/a")</f>
        <v>-5.676891701191858</v>
      </c>
      <c r="F31" s="62">
        <f>IFERROR((F29-E29)*10000,"n/a")</f>
        <v>-64.75733194022816</v>
      </c>
      <c r="G31" s="62" t="s">
        <v>34</v>
      </c>
      <c r="H31" s="62">
        <f>IFERROR((H29-F29)*10000,"n/a")</f>
        <v>83.00990236244941</v>
      </c>
      <c r="I31" s="62">
        <f>IFERROR((I29-H29)*10000,"n/a")</f>
        <v>-52.41555678107967</v>
      </c>
      <c r="J31" s="64">
        <f>IFERROR((J29-I29)*10000,"n/a")</f>
        <v>4.7209836890862995</v>
      </c>
      <c r="K31" s="45"/>
    </row>
    <row r="32">
      <c r="B32" s="42" t="s">
        <v>286</v>
      </c>
      <c r="C32" s="12">
        <v>57.097</v>
      </c>
      <c r="D32" s="12">
        <v>38.349</v>
      </c>
      <c r="E32" s="12">
        <v>41.805</v>
      </c>
      <c r="F32" s="12">
        <v>42.965</v>
      </c>
      <c r="G32" s="20">
        <f>SUM(C32:F32)</f>
        <v>180.216</v>
      </c>
      <c r="H32" s="12">
        <v>69</v>
      </c>
      <c r="I32" s="12">
        <v>46.2</v>
      </c>
      <c r="J32" s="48">
        <f>J139+J100-J14-J20-J26</f>
        <v>54</v>
      </c>
      <c r="K32" s="45" t="s">
        <v>287</v>
      </c>
    </row>
    <row r="33">
      <c r="B33" s="65" t="s">
        <v>150</v>
      </c>
      <c r="C33" s="33">
        <f>IFERROR(IF(OR(ABS(Inputs!C117)&lt;0.5,C32*Inputs!C117&lt;0),"n/m",C32/Inputs!C117-1),"n/a")</f>
        <v>0.0071616305939214975</v>
      </c>
      <c r="D33" s="33">
        <f>IFERROR(IF(OR(ABS(Inputs!D117)&lt;0.5,D32*Inputs!D117&lt;0),"n/m",D32/Inputs!D117-1),"n/a")</f>
        <v>-0.03417619503349634</v>
      </c>
      <c r="E33" s="33">
        <f>IFERROR(IF(OR(ABS(Inputs!E117)&lt;0.5,E32*Inputs!E117&lt;0),"n/m",E32/Inputs!E117-1),"n/a")</f>
        <v>0.005870888573422217</v>
      </c>
      <c r="F33" s="33">
        <f>IFERROR(IF(OR(ABS(Inputs!F117)&lt;0.5,F32*Inputs!F117&lt;0),"n/m",F32/Inputs!F117-1),"n/a")</f>
        <v>-0.03192735793790258</v>
      </c>
      <c r="G33" s="33">
        <f>IFERROR(IF(OR(ABS(Inputs!G117)&lt;0.5,G32*Inputs!G117&lt;0),"n/m",G32/Inputs!G117-1),"n/a")</f>
        <v>-0.011648568608094712</v>
      </c>
      <c r="H33" s="19">
        <f>IFERROR(IF(OR(ABS(C32)&lt;0.5,H32*C32&lt;0),"n/m",H32/C32-1),"n/a")</f>
        <v>0.2084697970121021</v>
      </c>
      <c r="I33" s="19">
        <f>IFERROR(IF(OR(ABS(D32)&lt;0.5,I32*D32&lt;0),"n/m",I32/D32-1),"n/a")</f>
        <v>0.20472502542439197</v>
      </c>
      <c r="J33" s="46">
        <f>IFERROR(IF(OR(ABS(E32)&lt;0.5,J32*E32&lt;0),"n/m",J32/E32-1),"n/a")</f>
        <v>0.29171151776103343</v>
      </c>
      <c r="K33" s="45"/>
    </row>
    <row r="34">
      <c r="B34" s="54" t="s">
        <v>118</v>
      </c>
      <c r="C34" s="4">
        <f>IFERROR(C32-Inputs!F117,"n/a")</f>
        <v>12.715000000000003</v>
      </c>
      <c r="D34" s="20">
        <f>IFERROR(D32-C32,"n/a")</f>
        <v>-18.748000000000005</v>
      </c>
      <c r="E34" s="20">
        <f>IFERROR(E32-D32,"n/a")</f>
        <v>3.456000000000003</v>
      </c>
      <c r="F34" s="20">
        <f>IFERROR(F32-E32,"n/a")</f>
        <v>1.1600000000000037</v>
      </c>
      <c r="G34" s="20" t="s">
        <v>34</v>
      </c>
      <c r="H34" s="20">
        <f>IFERROR(H32-F32,"n/a")</f>
        <v>26.034999999999997</v>
      </c>
      <c r="I34" s="20">
        <f>IFERROR(I32-H32,"n/a")</f>
        <v>-22.799999999999997</v>
      </c>
      <c r="J34" s="48">
        <f>IFERROR(J32-I32,"n/a")</f>
        <v>7.799999999999997</v>
      </c>
      <c r="K34" s="45"/>
    </row>
    <row r="35">
      <c r="B35" s="65" t="s">
        <v>282</v>
      </c>
      <c r="C35" s="19">
        <f>C32/C10</f>
        <v>0.07655538959489212</v>
      </c>
      <c r="D35" s="19">
        <f>D32/D10</f>
        <v>0.049631218138450756</v>
      </c>
      <c r="E35" s="19">
        <f>E32/E10</f>
        <v>0.05268922369571958</v>
      </c>
      <c r="F35" s="19">
        <f>F32/F10</f>
        <v>0.05223530384375974</v>
      </c>
      <c r="G35" s="19">
        <f>G32/G10</f>
        <v>0.05749508926420795</v>
      </c>
      <c r="H35" s="19">
        <f>H32/H10</f>
        <v>0.08110014104372355</v>
      </c>
      <c r="I35" s="19">
        <f>I32/I10</f>
        <v>0.053287197231833915</v>
      </c>
      <c r="J35" s="46">
        <f>J32/J10</f>
        <v>0.06085358347442638</v>
      </c>
      <c r="K35" s="45"/>
    </row>
    <row r="36">
      <c r="B36" s="71" t="s">
        <v>120</v>
      </c>
      <c r="C36" s="47">
        <f>IFERROR((C35-Inputs!C123)*10000,"n/a")</f>
        <v>-68.18019330567276</v>
      </c>
      <c r="D36" s="47">
        <f>IFERROR((D35-Inputs!D123)*10000,"n/a")</f>
        <v>-64.54742855914665</v>
      </c>
      <c r="E36" s="47">
        <f>IFERROR((E35-Inputs!E123)*10000,"n/a")</f>
        <v>-46.59628595902528</v>
      </c>
      <c r="F36" s="47">
        <f>IFERROR((F35-Inputs!F123)*10000,"n/a")</f>
        <v>-74.57315882430524</v>
      </c>
      <c r="G36" s="47">
        <f>IFERROR((G35-Inputs!G123)*10000,"n/a")</f>
        <v>-63.46587299307406</v>
      </c>
      <c r="H36" s="62">
        <f>IFERROR((H35-C35)*10000,"n/a")</f>
        <v>45.4475144883143</v>
      </c>
      <c r="I36" s="62">
        <f>IFERROR((I35-D35)*10000,"n/a")</f>
        <v>36.55979093383159</v>
      </c>
      <c r="J36" s="64">
        <f>IFERROR((J35-E35)*10000,"n/a")</f>
        <v>81.64359778706803</v>
      </c>
      <c r="K36" s="45"/>
    </row>
    <row r="37">
      <c r="B37" s="71" t="s">
        <v>121</v>
      </c>
      <c r="C37" s="47">
        <f>IFERROR((C35-Inputs!F123)*10000,"n/a")</f>
        <v>168.6276986870186</v>
      </c>
      <c r="D37" s="62">
        <f>IFERROR((D35-C35)*10000,"n/a")</f>
        <v>-269.24171456441366</v>
      </c>
      <c r="E37" s="62">
        <f>IFERROR((E35-D35)*10000,"n/a")</f>
        <v>30.580055572688238</v>
      </c>
      <c r="F37" s="62">
        <f>IFERROR((F35-E35)*10000,"n/a")</f>
        <v>-4.539198519598401</v>
      </c>
      <c r="G37" s="62" t="s">
        <v>34</v>
      </c>
      <c r="H37" s="62">
        <f>IFERROR((H35-F35)*10000,"n/a")</f>
        <v>288.64837199963813</v>
      </c>
      <c r="I37" s="62">
        <f>IFERROR((I35-H35)*10000,"n/a")</f>
        <v>-278.12943811889636</v>
      </c>
      <c r="J37" s="64">
        <f>IFERROR((J35-I35)*10000,"n/a")</f>
        <v>75.66386242592468</v>
      </c>
      <c r="K37" s="45"/>
    </row>
    <row r="38">
      <c r="B38" s="42" t="s">
        <v>288</v>
      </c>
      <c r="C38" s="12">
        <v>43.872</v>
      </c>
      <c r="D38" s="12">
        <v>43.76</v>
      </c>
      <c r="E38" s="12">
        <v>40.937</v>
      </c>
      <c r="F38" s="12">
        <v>40.911</v>
      </c>
      <c r="G38" s="20">
        <f>SUM(C38:F38)</f>
        <v>169.48</v>
      </c>
      <c r="H38" s="12">
        <v>41.9</v>
      </c>
      <c r="I38" s="12">
        <v>43.8</v>
      </c>
      <c r="J38" s="53">
        <v>44.5</v>
      </c>
      <c r="K38" s="45" t="s">
        <v>289</v>
      </c>
    </row>
    <row r="39">
      <c r="B39" s="65" t="s">
        <v>150</v>
      </c>
      <c r="C39" s="33">
        <f>IFERROR(IF(OR(ABS(Inputs!C118)&lt;0.5,C38*Inputs!C118&lt;0),"n/m",C38/Inputs!C118-1),"n/a")</f>
        <v>0.1364625427416848</v>
      </c>
      <c r="D39" s="33">
        <f>IFERROR(IF(OR(ABS(Inputs!D118)&lt;0.5,D38*Inputs!D118&lt;0),"n/m",D38/Inputs!D118-1),"n/a")</f>
        <v>0.07325926470948896</v>
      </c>
      <c r="E39" s="33">
        <f>IFERROR(IF(OR(ABS(Inputs!E118)&lt;0.5,E38*Inputs!E118&lt;0),"n/m",E38/Inputs!E118-1),"n/a")</f>
        <v>-0.02389184291470947</v>
      </c>
      <c r="F39" s="33">
        <f>IFERROR(IF(OR(ABS(Inputs!F118)&lt;0.5,F38*Inputs!F118&lt;0),"n/m",F38/Inputs!F118-1),"n/a")</f>
        <v>-0.042367922099201705</v>
      </c>
      <c r="G39" s="33">
        <f>IFERROR(IF(OR(ABS(Inputs!G118)&lt;0.5,G38*Inputs!G118&lt;0),"n/m",G38/Inputs!G118-1),"n/a")</f>
        <v>0.03318153831147841</v>
      </c>
      <c r="H39" s="19">
        <f>IFERROR(IF(OR(ABS(C38)&lt;0.5,H38*C38&lt;0),"n/m",H38/C38-1),"n/a")</f>
        <v>-0.04494894237782643</v>
      </c>
      <c r="I39" s="19">
        <f>IFERROR(IF(OR(ABS(D38)&lt;0.5,I38*D38&lt;0),"n/m",I38/D38-1),"n/a")</f>
        <v>0.000914076782449813</v>
      </c>
      <c r="J39" s="46">
        <f>IFERROR(IF(OR(ABS(E38)&lt;0.5,J38*E38&lt;0),"n/m",J38/E38-1),"n/a")</f>
        <v>0.08703617754109971</v>
      </c>
      <c r="K39" s="45"/>
    </row>
    <row r="40">
      <c r="B40" s="54" t="s">
        <v>118</v>
      </c>
      <c r="C40" s="4">
        <f>IFERROR(C38-Inputs!F118,"n/a")</f>
        <v>1.1510000000000034</v>
      </c>
      <c r="D40" s="20">
        <f>IFERROR(D38-C38,"n/a")</f>
        <v>-0.11200000000000188</v>
      </c>
      <c r="E40" s="20">
        <f>IFERROR(E38-D38,"n/a")</f>
        <v>-2.8230000000000004</v>
      </c>
      <c r="F40" s="20">
        <f>IFERROR(F38-E38,"n/a")</f>
        <v>-0.02599999999999625</v>
      </c>
      <c r="G40" s="20" t="s">
        <v>34</v>
      </c>
      <c r="H40" s="20">
        <f>IFERROR(H38-F38,"n/a")</f>
        <v>0.9889999999999972</v>
      </c>
      <c r="I40" s="20">
        <f>IFERROR(I38-H38,"n/a")</f>
        <v>1.8999999999999986</v>
      </c>
      <c r="J40" s="48">
        <f>IFERROR(J38-I38,"n/a")</f>
        <v>0.7000000000000028</v>
      </c>
      <c r="K40" s="45"/>
    </row>
    <row r="41">
      <c r="B41" s="65" t="s">
        <v>282</v>
      </c>
      <c r="C41" s="19">
        <f>C38/C10</f>
        <v>0.05882337167114046</v>
      </c>
      <c r="D41" s="19">
        <f>D38/D10</f>
        <v>0.05663412620247217</v>
      </c>
      <c r="E41" s="19">
        <f>E38/E10</f>
        <v>0.051595233834031154</v>
      </c>
      <c r="F41" s="19">
        <f>F38/F10</f>
        <v>0.04973812441643325</v>
      </c>
      <c r="G41" s="19">
        <f>G38/G10</f>
        <v>0.05406993678972989</v>
      </c>
      <c r="H41" s="19">
        <f>H38/H10</f>
        <v>0.04924776680771039</v>
      </c>
      <c r="I41" s="19">
        <f>I38/I10</f>
        <v>0.05051903114186851</v>
      </c>
      <c r="J41" s="46">
        <f>J38/J10</f>
        <v>0.05014786045577729</v>
      </c>
      <c r="K41" s="45"/>
    </row>
    <row r="42">
      <c r="B42" s="71" t="s">
        <v>120</v>
      </c>
      <c r="C42" s="47">
        <f>IFERROR((C41-Inputs!C124)*10000,"n/a")</f>
        <v>20.49861269869814</v>
      </c>
      <c r="D42" s="47">
        <f>IFERROR((D41-Inputs!D124)*10000,"n/a")</f>
        <v>-9.590055061678635</v>
      </c>
      <c r="E42" s="47">
        <f>IFERROR((E41-Inputs!E124)*10000,"n/a")</f>
        <v>-62.75210001736503</v>
      </c>
      <c r="F42" s="47">
        <f>IFERROR((F41-Inputs!F124)*10000,"n/a")</f>
        <v>-77.20494107350588</v>
      </c>
      <c r="G42" s="47">
        <f>IFERROR((G41-Inputs!G124)*10000,"n/a")</f>
        <v>-33.63413536305912</v>
      </c>
      <c r="H42" s="62">
        <f>IFERROR((H41-C41)*10000,"n/a")</f>
        <v>-95.75604863430073</v>
      </c>
      <c r="I42" s="62">
        <f>IFERROR((I41-D41)*10000,"n/a")</f>
        <v>-61.150950606036616</v>
      </c>
      <c r="J42" s="64">
        <f>IFERROR((J41-E41)*10000,"n/a")</f>
        <v>-14.473733782538606</v>
      </c>
      <c r="K42" s="45"/>
    </row>
    <row r="43">
      <c r="B43" s="71" t="s">
        <v>121</v>
      </c>
      <c r="C43" s="47">
        <f>IFERROR((C41-Inputs!F124)*10000,"n/a")</f>
        <v>13.647531473566232</v>
      </c>
      <c r="D43" s="62">
        <f>IFERROR((D41-C41)*10000,"n/a")</f>
        <v>-21.89245468668291</v>
      </c>
      <c r="E43" s="62">
        <f>IFERROR((E41-D41)*10000,"n/a")</f>
        <v>-50.38892368441017</v>
      </c>
      <c r="F43" s="62">
        <f>IFERROR((F41-E41)*10000,"n/a")</f>
        <v>-18.571094175979034</v>
      </c>
      <c r="G43" s="62" t="s">
        <v>34</v>
      </c>
      <c r="H43" s="62">
        <f>IFERROR((H41-F41)*10000,"n/a")</f>
        <v>-4.903576087228606</v>
      </c>
      <c r="I43" s="62">
        <f>IFERROR((I41-H41)*10000,"n/a")</f>
        <v>12.71264334158119</v>
      </c>
      <c r="J43" s="64">
        <f>IFERROR((J41-I41)*10000,"n/a")</f>
        <v>-3.711706860912156</v>
      </c>
      <c r="K43" s="45"/>
    </row>
    <row r="44">
      <c r="B44" s="42" t="s">
        <v>290</v>
      </c>
      <c r="C44" s="12">
        <v>4.746</v>
      </c>
      <c r="D44" s="12">
        <v>5.385</v>
      </c>
      <c r="E44" s="12">
        <v>5.803</v>
      </c>
      <c r="F44" s="12">
        <v>7.471</v>
      </c>
      <c r="G44" s="20">
        <f>SUM(C44:F44)</f>
        <v>23.405</v>
      </c>
      <c r="H44" s="12">
        <v>5.9</v>
      </c>
      <c r="I44" s="12">
        <v>6.2</v>
      </c>
      <c r="J44" s="53">
        <v>6.6</v>
      </c>
      <c r="K44" s="45" t="s">
        <v>284</v>
      </c>
    </row>
    <row r="45">
      <c r="B45" s="65" t="s">
        <v>150</v>
      </c>
      <c r="C45" s="33">
        <f>IFERROR(IF(OR(ABS(Inputs!C119)&lt;0.5,C44*Inputs!C119&lt;0),"n/m",C44/Inputs!C119-1),"n/a")</f>
        <v>0.16295025728988</v>
      </c>
      <c r="D45" s="33">
        <f>IFERROR(IF(OR(ABS(Inputs!D119)&lt;0.5,D44*Inputs!D119&lt;0),"n/m",D44/Inputs!D119-1),"n/a")</f>
        <v>0.2742546142924751</v>
      </c>
      <c r="E45" s="33">
        <f>IFERROR(IF(OR(ABS(Inputs!E119)&lt;0.5,E44*Inputs!E119&lt;0),"n/m",E44/Inputs!E119-1),"n/a")</f>
        <v>0.3395660203139428</v>
      </c>
      <c r="F45" s="33">
        <f>IFERROR(IF(OR(ABS(Inputs!F119)&lt;0.5,F44*Inputs!F119&lt;0),"n/m",F44/Inputs!F119-1),"n/a")</f>
        <v>0.7218253053699009</v>
      </c>
      <c r="G45" s="33">
        <f>IFERROR(IF(OR(ABS(Inputs!G119)&lt;0.5,G44*Inputs!G119&lt;0),"n/m",G44/Inputs!G119-1),"n/a")</f>
        <v>0.37854871009541746</v>
      </c>
      <c r="H45" s="19">
        <f>IFERROR(IF(OR(ABS(C44)&lt;0.5,H44*C44&lt;0),"n/m",H44/C44-1),"n/a")</f>
        <v>0.24315212810788034</v>
      </c>
      <c r="I45" s="19">
        <f>IFERROR(IF(OR(ABS(D44)&lt;0.5,I44*D44&lt;0),"n/m",I44/D44-1),"n/a")</f>
        <v>0.1513463324048283</v>
      </c>
      <c r="J45" s="46">
        <f>IFERROR(IF(OR(ABS(E44)&lt;0.5,J44*E44&lt;0),"n/m",J44/E44-1),"n/a")</f>
        <v>0.13734275374806137</v>
      </c>
      <c r="K45" s="45"/>
    </row>
    <row r="46">
      <c r="B46" s="54" t="s">
        <v>118</v>
      </c>
      <c r="C46" s="4">
        <f>IFERROR(C44-Inputs!F119,"n/a")</f>
        <v>0.40700000000000003</v>
      </c>
      <c r="D46" s="20">
        <f>IFERROR(D44-C44,"n/a")</f>
        <v>0.6389999999999993</v>
      </c>
      <c r="E46" s="20">
        <f>IFERROR(E44-D44,"n/a")</f>
        <v>0.41800000000000015</v>
      </c>
      <c r="F46" s="20">
        <f>IFERROR(F44-E44,"n/a")</f>
        <v>1.6680000000000001</v>
      </c>
      <c r="G46" s="20" t="s">
        <v>34</v>
      </c>
      <c r="H46" s="20">
        <f>IFERROR(H44-F44,"n/a")</f>
        <v>-1.5709999999999997</v>
      </c>
      <c r="I46" s="20">
        <f>IFERROR(I44-H44,"n/a")</f>
        <v>0.2999999999999998</v>
      </c>
      <c r="J46" s="48">
        <f>IFERROR(J44-I44,"n/a")</f>
        <v>0.39999999999999947</v>
      </c>
      <c r="K46" s="45"/>
    </row>
    <row r="47">
      <c r="B47" s="65" t="s">
        <v>282</v>
      </c>
      <c r="C47" s="19">
        <f>C44/C10</f>
        <v>0.006363414522958439</v>
      </c>
      <c r="D47" s="19">
        <f>D44/D10</f>
        <v>0.006969258903115005</v>
      </c>
      <c r="E47" s="19">
        <f>E44/E10</f>
        <v>0.007313851575320194</v>
      </c>
      <c r="F47" s="19">
        <f>F44/F10</f>
        <v>0.009082973467164645</v>
      </c>
      <c r="G47" s="19">
        <f>G44/G10</f>
        <v>0.0074669982922092775</v>
      </c>
      <c r="H47" s="19">
        <f>H44/H10</f>
        <v>0.006934649741419841</v>
      </c>
      <c r="I47" s="19">
        <f>I44/I10</f>
        <v>0.007151095732410612</v>
      </c>
      <c r="J47" s="46">
        <f>J44/J10</f>
        <v>0.00743766020242989</v>
      </c>
      <c r="K47" s="45"/>
    </row>
    <row r="48">
      <c r="B48" s="71" t="s">
        <v>120</v>
      </c>
      <c r="C48" s="47">
        <f>IFERROR((C47-Inputs!C125)*10000,"n/a")</f>
        <v>3.616350196016483</v>
      </c>
      <c r="D48" s="47">
        <f>IFERROR((D47-Inputs!D125)*10000,"n/a")</f>
        <v>9.999023534200411</v>
      </c>
      <c r="E48" s="47">
        <f>IFERROR((E47-Inputs!E125)*10000,"n/a")</f>
        <v>13.362468947950152</v>
      </c>
      <c r="F48" s="47">
        <f>IFERROR((F47-Inputs!F125)*10000,"n/a")</f>
        <v>32.47132878819379</v>
      </c>
      <c r="G48" s="47">
        <f>IFERROR((G47-Inputs!G125)*10000,"n/a")</f>
        <v>15.225868372604792</v>
      </c>
      <c r="H48" s="62">
        <f>IFERROR((H47-C47)*10000,"n/a")</f>
        <v>5.712352184614016</v>
      </c>
      <c r="I48" s="62">
        <f>IFERROR((I47-D47)*10000,"n/a")</f>
        <v>1.8183682929560647</v>
      </c>
      <c r="J48" s="64">
        <f>IFERROR((J47-E47)*10000,"n/a")</f>
        <v>1.238086271096962</v>
      </c>
      <c r="K48" s="45"/>
    </row>
    <row r="49">
      <c r="B49" s="71" t="s">
        <v>121</v>
      </c>
      <c r="C49" s="47">
        <f>IFERROR((C47-Inputs!F125)*10000,"n/a")</f>
        <v>5.275739346131733</v>
      </c>
      <c r="D49" s="62">
        <f>IFERROR((D47-C47)*10000,"n/a")</f>
        <v>6.058443801565663</v>
      </c>
      <c r="E49" s="62">
        <f>IFERROR((E47-D47)*10000,"n/a")</f>
        <v>3.4459267220518854</v>
      </c>
      <c r="F49" s="62">
        <f>IFERROR((F47-E47)*10000,"n/a")</f>
        <v>17.69121891844451</v>
      </c>
      <c r="G49" s="62" t="s">
        <v>34</v>
      </c>
      <c r="H49" s="62">
        <f>IFERROR((H47-F47)*10000,"n/a")</f>
        <v>-21.483237257448042</v>
      </c>
      <c r="I49" s="62">
        <f>IFERROR((I47-H47)*10000,"n/a")</f>
        <v>2.164459909907712</v>
      </c>
      <c r="J49" s="64">
        <f>IFERROR((J47-I47)*10000,"n/a")</f>
        <v>2.865644700192783</v>
      </c>
      <c r="K49" s="45"/>
    </row>
    <row r="50">
      <c r="B50" s="24" t="s">
        <v>291</v>
      </c>
      <c r="C50" s="60">
        <f>C14+C20+C26+C32+C38+C44</f>
        <v>368.80299999999994</v>
      </c>
      <c r="D50" s="60">
        <f>D14+D20+D26+D32+D38+D44</f>
        <v>347.445</v>
      </c>
      <c r="E50" s="60">
        <f>E14+E20+E26+E32+E38+E44</f>
        <v>345.736</v>
      </c>
      <c r="F50" s="60">
        <f>F14+F20+F26+F32+F38+F44</f>
        <v>358.9080000000001</v>
      </c>
      <c r="G50" s="60">
        <f>G14+G20+G26+G32+G38+G44</f>
        <v>1420.892</v>
      </c>
      <c r="H50" s="60">
        <f>H14+H20+H26+H32+H38+H44</f>
        <v>393.9</v>
      </c>
      <c r="I50" s="60">
        <f>I14+I20+I26+I32+I38+I44</f>
        <v>379.5</v>
      </c>
      <c r="J50" s="50">
        <f>J14+J20+J26+J32+J38+J44</f>
        <v>392.1</v>
      </c>
      <c r="K50" s="45"/>
    </row>
    <row r="51">
      <c r="B51" s="49" t="s">
        <v>150</v>
      </c>
      <c r="C51" s="33">
        <f>IFERROR(IF(OR(ABS(Inputs!C126)&lt;0.5,C50*Inputs!C126&lt;0),"n/m",C50/Inputs!C126-1),"n/a")</f>
        <v>0.08285792303197725</v>
      </c>
      <c r="D51" s="33">
        <f>IFERROR(IF(OR(ABS(Inputs!D126)&lt;0.5,D50*Inputs!D126&lt;0),"n/m",D50/Inputs!D126-1),"n/a")</f>
        <v>0.06794102188165652</v>
      </c>
      <c r="E51" s="33">
        <f>IFERROR(IF(OR(ABS(Inputs!E126)&lt;0.5,E50*Inputs!E126&lt;0),"n/m",E50/Inputs!E126-1),"n/a")</f>
        <v>0.06916204607092169</v>
      </c>
      <c r="F51" s="33">
        <f>IFERROR(IF(OR(ABS(Inputs!F126)&lt;0.5,F50*Inputs!F126&lt;0),"n/m",F50/Inputs!F126-1),"n/a")</f>
        <v>0.06086930818911385</v>
      </c>
      <c r="G51" s="33">
        <f>IFERROR(IF(OR(ABS(Inputs!G126)&lt;0.5,G50*Inputs!G126&lt;0),"n/m",G50/Inputs!G126-1),"n/a")</f>
        <v>0.07026310437553196</v>
      </c>
      <c r="H51" s="19">
        <f>IFERROR(IF(OR(ABS(C50)&lt;0.5,H50*C50&lt;0),"n/m",H50/C50-1),"n/a")</f>
        <v>0.06804988028839265</v>
      </c>
      <c r="I51" s="19">
        <f>IFERROR(IF(OR(ABS(D50)&lt;0.5,I50*D50&lt;0),"n/m",I50/D50-1),"n/a")</f>
        <v>0.09225920649311403</v>
      </c>
      <c r="J51" s="46">
        <f>IFERROR(IF(OR(ABS(E50)&lt;0.5,J50*E50&lt;0),"n/m",J50/E50-1),"n/a")</f>
        <v>0.13410232084596352</v>
      </c>
      <c r="K51" s="45"/>
    </row>
    <row r="52">
      <c r="B52" s="42" t="s">
        <v>118</v>
      </c>
      <c r="C52" s="4">
        <f>IFERROR(C50-Inputs!F126,"n/a")</f>
        <v>30.487999999999943</v>
      </c>
      <c r="D52" s="20">
        <f>IFERROR(D50-C50,"n/a")</f>
        <v>-21.357999999999947</v>
      </c>
      <c r="E52" s="20">
        <f>IFERROR(E50-D50,"n/a")</f>
        <v>-1.7090000000000032</v>
      </c>
      <c r="F52" s="20">
        <f>IFERROR(F50-E50,"n/a")</f>
        <v>13.172000000000082</v>
      </c>
      <c r="G52" s="20" t="s">
        <v>34</v>
      </c>
      <c r="H52" s="20">
        <f>IFERROR(H50-F50,"n/a")</f>
        <v>34.991999999999905</v>
      </c>
      <c r="I52" s="20">
        <f>IFERROR(I50-H50,"n/a")</f>
        <v>-14.399999999999977</v>
      </c>
      <c r="J52" s="48">
        <f>IFERROR(J50-I50,"n/a")</f>
        <v>12.600000000000023</v>
      </c>
      <c r="K52" s="45"/>
    </row>
    <row r="53">
      <c r="B53" s="24" t="s">
        <v>292</v>
      </c>
      <c r="C53" s="60">
        <f>C10-C50</f>
        <v>377.02299999999997</v>
      </c>
      <c r="D53" s="60">
        <f>D10-D50</f>
        <v>425.2340000000001</v>
      </c>
      <c r="E53" s="60">
        <f>E10-E50</f>
        <v>447.68999999999994</v>
      </c>
      <c r="F53" s="60">
        <f>F10-F50</f>
        <v>463.61999999999983</v>
      </c>
      <c r="G53" s="60">
        <f>G10-G50</f>
        <v>1713.5670000000002</v>
      </c>
      <c r="H53" s="60">
        <f>H10-H50</f>
        <v>456.9</v>
      </c>
      <c r="I53" s="60">
        <f>I10-I50</f>
        <v>487.5</v>
      </c>
      <c r="J53" s="50">
        <f>J10-J50</f>
        <v>495.2758440650157</v>
      </c>
      <c r="K53" s="45"/>
    </row>
    <row r="54">
      <c r="B54" s="49" t="s">
        <v>150</v>
      </c>
      <c r="C54" s="33">
        <f>IFERROR(IF(OR(ABS(Inputs!C127)&lt;0.5,C53*Inputs!C127&lt;0),"n/m",C53/Inputs!C127-1),"n/a")</f>
        <v>0.11091041952725833</v>
      </c>
      <c r="D54" s="33">
        <f>IFERROR(IF(OR(ABS(Inputs!D127)&lt;0.5,D53*Inputs!D127&lt;0),"n/m",D53/Inputs!D127-1),"n/a")</f>
        <v>0.11140906619830249</v>
      </c>
      <c r="E54" s="33">
        <f>IFERROR(IF(OR(ABS(Inputs!E127)&lt;0.5,E53*Inputs!E127&lt;0),"n/m",E53/Inputs!E127-1),"n/a")</f>
        <v>0.11550479152027959</v>
      </c>
      <c r="F54" s="33">
        <f>IFERROR(IF(OR(ABS(Inputs!F127)&lt;0.5,F53*Inputs!F127&lt;0),"n/m",F53/Inputs!F127-1),"n/a")</f>
        <v>0.14419265833156425</v>
      </c>
      <c r="G54" s="33">
        <f>IFERROR(IF(OR(ABS(Inputs!G127)&lt;0.5,G53*Inputs!G127&lt;0),"n/m",G53/Inputs!G127-1),"n/a")</f>
        <v>0.12106432505210951</v>
      </c>
      <c r="H54" s="19">
        <f>IFERROR(IF(OR(ABS(C53)&lt;0.5,H53*C53&lt;0),"n/m",H53/C53-1),"n/a")</f>
        <v>0.21186240627229647</v>
      </c>
      <c r="I54" s="19">
        <f>IFERROR(IF(OR(ABS(D53)&lt;0.5,I53*D53&lt;0),"n/m",I53/D53-1),"n/a")</f>
        <v>0.146427613972542</v>
      </c>
      <c r="J54" s="46">
        <f>IFERROR(IF(OR(ABS(E53)&lt;0.5,J53*E53&lt;0),"n/m",J53/E53-1),"n/a")</f>
        <v>0.10629195216559628</v>
      </c>
      <c r="K54" s="45"/>
    </row>
    <row r="55">
      <c r="B55" s="42" t="s">
        <v>118</v>
      </c>
      <c r="C55" s="4">
        <f>IFERROR(C53-Inputs!F127,"n/a")</f>
        <v>-28.17100000000005</v>
      </c>
      <c r="D55" s="20">
        <f>IFERROR(D53-C53,"n/a")</f>
        <v>48.211000000000126</v>
      </c>
      <c r="E55" s="20">
        <f>IFERROR(E53-D53,"n/a")</f>
        <v>22.455999999999847</v>
      </c>
      <c r="F55" s="20">
        <f>IFERROR(F53-E53,"n/a")</f>
        <v>15.929999999999893</v>
      </c>
      <c r="G55" s="20" t="s">
        <v>34</v>
      </c>
      <c r="H55" s="20">
        <f>IFERROR(H53-F53,"n/a")</f>
        <v>-6.719999999999857</v>
      </c>
      <c r="I55" s="20">
        <f>IFERROR(I53-H53,"n/a")</f>
        <v>30.600000000000023</v>
      </c>
      <c r="J55" s="48">
        <f>IFERROR(J53-I53,"n/a")</f>
        <v>7.77584406501569</v>
      </c>
      <c r="K55" s="45"/>
    </row>
    <row r="56">
      <c r="B56" s="30" t="s">
        <v>293</v>
      </c>
      <c r="C56" s="19">
        <f>C53/C10</f>
        <v>0.505510668708251</v>
      </c>
      <c r="D56" s="19">
        <f>D53/D10</f>
        <v>0.5503372034182371</v>
      </c>
      <c r="E56" s="19">
        <f>E53/E10</f>
        <v>0.5642492179484917</v>
      </c>
      <c r="F56" s="19">
        <f>F53/F10</f>
        <v>0.5636525443510736</v>
      </c>
      <c r="G56" s="19">
        <f>G53/G10</f>
        <v>0.5466866850068863</v>
      </c>
      <c r="H56" s="19">
        <f>H53/H10</f>
        <v>0.5370239774330042</v>
      </c>
      <c r="I56" s="19">
        <f>I53/I10</f>
        <v>0.5622837370242214</v>
      </c>
      <c r="J56" s="46">
        <f>J53/J10</f>
        <v>0.5581353688829152</v>
      </c>
      <c r="K56" s="45"/>
    </row>
    <row r="57">
      <c r="B57" s="49" t="s">
        <v>120</v>
      </c>
      <c r="C57" s="47">
        <f>IFERROR((C56-Inputs!C128)*10000,"n/a")</f>
        <v>63.93802398955706</v>
      </c>
      <c r="D57" s="47">
        <f>IFERROR((D56-Inputs!D128)*10000,"n/a")</f>
        <v>98.91493345901448</v>
      </c>
      <c r="E57" s="47">
        <f>IFERROR((E56-Inputs!E128)*10000,"n/a")</f>
        <v>104.59744990529485</v>
      </c>
      <c r="F57" s="47">
        <f>IFERROR((F56-Inputs!F128)*10000,"n/a")</f>
        <v>186.77298590766722</v>
      </c>
      <c r="G57" s="47">
        <f>IFERROR((G56-Inputs!G128)*10000,"n/a")</f>
        <v>115.15292128135846</v>
      </c>
      <c r="H57" s="62">
        <f>IFERROR((H56-C56)*10000,"n/a")</f>
        <v>315.1330872475322</v>
      </c>
      <c r="I57" s="62">
        <f>IFERROR((I56-D56)*10000,"n/a")</f>
        <v>119.465336059843</v>
      </c>
      <c r="J57" s="64">
        <f>IFERROR((J56-E56)*10000,"n/a")</f>
        <v>-61.13849065576549</v>
      </c>
      <c r="K57" s="45"/>
    </row>
    <row r="58">
      <c r="B58" s="49" t="s">
        <v>121</v>
      </c>
      <c r="C58" s="47">
        <f>IFERROR((C56-Inputs!F128)*10000,"n/a")</f>
        <v>-394.6457705205586</v>
      </c>
      <c r="D58" s="62">
        <f>IFERROR((D56-C56)*10000,"n/a")</f>
        <v>448.265347099861</v>
      </c>
      <c r="E58" s="62">
        <f>IFERROR((E56-D56)*10000,"n/a")</f>
        <v>139.1201453025459</v>
      </c>
      <c r="F58" s="62">
        <f>IFERROR((F56-E56)*10000,"n/a")</f>
        <v>-5.96673597418107</v>
      </c>
      <c r="G58" s="62" t="s">
        <v>34</v>
      </c>
      <c r="H58" s="62">
        <f>IFERROR((H56-F56)*10000,"n/a")</f>
        <v>-266.2856691806936</v>
      </c>
      <c r="I58" s="62">
        <f>IFERROR((I56-H56)*10000,"n/a")</f>
        <v>252.59759591217178</v>
      </c>
      <c r="J58" s="64">
        <f>IFERROR((J56-I56)*10000,"n/a")</f>
        <v>-41.48368141306258</v>
      </c>
      <c r="K58" s="45"/>
    </row>
    <row r="59">
      <c r="B59" s="42" t="s">
        <v>294</v>
      </c>
      <c r="C59" s="12">
        <v>-3.876</v>
      </c>
      <c r="D59" s="12">
        <v>-2.929</v>
      </c>
      <c r="E59" s="12">
        <v>-5.109</v>
      </c>
      <c r="F59" s="12">
        <v>-4.098</v>
      </c>
      <c r="G59" s="20">
        <f>SUM(C59:F59)</f>
        <v>-16.012</v>
      </c>
      <c r="H59" s="12">
        <v>-2.8</v>
      </c>
      <c r="I59" s="12">
        <v>-2.5</v>
      </c>
      <c r="J59" s="53">
        <v>-2.5</v>
      </c>
      <c r="K59" s="45" t="s">
        <v>284</v>
      </c>
    </row>
    <row r="60">
      <c r="B60" s="65" t="s">
        <v>150</v>
      </c>
      <c r="C60" s="33">
        <f>IFERROR(IF(OR(ABS(Inputs!C129)&lt;0.5,C59*Inputs!C129&lt;0),"n/m",C59/Inputs!C129-1),"n/a")</f>
        <v>-0.3591269841269842</v>
      </c>
      <c r="D60" s="33">
        <f>IFERROR(IF(OR(ABS(Inputs!D129)&lt;0.5,D59*Inputs!D129&lt;0),"n/m",D59/Inputs!D129-1),"n/a")</f>
        <v>-0.5206219312602292</v>
      </c>
      <c r="E60" s="33">
        <f>IFERROR(IF(OR(ABS(Inputs!E129)&lt;0.5,E59*Inputs!E129&lt;0),"n/m",E59/Inputs!E129-1),"n/a")</f>
        <v>-0.02070155261644613</v>
      </c>
      <c r="F60" s="33">
        <f>IFERROR(IF(OR(ABS(Inputs!F129)&lt;0.5,F59*Inputs!F129&lt;0),"n/m",F59/Inputs!F129-1),"n/a")</f>
        <v>0.05023065094823154</v>
      </c>
      <c r="G60" s="33">
        <f>IFERROR(IF(OR(ABS(Inputs!G129)&lt;0.5,G59*Inputs!G129&lt;0),"n/m",G59/Inputs!G129-1),"n/a")</f>
        <v>-0.24745029844432953</v>
      </c>
      <c r="H60" s="19">
        <f>IFERROR(IF(OR(ABS(C59)&lt;0.5,H59*C59&lt;0),"n/m",H59/C59-1),"n/a")</f>
        <v>-0.27760577915376683</v>
      </c>
      <c r="I60" s="19">
        <f>IFERROR(IF(OR(ABS(D59)&lt;0.5,I59*D59&lt;0),"n/m",I59/D59-1),"n/a")</f>
        <v>-0.14646637077500846</v>
      </c>
      <c r="J60" s="46">
        <f>IFERROR(IF(OR(ABS(E59)&lt;0.5,J59*E59&lt;0),"n/m",J59/E59-1),"n/a")</f>
        <v>-0.5106674495987473</v>
      </c>
      <c r="K60" s="45"/>
    </row>
    <row r="61">
      <c r="B61" s="54" t="s">
        <v>118</v>
      </c>
      <c r="C61" s="4">
        <f>IFERROR(C59-Inputs!F129,"n/a")</f>
        <v>0.026000000000000245</v>
      </c>
      <c r="D61" s="20">
        <f>IFERROR(D59-C59,"n/a")</f>
        <v>0.9470000000000001</v>
      </c>
      <c r="E61" s="20">
        <f>IFERROR(E59-D59,"n/a")</f>
        <v>-2.18</v>
      </c>
      <c r="F61" s="20">
        <f>IFERROR(F59-E59,"n/a")</f>
        <v>1.0110000000000001</v>
      </c>
      <c r="G61" s="20" t="s">
        <v>34</v>
      </c>
      <c r="H61" s="20">
        <f>IFERROR(H59-F59,"n/a")</f>
        <v>1.298</v>
      </c>
      <c r="I61" s="20">
        <f>IFERROR(I59-H59,"n/a")</f>
        <v>0.2999999999999998</v>
      </c>
      <c r="J61" s="48">
        <f>IFERROR(J59-I59,"n/a")</f>
        <v>0</v>
      </c>
      <c r="K61" s="45"/>
    </row>
    <row r="62">
      <c r="B62" s="42" t="s">
        <v>295</v>
      </c>
      <c r="C62" s="12">
        <v>46.492</v>
      </c>
      <c r="D62" s="12">
        <v>46.184</v>
      </c>
      <c r="E62" s="12">
        <v>53.62</v>
      </c>
      <c r="F62" s="12">
        <v>63.593</v>
      </c>
      <c r="G62" s="20">
        <f>SUM(C62:F62)</f>
        <v>209.889</v>
      </c>
      <c r="H62" s="12">
        <v>69.1</v>
      </c>
      <c r="I62" s="12">
        <v>71</v>
      </c>
      <c r="J62" s="53">
        <v>72.5</v>
      </c>
      <c r="K62" s="45" t="s">
        <v>296</v>
      </c>
    </row>
    <row r="63">
      <c r="B63" s="65" t="s">
        <v>150</v>
      </c>
      <c r="C63" s="33">
        <f>IFERROR(IF(OR(ABS(Inputs!C130)&lt;0.5,C62*Inputs!C130&lt;0),"n/m",C62/Inputs!C130-1),"n/a")</f>
        <v>-0.0038993872391481776</v>
      </c>
      <c r="D63" s="33">
        <f>IFERROR(IF(OR(ABS(Inputs!D130)&lt;0.5,D62*Inputs!D130&lt;0),"n/m",D62/Inputs!D130-1),"n/a")</f>
        <v>-0.009628374756074143</v>
      </c>
      <c r="E63" s="33">
        <f>IFERROR(IF(OR(ABS(Inputs!E130)&lt;0.5,E62*Inputs!E130&lt;0),"n/m",E62/Inputs!E130-1),"n/a")</f>
        <v>0.14847498286497585</v>
      </c>
      <c r="F63" s="33">
        <f>IFERROR(IF(OR(ABS(Inputs!F130)&lt;0.5,F62*Inputs!F130&lt;0),"n/m",F62/Inputs!F130-1),"n/a")</f>
        <v>0.39749478079331935</v>
      </c>
      <c r="G63" s="33">
        <f>IFERROR(IF(OR(ABS(Inputs!G130)&lt;0.5,G62*Inputs!G130&lt;0),"n/m",G62/Inputs!G130-1),"n/a")</f>
        <v>0.13147708894878707</v>
      </c>
      <c r="H63" s="19">
        <f>IFERROR(IF(OR(ABS(C62)&lt;0.5,H62*C62&lt;0),"n/m",H62/C62-1),"n/a")</f>
        <v>0.4862772089821905</v>
      </c>
      <c r="I63" s="19">
        <f>IFERROR(IF(OR(ABS(D62)&lt;0.5,I62*D62&lt;0),"n/m",I62/D62-1),"n/a")</f>
        <v>0.5373289450892085</v>
      </c>
      <c r="J63" s="46">
        <f>IFERROR(IF(OR(ABS(E62)&lt;0.5,J62*E62&lt;0),"n/m",J62/E62-1),"n/a")</f>
        <v>0.35210742260350614</v>
      </c>
      <c r="K63" s="45"/>
    </row>
    <row r="64">
      <c r="B64" s="54" t="s">
        <v>118</v>
      </c>
      <c r="C64" s="4">
        <f>IFERROR(C62-Inputs!F130,"n/a")</f>
        <v>0.9869999999999948</v>
      </c>
      <c r="D64" s="20">
        <f>IFERROR(D62-C62,"n/a")</f>
        <v>-0.30799999999999983</v>
      </c>
      <c r="E64" s="20">
        <f>IFERROR(E62-D62,"n/a")</f>
        <v>7.436</v>
      </c>
      <c r="F64" s="20">
        <f>IFERROR(F62-E62,"n/a")</f>
        <v>9.973000000000006</v>
      </c>
      <c r="G64" s="20" t="s">
        <v>34</v>
      </c>
      <c r="H64" s="20">
        <f>IFERROR(H62-F62,"n/a")</f>
        <v>5.506999999999991</v>
      </c>
      <c r="I64" s="20">
        <f>IFERROR(I62-H62,"n/a")</f>
        <v>1.9000000000000057</v>
      </c>
      <c r="J64" s="48">
        <f>IFERROR(J62-I62,"n/a")</f>
        <v>1.5</v>
      </c>
      <c r="K64" s="45"/>
    </row>
    <row r="65">
      <c r="B65" s="42" t="s">
        <v>297</v>
      </c>
      <c r="C65" s="12">
        <v>3.337</v>
      </c>
      <c r="D65" s="12">
        <v>4.139</v>
      </c>
      <c r="E65" s="12">
        <v>2.671</v>
      </c>
      <c r="F65" s="12">
        <v>15.287</v>
      </c>
      <c r="G65" s="20">
        <f>SUM(C65:F65)</f>
        <v>25.434</v>
      </c>
      <c r="H65" s="12">
        <v>1.4</v>
      </c>
      <c r="I65" s="12">
        <v>1.7</v>
      </c>
      <c r="J65" s="53">
        <v>1.5</v>
      </c>
      <c r="K65" s="45" t="s">
        <v>284</v>
      </c>
    </row>
    <row r="66">
      <c r="B66" s="65" t="s">
        <v>150</v>
      </c>
      <c r="C66" s="33">
        <f>IFERROR(IF(OR(ABS(Inputs!C131)&lt;0.5,C65*Inputs!C131&lt;0),"n/m",C65/Inputs!C131-1),"n/a")</f>
        <v>0.16556060076842471</v>
      </c>
      <c r="D66" s="33">
        <f>IFERROR(IF(OR(ABS(Inputs!D131)&lt;0.5,D65*Inputs!D131&lt;0),"n/m",D65/Inputs!D131-1),"n/a")</f>
        <v>0.9794356767097081</v>
      </c>
      <c r="E66" s="33">
        <f>IFERROR(IF(OR(ABS(Inputs!E131)&lt;0.5,E65*Inputs!E131&lt;0),"n/m",E65/Inputs!E131-1),"n/a")</f>
        <v>-0.0874615647420568</v>
      </c>
      <c r="F66" s="33" t="str">
        <f>IFERROR(IF(OR(ABS(Inputs!F131)&lt;0.5,F65*Inputs!F131&lt;0),"n/m",F65/Inputs!F131-1),"n/a")</f>
        <v>n/m</v>
      </c>
      <c r="G66" s="33">
        <f>IFERROR(IF(OR(ABS(Inputs!G131)&lt;0.5,G65*Inputs!G131&lt;0),"n/m",G65/Inputs!G131-1),"n/a")</f>
        <v>2.129568106312292</v>
      </c>
      <c r="H66" s="19">
        <f>IFERROR(IF(OR(ABS(C65)&lt;0.5,H65*C65&lt;0),"n/m",H65/C65-1),"n/a")</f>
        <v>-0.5804614923584058</v>
      </c>
      <c r="I66" s="19">
        <f>IFERROR(IF(OR(ABS(D65)&lt;0.5,I65*D65&lt;0),"n/m",I65/D65-1),"n/a")</f>
        <v>-0.5892727712007731</v>
      </c>
      <c r="J66" s="46">
        <f>IFERROR(IF(OR(ABS(E65)&lt;0.5,J65*E65&lt;0),"n/m",J65/E65-1),"n/a")</f>
        <v>-0.4384125795582179</v>
      </c>
      <c r="K66" s="45"/>
    </row>
    <row r="67">
      <c r="B67" s="54" t="s">
        <v>118</v>
      </c>
      <c r="C67" s="4">
        <f>IFERROR(C65-Inputs!F131,"n/a")</f>
        <v>3.091</v>
      </c>
      <c r="D67" s="20">
        <f>IFERROR(D65-C65,"n/a")</f>
        <v>0.802</v>
      </c>
      <c r="E67" s="20">
        <f>IFERROR(E65-D65,"n/a")</f>
        <v>-1.4680000000000004</v>
      </c>
      <c r="F67" s="20">
        <f>IFERROR(F65-E65,"n/a")</f>
        <v>12.616000000000001</v>
      </c>
      <c r="G67" s="20" t="s">
        <v>34</v>
      </c>
      <c r="H67" s="20">
        <f>IFERROR(H65-F65,"n/a")</f>
        <v>-13.887</v>
      </c>
      <c r="I67" s="20">
        <f>IFERROR(I65-H65,"n/a")</f>
        <v>0.30000000000000004</v>
      </c>
      <c r="J67" s="48">
        <f>IFERROR(J65-I65,"n/a")</f>
        <v>-0.19999999999999996</v>
      </c>
      <c r="K67" s="45"/>
    </row>
    <row r="68">
      <c r="B68" s="24" t="s">
        <v>298</v>
      </c>
      <c r="C68" s="60">
        <f>C59+C62+C65</f>
        <v>45.953</v>
      </c>
      <c r="D68" s="60">
        <f>D59+D62+D65</f>
        <v>47.394</v>
      </c>
      <c r="E68" s="60">
        <f>E59+E62+E65</f>
        <v>51.181999999999995</v>
      </c>
      <c r="F68" s="60">
        <f>F59+F62+F65</f>
        <v>74.78200000000001</v>
      </c>
      <c r="G68" s="60">
        <f>G59+G62+G65</f>
        <v>219.311</v>
      </c>
      <c r="H68" s="60">
        <f>H59+H62+H65</f>
        <v>67.7</v>
      </c>
      <c r="I68" s="60">
        <f>I59+I62+I65</f>
        <v>70.2</v>
      </c>
      <c r="J68" s="50">
        <f>J59+J62+J65</f>
        <v>71.5</v>
      </c>
      <c r="K68" s="45"/>
    </row>
    <row r="69">
      <c r="B69" s="49" t="s">
        <v>150</v>
      </c>
      <c r="C69" s="33">
        <f>IFERROR(IF(OR(ABS(Inputs!C132)&lt;0.5,C68*Inputs!C132&lt;0),"n/m",C68/Inputs!C132-1),"n/a")</f>
        <v>0.05665800547264843</v>
      </c>
      <c r="D69" s="33">
        <f>IFERROR(IF(OR(ABS(Inputs!D132)&lt;0.5,D68*Inputs!D132&lt;0),"n/m",D68/Inputs!D132-1),"n/a")</f>
        <v>0.11216970948514549</v>
      </c>
      <c r="E69" s="33">
        <f>IFERROR(IF(OR(ABS(Inputs!E132)&lt;0.5,E68*Inputs!E132&lt;0),"n/m",E68/Inputs!E132-1),"n/a")</f>
        <v>0.15279967566106567</v>
      </c>
      <c r="F69" s="33">
        <f>IFERROR(IF(OR(ABS(Inputs!F132)&lt;0.5,F68*Inputs!F132&lt;0),"n/m",F68/Inputs!F132-1),"n/a")</f>
        <v>0.7869483141771609</v>
      </c>
      <c r="G69" s="33">
        <f>IFERROR(IF(OR(ABS(Inputs!G132)&lt;0.5,G68*Inputs!G132&lt;0),"n/m",G68/Inputs!G132-1),"n/a")</f>
        <v>0.27247461560777464</v>
      </c>
      <c r="H69" s="19">
        <f>IFERROR(IF(OR(ABS(C68)&lt;0.5,H68*C68&lt;0),"n/m",H68/C68-1),"n/a")</f>
        <v>0.4732444018888864</v>
      </c>
      <c r="I69" s="19">
        <f>IFERROR(IF(OR(ABS(D68)&lt;0.5,I68*D68&lt;0),"n/m",I68/D68-1),"n/a")</f>
        <v>0.4812001519179645</v>
      </c>
      <c r="J69" s="46">
        <f>IFERROR(IF(OR(ABS(E68)&lt;0.5,J68*E68&lt;0),"n/m",J68/E68-1),"n/a")</f>
        <v>0.39697549919893715</v>
      </c>
      <c r="K69" s="45"/>
    </row>
    <row r="70">
      <c r="B70" s="42" t="s">
        <v>118</v>
      </c>
      <c r="C70" s="4">
        <f>IFERROR(C68-Inputs!F132,"n/a")</f>
        <v>4.103999999999999</v>
      </c>
      <c r="D70" s="20">
        <f>IFERROR(D68-C68,"n/a")</f>
        <v>1.4409999999999954</v>
      </c>
      <c r="E70" s="20">
        <f>IFERROR(E68-D68,"n/a")</f>
        <v>3.7879999999999967</v>
      </c>
      <c r="F70" s="20">
        <f>IFERROR(F68-E68,"n/a")</f>
        <v>23.600000000000016</v>
      </c>
      <c r="G70" s="20" t="s">
        <v>34</v>
      </c>
      <c r="H70" s="20">
        <f>IFERROR(H68-F68,"n/a")</f>
        <v>-7.082000000000008</v>
      </c>
      <c r="I70" s="20">
        <f>IFERROR(I68-H68,"n/a")</f>
        <v>2.5</v>
      </c>
      <c r="J70" s="48">
        <f>IFERROR(J68-I68,"n/a")</f>
        <v>1.2999999999999972</v>
      </c>
      <c r="K70" s="45"/>
    </row>
    <row r="71">
      <c r="B71" s="24" t="s">
        <v>299</v>
      </c>
      <c r="C71" s="60">
        <f>C53-C68</f>
        <v>331.06999999999994</v>
      </c>
      <c r="D71" s="60">
        <f>D53-D68</f>
        <v>377.8400000000001</v>
      </c>
      <c r="E71" s="60">
        <f>E53-E68</f>
        <v>396.5079999999999</v>
      </c>
      <c r="F71" s="60">
        <f>F53-F68</f>
        <v>388.83799999999985</v>
      </c>
      <c r="G71" s="60">
        <f>G53-G68</f>
        <v>1494.2560000000003</v>
      </c>
      <c r="H71" s="60">
        <f>H53-H68</f>
        <v>389.2</v>
      </c>
      <c r="I71" s="60">
        <f>I53-I68</f>
        <v>417.3</v>
      </c>
      <c r="J71" s="50">
        <f>J53-J68</f>
        <v>423.7758440650157</v>
      </c>
      <c r="K71" s="45"/>
    </row>
    <row r="72">
      <c r="B72" s="49" t="s">
        <v>150</v>
      </c>
      <c r="C72" s="33">
        <f>IFERROR(IF(OR(ABS(Inputs!C133)&lt;0.5,C71*Inputs!C133&lt;0),"n/m",C71/Inputs!C133-1),"n/a")</f>
        <v>0.11888419124480776</v>
      </c>
      <c r="D72" s="33">
        <f>IFERROR(IF(OR(ABS(Inputs!D133)&lt;0.5,D71*Inputs!D133&lt;0),"n/m",D71/Inputs!D133-1),"n/a")</f>
        <v>0.1113137290658075</v>
      </c>
      <c r="E72" s="33">
        <f>IFERROR(IF(OR(ABS(Inputs!E133)&lt;0.5,E71*Inputs!E133&lt;0),"n/m",E71/Inputs!E133-1),"n/a")</f>
        <v>0.11086581347916691</v>
      </c>
      <c r="F72" s="33">
        <f>IFERROR(IF(OR(ABS(Inputs!F133)&lt;0.5,F71*Inputs!F133&lt;0),"n/m",F71/Inputs!F133-1),"n/a")</f>
        <v>0.07016196727627966</v>
      </c>
      <c r="G72" s="33">
        <f>IFERROR(IF(OR(ABS(Inputs!G133)&lt;0.5,G71*Inputs!G133&lt;0),"n/m",G71/Inputs!G133-1),"n/a")</f>
        <v>0.10182219312061647</v>
      </c>
      <c r="H72" s="19">
        <f>IFERROR(IF(OR(ABS(C71)&lt;0.5,H71*C71&lt;0),"n/m",H71/C71-1),"n/a")</f>
        <v>0.17558220315945294</v>
      </c>
      <c r="I72" s="19">
        <f>IFERROR(IF(OR(ABS(D71)&lt;0.5,I71*D71&lt;0),"n/m",I71/D71-1),"n/a")</f>
        <v>0.10443573999576516</v>
      </c>
      <c r="J72" s="46">
        <f>IFERROR(IF(OR(ABS(E71)&lt;0.5,J71*E71&lt;0),"n/m",J71/E71-1),"n/a")</f>
        <v>0.06876997201825885</v>
      </c>
      <c r="K72" s="45"/>
    </row>
    <row r="73">
      <c r="B73" s="42" t="s">
        <v>118</v>
      </c>
      <c r="C73" s="4">
        <f>IFERROR(C71-Inputs!F133,"n/a")</f>
        <v>-32.27500000000009</v>
      </c>
      <c r="D73" s="20">
        <f>IFERROR(D71-C71,"n/a")</f>
        <v>46.77000000000015</v>
      </c>
      <c r="E73" s="20">
        <f>IFERROR(E71-D71,"n/a")</f>
        <v>18.667999999999836</v>
      </c>
      <c r="F73" s="20">
        <f>IFERROR(F71-E71,"n/a")</f>
        <v>-7.670000000000073</v>
      </c>
      <c r="G73" s="20" t="s">
        <v>34</v>
      </c>
      <c r="H73" s="20">
        <f>IFERROR(H71-F71,"n/a")</f>
        <v>0.3620000000001369</v>
      </c>
      <c r="I73" s="20">
        <f>IFERROR(I71-H71,"n/a")</f>
        <v>28.100000000000023</v>
      </c>
      <c r="J73" s="48">
        <f>IFERROR(J71-I71,"n/a")</f>
        <v>6.4758440650156786</v>
      </c>
      <c r="K73" s="45"/>
    </row>
    <row r="74">
      <c r="B74" s="42" t="s">
        <v>300</v>
      </c>
      <c r="C74" s="12">
        <v>42.47</v>
      </c>
      <c r="D74" s="12">
        <v>74.19</v>
      </c>
      <c r="E74" s="12">
        <v>71.122</v>
      </c>
      <c r="F74" s="12">
        <v>104.169</v>
      </c>
      <c r="G74" s="20">
        <f>SUM(C74:F74)</f>
        <v>291.951</v>
      </c>
      <c r="H74" s="12">
        <v>-16.8</v>
      </c>
      <c r="I74" s="12">
        <v>75.3</v>
      </c>
      <c r="J74" s="48">
        <f>J71*J77</f>
        <v>77.55097946389787</v>
      </c>
      <c r="K74" s="45" t="s">
        <v>301</v>
      </c>
    </row>
    <row r="75">
      <c r="B75" s="65" t="s">
        <v>150</v>
      </c>
      <c r="C75" s="33">
        <f>IFERROR(IF(OR(ABS(Inputs!C134)&lt;0.5,C74*Inputs!C134&lt;0),"n/m",C74/Inputs!C134-1),"n/a")</f>
        <v>0.06337164175367427</v>
      </c>
      <c r="D75" s="33">
        <f>IFERROR(IF(OR(ABS(Inputs!D134)&lt;0.5,D74*Inputs!D134&lt;0),"n/m",D74/Inputs!D134-1),"n/a")</f>
        <v>0.013026380468621923</v>
      </c>
      <c r="E75" s="33">
        <f>IFERROR(IF(OR(ABS(Inputs!E134)&lt;0.5,E74*Inputs!E134&lt;0),"n/m",E74/Inputs!E134-1),"n/a")</f>
        <v>-0.064614979943447</v>
      </c>
      <c r="F75" s="33">
        <f>IFERROR(IF(OR(ABS(Inputs!F134)&lt;0.5,F74*Inputs!F134&lt;0),"n/m",F74/Inputs!F134-1),"n/a")</f>
        <v>0.8012969047207332</v>
      </c>
      <c r="G75" s="33">
        <f>IFERROR(IF(OR(ABS(Inputs!G134)&lt;0.5,G74*Inputs!G134&lt;0),"n/m",G74/Inputs!G134-1),"n/a")</f>
        <v>0.1817964702072541</v>
      </c>
      <c r="H75" s="19" t="str">
        <f>IFERROR(IF(OR(ABS(C74)&lt;0.5,H74*C74&lt;0),"n/m",H74/C74-1),"n/a")</f>
        <v>n/m</v>
      </c>
      <c r="I75" s="19">
        <f>IFERROR(IF(OR(ABS(D74)&lt;0.5,I74*D74&lt;0),"n/m",I74/D74-1),"n/a")</f>
        <v>0.014961585119288356</v>
      </c>
      <c r="J75" s="46">
        <f>IFERROR(IF(OR(ABS(E74)&lt;0.5,J74*E74&lt;0),"n/m",J74/E74-1),"n/a")</f>
        <v>0.09039368217848032</v>
      </c>
      <c r="K75" s="45"/>
    </row>
    <row r="76">
      <c r="B76" s="54" t="s">
        <v>118</v>
      </c>
      <c r="C76" s="4">
        <f>IFERROR(C74-Inputs!F134,"n/a")</f>
        <v>-15.36</v>
      </c>
      <c r="D76" s="20">
        <f>IFERROR(D74-C74,"n/a")</f>
        <v>31.72</v>
      </c>
      <c r="E76" s="20">
        <f>IFERROR(E74-D74,"n/a")</f>
        <v>-3.067999999999998</v>
      </c>
      <c r="F76" s="20">
        <f>IFERROR(F74-E74,"n/a")</f>
        <v>33.047</v>
      </c>
      <c r="G76" s="20" t="s">
        <v>34</v>
      </c>
      <c r="H76" s="20">
        <f>IFERROR(H74-F74,"n/a")</f>
        <v>-120.969</v>
      </c>
      <c r="I76" s="20">
        <f>IFERROR(I74-H74,"n/a")</f>
        <v>92.1</v>
      </c>
      <c r="J76" s="48">
        <f>IFERROR(J74-I74,"n/a")</f>
        <v>2.2509794638978775</v>
      </c>
      <c r="K76" s="45"/>
    </row>
    <row r="77">
      <c r="B77" s="30" t="s">
        <v>102</v>
      </c>
      <c r="C77" s="19">
        <f>C74/C71</f>
        <v>0.1282810281813514</v>
      </c>
      <c r="D77" s="19">
        <f>D74/D71</f>
        <v>0.1963529536311666</v>
      </c>
      <c r="E77" s="19">
        <f>E74/E71</f>
        <v>0.17937090802707642</v>
      </c>
      <c r="F77" s="19">
        <f>F74/F71</f>
        <v>0.2678981992500734</v>
      </c>
      <c r="G77" s="19">
        <f>G74/G71</f>
        <v>0.1953821835080468</v>
      </c>
      <c r="H77" s="19">
        <f>H74/H71</f>
        <v>-0.04316546762589928</v>
      </c>
      <c r="I77" s="19">
        <f>I74/I71</f>
        <v>0.18044572250179725</v>
      </c>
      <c r="J77" s="58">
        <v>0.183</v>
      </c>
      <c r="K77" s="45" t="s">
        <v>302</v>
      </c>
    </row>
    <row r="78">
      <c r="B78" s="49" t="s">
        <v>120</v>
      </c>
      <c r="C78" s="47">
        <f>IFERROR((C77-Inputs!C135)*10000,"n/a")</f>
        <v>-66.96818540267546</v>
      </c>
      <c r="D78" s="47">
        <f>IFERROR((D77-Inputs!D135)*10000,"n/a")</f>
        <v>-190.50847612384848</v>
      </c>
      <c r="E78" s="47">
        <f>IFERROR((E77-Inputs!E135)*10000,"n/a")</f>
        <v>-336.5047395736895</v>
      </c>
      <c r="F78" s="47">
        <f>IFERROR((F77-Inputs!F135)*10000,"n/a")</f>
        <v>1087.3817227846241</v>
      </c>
      <c r="G78" s="47">
        <f>IFERROR((G77-Inputs!G135)*10000,"n/a")</f>
        <v>132.2186118809826</v>
      </c>
      <c r="H78" s="62">
        <f>IFERROR((H77-C77)*10000,"n/a")</f>
        <v>-1714.4649580725068</v>
      </c>
      <c r="I78" s="62">
        <f>IFERROR((I77-D77)*10000,"n/a")</f>
        <v>-159.07231129369342</v>
      </c>
      <c r="J78" s="64">
        <f>IFERROR((J77-E77)*10000,"n/a")</f>
        <v>36.29091972923576</v>
      </c>
      <c r="K78" s="45"/>
    </row>
    <row r="79">
      <c r="B79" s="49" t="s">
        <v>121</v>
      </c>
      <c r="C79" s="47">
        <f>IFERROR((C77-Inputs!F135)*10000,"n/a")</f>
        <v>-308.789987902596</v>
      </c>
      <c r="D79" s="62">
        <f>IFERROR((D77-C77)*10000,"n/a")</f>
        <v>680.7192544981519</v>
      </c>
      <c r="E79" s="62">
        <f>IFERROR((E77-D77)*10000,"n/a")</f>
        <v>-169.8204560409017</v>
      </c>
      <c r="F79" s="62">
        <f>IFERROR((F77-E77)*10000,"n/a")</f>
        <v>885.2729122299698</v>
      </c>
      <c r="G79" s="62" t="s">
        <v>34</v>
      </c>
      <c r="H79" s="62">
        <f>IFERROR((H77-F77)*10000,"n/a")</f>
        <v>-3110.636668759727</v>
      </c>
      <c r="I79" s="62">
        <f>IFERROR((I77-H77)*10000,"n/a")</f>
        <v>2236.1119012769655</v>
      </c>
      <c r="J79" s="64">
        <f>IFERROR((J77-I77)*10000,"n/a")</f>
        <v>25.542774982027506</v>
      </c>
      <c r="K79" s="45"/>
    </row>
    <row r="80">
      <c r="B80" s="24" t="s">
        <v>303</v>
      </c>
      <c r="C80" s="60">
        <f>C71-C74</f>
        <v>288.5999999999999</v>
      </c>
      <c r="D80" s="60">
        <f>D71-D74</f>
        <v>303.6500000000001</v>
      </c>
      <c r="E80" s="60">
        <f>E71-E74</f>
        <v>325.3859999999999</v>
      </c>
      <c r="F80" s="60">
        <f>F71-F74</f>
        <v>284.66899999999987</v>
      </c>
      <c r="G80" s="60">
        <f>G71-G74</f>
        <v>1202.3050000000003</v>
      </c>
      <c r="H80" s="60">
        <f>H71-H74</f>
        <v>406</v>
      </c>
      <c r="I80" s="60">
        <f>I71-I74</f>
        <v>342</v>
      </c>
      <c r="J80" s="50">
        <f>J71-J74</f>
        <v>346.2248646011178</v>
      </c>
      <c r="K80" s="45"/>
    </row>
    <row r="81">
      <c r="B81" s="49" t="s">
        <v>150</v>
      </c>
      <c r="C81" s="33">
        <f>IFERROR(IF(OR(ABS(Inputs!C136)&lt;0.5,C80*Inputs!C136&lt;0),"n/m",C80/Inputs!C136-1),"n/a")</f>
        <v>0.12754635598584074</v>
      </c>
      <c r="D81" s="33">
        <f>IFERROR(IF(OR(ABS(Inputs!D136)&lt;0.5,D80*Inputs!D136&lt;0),"n/m",D80/Inputs!D136-1),"n/a")</f>
        <v>0.13829763306067733</v>
      </c>
      <c r="E81" s="33">
        <f>IFERROR(IF(OR(ABS(Inputs!E136)&lt;0.5,E80*Inputs!E136&lt;0),"n/m",E80/Inputs!E136-1),"n/a")</f>
        <v>0.1583654027575545</v>
      </c>
      <c r="F81" s="33">
        <f>IFERROR(IF(OR(ABS(Inputs!F136)&lt;0.5,F80*Inputs!F136&lt;0),"n/m",F80/Inputs!F136-1),"n/a")</f>
        <v>-0.06823232901821574</v>
      </c>
      <c r="G81" s="33">
        <f>IFERROR(IF(OR(ABS(Inputs!G136)&lt;0.5,G80*Inputs!G136&lt;0),"n/m",G80/Inputs!G136-1),"n/a")</f>
        <v>0.0840092396910006</v>
      </c>
      <c r="H81" s="19">
        <f>IFERROR(IF(OR(ABS(C80)&lt;0.5,H80*C80&lt;0),"n/m",H80/C80-1),"n/a")</f>
        <v>0.40679140679140713</v>
      </c>
      <c r="I81" s="19">
        <f>IFERROR(IF(OR(ABS(D80)&lt;0.5,I80*D80&lt;0),"n/m",I80/D80-1),"n/a")</f>
        <v>0.12629672320105345</v>
      </c>
      <c r="J81" s="46">
        <f>IFERROR(IF(OR(ABS(E80)&lt;0.5,J80*E80&lt;0),"n/m",J80/E80-1),"n/a")</f>
        <v>0.06404351939271491</v>
      </c>
      <c r="K81" s="45"/>
    </row>
    <row r="82">
      <c r="B82" s="42" t="s">
        <v>118</v>
      </c>
      <c r="C82" s="4">
        <f>IFERROR(C80-Inputs!F136,"n/a")</f>
        <v>-16.915000000000134</v>
      </c>
      <c r="D82" s="20">
        <f>IFERROR(D80-C80,"n/a")</f>
        <v>15.050000000000182</v>
      </c>
      <c r="E82" s="20">
        <f>IFERROR(E80-D80,"n/a")</f>
        <v>21.73599999999982</v>
      </c>
      <c r="F82" s="20">
        <f>IFERROR(F80-E80,"n/a")</f>
        <v>-40.71700000000004</v>
      </c>
      <c r="G82" s="20" t="s">
        <v>34</v>
      </c>
      <c r="H82" s="20">
        <f>IFERROR(H80-F80,"n/a")</f>
        <v>121.33100000000013</v>
      </c>
      <c r="I82" s="20">
        <f>IFERROR(I80-H80,"n/a")</f>
        <v>-64</v>
      </c>
      <c r="J82" s="48">
        <f>IFERROR(J80-I80,"n/a")</f>
        <v>4.224864601117815</v>
      </c>
      <c r="K82" s="45"/>
    </row>
    <row r="83">
      <c r="B83" s="30" t="s">
        <v>304</v>
      </c>
      <c r="C83" s="19">
        <f>C80/C10</f>
        <v>0.38695352535309835</v>
      </c>
      <c r="D83" s="19">
        <f>D80/D10</f>
        <v>0.3929833734319168</v>
      </c>
      <c r="E83" s="19">
        <f>E80/E10</f>
        <v>0.4101025174370388</v>
      </c>
      <c r="F83" s="19">
        <f>F80/F10</f>
        <v>0.3460903458605663</v>
      </c>
      <c r="G83" s="19">
        <f>G80/G10</f>
        <v>0.3835765597827249</v>
      </c>
      <c r="H83" s="19">
        <f>H80/H10</f>
        <v>0.47719793135872124</v>
      </c>
      <c r="I83" s="19">
        <f>I80/I10</f>
        <v>0.3944636678200692</v>
      </c>
      <c r="J83" s="46">
        <f>J80/J10</f>
        <v>0.3901671055356684</v>
      </c>
      <c r="K83" s="45"/>
    </row>
    <row r="84">
      <c r="B84" s="49" t="s">
        <v>120</v>
      </c>
      <c r="C84" s="47">
        <f>IFERROR((C83-Inputs!C137)*10000,"n/a")</f>
        <v>105.31209498605809</v>
      </c>
      <c r="D84" s="47">
        <f>IFERROR((D83-Inputs!D137)*10000,"n/a")</f>
        <v>161.79394614233678</v>
      </c>
      <c r="E84" s="47">
        <f>IFERROR((E83-Inputs!E137)*10000,"n/a")</f>
        <v>224.9514616183018</v>
      </c>
      <c r="F84" s="47">
        <f>IFERROR((F83-Inputs!F137)*10000,"n/a")</f>
        <v>-648.1927325635095</v>
      </c>
      <c r="G84" s="47">
        <f>IFERROR((G83-Inputs!G137)*10000,"n/a")</f>
        <v>-47.56176005026924</v>
      </c>
      <c r="H84" s="62">
        <f>IFERROR((H83-C83)*10000,"n/a")</f>
        <v>902.4440600562289</v>
      </c>
      <c r="I84" s="62">
        <f>IFERROR((I83-D83)*10000,"n/a")</f>
        <v>14.802943881523923</v>
      </c>
      <c r="J84" s="64">
        <f>IFERROR((J83-E83)*10000,"n/a")</f>
        <v>-199.3541190137038</v>
      </c>
      <c r="K84" s="45"/>
    </row>
    <row r="85">
      <c r="B85" s="49" t="s">
        <v>121</v>
      </c>
      <c r="C85" s="47">
        <f>IFERROR((C83-Inputs!F137)*10000,"n/a")</f>
        <v>-239.56093763818907</v>
      </c>
      <c r="D85" s="62">
        <f>IFERROR((D83-C83)*10000,"n/a")</f>
        <v>60.29848078818456</v>
      </c>
      <c r="E85" s="62">
        <f>IFERROR((E83-D83)*10000,"n/a")</f>
        <v>171.1914400512199</v>
      </c>
      <c r="F85" s="62">
        <f>IFERROR((F83-E83)*10000,"n/a")</f>
        <v>-640.1217157647249</v>
      </c>
      <c r="G85" s="62" t="s">
        <v>34</v>
      </c>
      <c r="H85" s="62">
        <f>IFERROR((H83-F83)*10000,"n/a")</f>
        <v>1311.0758549815494</v>
      </c>
      <c r="I85" s="62">
        <f>IFERROR((I83-H83)*10000,"n/a")</f>
        <v>-827.3426353865204</v>
      </c>
      <c r="J85" s="64">
        <f>IFERROR((J83-I83)*10000,"n/a")</f>
        <v>-42.96562284400785</v>
      </c>
      <c r="K85" s="45"/>
    </row>
    <row r="86">
      <c r="B86" s="24" t="s">
        <v>305</v>
      </c>
      <c r="C86" s="10"/>
      <c r="D86" s="10"/>
      <c r="E86" s="10"/>
      <c r="F86" s="10"/>
      <c r="G86" s="10"/>
      <c r="H86" s="10"/>
      <c r="I86" s="10"/>
      <c r="J86" s="51"/>
      <c r="K86" s="45"/>
    </row>
    <row r="87">
      <c r="B87" s="2" t="s">
        <v>306</v>
      </c>
      <c r="C87" s="4">
        <f>'Share Count'!C10</f>
        <v>77.63</v>
      </c>
      <c r="D87" s="4">
        <f>'Share Count'!D10</f>
        <v>77.4</v>
      </c>
      <c r="E87" s="4">
        <f>'Share Count'!E10</f>
        <v>76.46</v>
      </c>
      <c r="F87" s="4">
        <f>'Share Count'!F10</f>
        <v>74.561</v>
      </c>
      <c r="G87" s="4">
        <f>'Share Count'!G10</f>
        <v>76.504</v>
      </c>
      <c r="H87" s="4">
        <f>'Share Count'!H10</f>
        <v>73.3</v>
      </c>
      <c r="I87" s="4">
        <f>'Share Count'!I10</f>
        <v>72.8</v>
      </c>
      <c r="J87" s="61">
        <f>'Share Count'!J10</f>
        <v>72.50376106194692</v>
      </c>
      <c r="K87" s="45" t="s">
        <v>307</v>
      </c>
    </row>
    <row r="88">
      <c r="B88" s="2" t="s">
        <v>103</v>
      </c>
      <c r="C88" s="4">
        <f>'Share Count'!C16</f>
        <v>77.807</v>
      </c>
      <c r="D88" s="4">
        <f>'Share Count'!D16</f>
        <v>77.496</v>
      </c>
      <c r="E88" s="4">
        <f>'Share Count'!E16</f>
        <v>76.579</v>
      </c>
      <c r="F88" s="4">
        <f>'Share Count'!F16</f>
        <v>74.697</v>
      </c>
      <c r="G88" s="4">
        <f>'Share Count'!G16</f>
        <v>76.636</v>
      </c>
      <c r="H88" s="4">
        <f>'Share Count'!H16</f>
        <v>73.4</v>
      </c>
      <c r="I88" s="4">
        <f>'Share Count'!I16</f>
        <v>72.9</v>
      </c>
      <c r="J88" s="61">
        <f>'Share Count'!J16</f>
        <v>72.62376106194692</v>
      </c>
      <c r="K88" s="45" t="s">
        <v>307</v>
      </c>
    </row>
    <row r="89">
      <c r="B89" s="49" t="s">
        <v>150</v>
      </c>
      <c r="C89" s="33">
        <f>IFERROR(IF(OR(ABS(Inputs!C138)&lt;0.5,C88*Inputs!C138&lt;0),"n/m",C88/Inputs!C138-1),"n/a")</f>
        <v>-0.021394073552346904</v>
      </c>
      <c r="D89" s="33">
        <f>IFERROR(IF(OR(ABS(Inputs!D138)&lt;0.5,D88*Inputs!D138&lt;0),"n/m",D88/Inputs!D138-1),"n/a")</f>
        <v>-0.022070793109975506</v>
      </c>
      <c r="E89" s="33">
        <f>IFERROR(IF(OR(ABS(Inputs!E138)&lt;0.5,E88*Inputs!E138&lt;0),"n/m",E88/Inputs!E138-1),"n/a")</f>
        <v>-0.02730886966683188</v>
      </c>
      <c r="F89" s="33">
        <f>IFERROR(IF(OR(ABS(Inputs!F138)&lt;0.5,F88*Inputs!F138&lt;0),"n/m",F88/Inputs!F138-1),"n/a")</f>
        <v>-0.04680661009379172</v>
      </c>
      <c r="G89" s="33">
        <f>IFERROR(IF(OR(ABS(Inputs!G138)&lt;0.5,G88*Inputs!G138&lt;0),"n/m",G88/Inputs!G138-1),"n/a")</f>
        <v>-0.029432624113475137</v>
      </c>
      <c r="H89" s="19">
        <f>IFERROR(IF(OR(ABS(C88)&lt;0.5,H88*C88&lt;0),"n/m",H88/C88-1),"n/a")</f>
        <v>-0.05664014805865791</v>
      </c>
      <c r="I89" s="19">
        <f>IFERROR(IF(OR(ABS(D88)&lt;0.5,I88*D88&lt;0),"n/m",I88/D88-1),"n/a")</f>
        <v>-0.05930628677609151</v>
      </c>
      <c r="J89" s="46">
        <f>IFERROR(IF(OR(ABS(E88)&lt;0.5,J88*E88&lt;0),"n/m",J88/E88-1),"n/a")</f>
        <v>-0.051649132765550276</v>
      </c>
      <c r="K89" s="45"/>
    </row>
    <row r="90">
      <c r="B90" s="42" t="s">
        <v>118</v>
      </c>
      <c r="C90" s="4">
        <f>IFERROR(C88-Inputs!F138,"n/a")</f>
        <v>-0.5579999999999927</v>
      </c>
      <c r="D90" s="20">
        <f>IFERROR(D88-C88,"n/a")</f>
        <v>-0.31100000000000705</v>
      </c>
      <c r="E90" s="20">
        <f>IFERROR(E88-D88,"n/a")</f>
        <v>-0.9170000000000016</v>
      </c>
      <c r="F90" s="20">
        <f>IFERROR(F88-E88,"n/a")</f>
        <v>-1.8819999999999908</v>
      </c>
      <c r="G90" s="20" t="s">
        <v>34</v>
      </c>
      <c r="H90" s="20">
        <f>IFERROR(H88-F88,"n/a")</f>
        <v>-1.296999999999997</v>
      </c>
      <c r="I90" s="20">
        <f>IFERROR(I88-H88,"n/a")</f>
        <v>-0.5</v>
      </c>
      <c r="J90" s="48">
        <f>IFERROR(J88-I88,"n/a")</f>
        <v>-0.2762389380530834</v>
      </c>
      <c r="K90" s="45"/>
    </row>
    <row r="91">
      <c r="B91" s="2" t="s">
        <v>308</v>
      </c>
      <c r="C91" s="97">
        <f>C80/C87</f>
        <v>3.7176349349478284</v>
      </c>
      <c r="D91" s="97">
        <f>D80/D87</f>
        <v>3.923126614987081</v>
      </c>
      <c r="E91" s="97">
        <f>E80/E87</f>
        <v>4.255636934344754</v>
      </c>
      <c r="F91" s="97">
        <f>F80/F87</f>
        <v>3.817934308820963</v>
      </c>
      <c r="G91" s="97">
        <f>G80/G87</f>
        <v>15.71558349890202</v>
      </c>
      <c r="H91" s="97">
        <f>H80/H87</f>
        <v>5.5388813096862215</v>
      </c>
      <c r="I91" s="97">
        <f>I80/I87</f>
        <v>4.697802197802198</v>
      </c>
      <c r="J91" s="108">
        <f>J80/J87</f>
        <v>4.775267648602459</v>
      </c>
      <c r="K91" s="45"/>
    </row>
    <row r="92">
      <c r="B92" s="24" t="s">
        <v>309</v>
      </c>
      <c r="C92" s="110">
        <f>C80/C88</f>
        <v>3.709177837469635</v>
      </c>
      <c r="D92" s="110">
        <f>D80/D88</f>
        <v>3.9182667492515755</v>
      </c>
      <c r="E92" s="110">
        <f>E80/E88</f>
        <v>4.249023883832382</v>
      </c>
      <c r="F92" s="110">
        <f>F80/F88</f>
        <v>3.8109830381407535</v>
      </c>
      <c r="G92" s="110">
        <f>G80/G88</f>
        <v>15.688514536249286</v>
      </c>
      <c r="H92" s="110">
        <f>H80/H88</f>
        <v>5.53133514986376</v>
      </c>
      <c r="I92" s="110">
        <f>I80/I88</f>
        <v>4.6913580246913575</v>
      </c>
      <c r="J92" s="113">
        <f>J80/J88</f>
        <v>4.767377226659929</v>
      </c>
      <c r="K92" s="45"/>
    </row>
    <row r="93">
      <c r="B93" s="49" t="s">
        <v>150</v>
      </c>
      <c r="C93" s="33">
        <f>IFERROR(IF(OR(ABS(Inputs!C139)&lt;0.5,C92*Inputs!C139&lt;0),"n/m",C92/Inputs!C139-1),"n/a")</f>
        <v>0.1521965333674633</v>
      </c>
      <c r="D93" s="33">
        <f>IFERROR(IF(OR(ABS(Inputs!D139)&lt;0.5,D92*Inputs!D139&lt;0),"n/m",D92/Inputs!D139-1),"n/a")</f>
        <v>0.16398776623172018</v>
      </c>
      <c r="E93" s="33">
        <f>IFERROR(IF(OR(ABS(Inputs!E139)&lt;0.5,E92*Inputs!E139&lt;0),"n/m",E92/Inputs!E139-1),"n/a")</f>
        <v>0.19088718569972873</v>
      </c>
      <c r="F93" s="33">
        <f>IFERROR(IF(OR(ABS(Inputs!F139)&lt;0.5,F92*Inputs!F139&lt;0),"n/m",F92/Inputs!F139-1),"n/a")</f>
        <v>-0.022477829946483507</v>
      </c>
      <c r="G93" s="33">
        <f>IFERROR(IF(OR(ABS(Inputs!G139)&lt;0.5,G92*Inputs!G139&lt;0),"n/m",G92/Inputs!G139-1),"n/a")</f>
        <v>0.11688200801191861</v>
      </c>
      <c r="H93" s="19">
        <f>IFERROR(IF(OR(ABS(C92)&lt;0.5,H92*C92&lt;0),"n/m",H92/C92-1),"n/a")</f>
        <v>0.49125638948527284</v>
      </c>
      <c r="I93" s="19">
        <f>IFERROR(IF(OR(ABS(D92)&lt;0.5,I92*D92&lt;0),"n/m",I92/D92-1),"n/a")</f>
        <v>0.19730440138804983</v>
      </c>
      <c r="J93" s="46">
        <f>IFERROR(IF(OR(ABS(E92)&lt;0.5,J92*E92&lt;0),"n/m",J92/E92-1),"n/a")</f>
        <v>0.12199351121557389</v>
      </c>
      <c r="K93" s="45"/>
    </row>
    <row r="94">
      <c r="B94" s="42" t="s">
        <v>310</v>
      </c>
      <c r="C94" s="90">
        <f>C92-Inputs!F139</f>
        <v>-0.1894376158577442</v>
      </c>
      <c r="D94" s="97">
        <f>D92-C92</f>
        <v>0.20908891178194056</v>
      </c>
      <c r="E94" s="97">
        <f>E92-D92</f>
        <v>0.33075713458080624</v>
      </c>
      <c r="F94" s="97">
        <f>F92-E92</f>
        <v>-0.43804084569162827</v>
      </c>
      <c r="G94" s="97" t="s">
        <v>34</v>
      </c>
      <c r="H94" s="97">
        <f>H92-F92</f>
        <v>1.7203521117230065</v>
      </c>
      <c r="I94" s="97">
        <f>I92-H92</f>
        <v>-0.8399771251724024</v>
      </c>
      <c r="J94" s="108">
        <f>J92-I92</f>
        <v>0.07601920196857126</v>
      </c>
      <c r="K94" s="45"/>
    </row>
    <row r="95">
      <c r="B95" s="2" t="s">
        <v>311</v>
      </c>
      <c r="C95" s="92">
        <v>3.71</v>
      </c>
      <c r="D95" s="92">
        <v>3.92</v>
      </c>
      <c r="E95" s="92">
        <v>4.25</v>
      </c>
      <c r="F95" s="92">
        <v>3.81</v>
      </c>
      <c r="G95" s="92">
        <v>15.69</v>
      </c>
      <c r="H95" s="92">
        <v>5.53</v>
      </c>
      <c r="I95" s="92">
        <v>4.69</v>
      </c>
      <c r="J95" s="108" t="s">
        <v>34</v>
      </c>
      <c r="K95" s="45" t="s">
        <v>312</v>
      </c>
    </row>
    <row r="96">
      <c r="B96" s="42" t="s">
        <v>136</v>
      </c>
      <c r="C96" s="97">
        <f>C92-C95</f>
        <v>-0.0008221625303650448</v>
      </c>
      <c r="D96" s="97">
        <f>D92-D95</f>
        <v>-0.001733250748424453</v>
      </c>
      <c r="E96" s="97">
        <f>E92-E95</f>
        <v>-0.0009761161676182795</v>
      </c>
      <c r="F96" s="97">
        <f>F92-F95</f>
        <v>0.0009830381407534006</v>
      </c>
      <c r="G96" s="97">
        <f>G92-G95</f>
        <v>-0.001485463750713123</v>
      </c>
      <c r="H96" s="97">
        <f>H92-H95</f>
        <v>0.0013351498637597103</v>
      </c>
      <c r="I96" s="97">
        <f>I92-I95</f>
        <v>0.0013580246913571514</v>
      </c>
      <c r="J96" s="108" t="s">
        <v>34</v>
      </c>
      <c r="K96" s="45"/>
    </row>
    <row r="97">
      <c r="B97" s="24" t="s">
        <v>313</v>
      </c>
      <c r="C97" s="10"/>
      <c r="D97" s="10"/>
      <c r="E97" s="10"/>
      <c r="F97" s="10"/>
      <c r="G97" s="10"/>
      <c r="H97" s="10"/>
      <c r="I97" s="10"/>
      <c r="J97" s="51"/>
      <c r="K97" s="45" t="s">
        <v>314</v>
      </c>
    </row>
    <row r="98">
      <c r="B98" s="2" t="s">
        <v>315</v>
      </c>
      <c r="C98" s="20">
        <f>C80</f>
        <v>288.5999999999999</v>
      </c>
      <c r="D98" s="20">
        <f>D80</f>
        <v>303.6500000000001</v>
      </c>
      <c r="E98" s="20">
        <f>E80</f>
        <v>325.3859999999999</v>
      </c>
      <c r="F98" s="20">
        <f>F80</f>
        <v>284.66899999999987</v>
      </c>
      <c r="G98" s="20">
        <f>G80</f>
        <v>1202.3050000000003</v>
      </c>
      <c r="H98" s="20">
        <f>H80</f>
        <v>406</v>
      </c>
      <c r="I98" s="20">
        <f>I80</f>
        <v>342</v>
      </c>
      <c r="J98" s="48">
        <f>J80</f>
        <v>346.2248646011178</v>
      </c>
      <c r="K98" s="45"/>
    </row>
    <row r="99">
      <c r="B99" s="42" t="s">
        <v>316</v>
      </c>
      <c r="C99" s="12">
        <v>25.817</v>
      </c>
      <c r="D99" s="12">
        <v>24.2</v>
      </c>
      <c r="E99" s="12">
        <v>20.781</v>
      </c>
      <c r="F99" s="12">
        <v>19.808</v>
      </c>
      <c r="G99" s="20">
        <f>SUM(C99:F99)</f>
        <v>90.606</v>
      </c>
      <c r="H99" s="12">
        <v>19.6</v>
      </c>
      <c r="I99" s="12">
        <v>20.9</v>
      </c>
      <c r="J99" s="53">
        <v>22</v>
      </c>
      <c r="K99" s="45" t="s">
        <v>317</v>
      </c>
    </row>
    <row r="100">
      <c r="B100" s="42" t="s">
        <v>318</v>
      </c>
      <c r="C100" s="12">
        <v>0</v>
      </c>
      <c r="D100" s="12">
        <v>0</v>
      </c>
      <c r="E100" s="12">
        <v>0</v>
      </c>
      <c r="F100" s="12">
        <v>0</v>
      </c>
      <c r="G100" s="20">
        <f>SUM(C100:F100)</f>
        <v>0</v>
      </c>
      <c r="H100" s="12">
        <v>0</v>
      </c>
      <c r="I100" s="12">
        <v>1</v>
      </c>
      <c r="J100" s="53">
        <v>3</v>
      </c>
      <c r="K100" s="45" t="s">
        <v>319</v>
      </c>
    </row>
    <row r="101">
      <c r="B101" s="42" t="s">
        <v>320</v>
      </c>
      <c r="C101" s="12">
        <v>0</v>
      </c>
      <c r="D101" s="12">
        <v>0</v>
      </c>
      <c r="E101" s="12">
        <v>0</v>
      </c>
      <c r="F101" s="12">
        <v>38.124</v>
      </c>
      <c r="G101" s="20">
        <f>SUM(C101:F101)</f>
        <v>38.124</v>
      </c>
      <c r="H101" s="12">
        <v>-88</v>
      </c>
      <c r="I101" s="12">
        <v>0</v>
      </c>
      <c r="J101" s="53">
        <v>0</v>
      </c>
      <c r="K101" s="45" t="s">
        <v>321</v>
      </c>
    </row>
    <row r="102">
      <c r="B102" s="42" t="s">
        <v>322</v>
      </c>
      <c r="C102" s="12">
        <v>0</v>
      </c>
      <c r="D102" s="12">
        <v>0</v>
      </c>
      <c r="E102" s="12">
        <v>0</v>
      </c>
      <c r="F102" s="12">
        <v>11.768</v>
      </c>
      <c r="G102" s="20">
        <f>SUM(C102:F102)</f>
        <v>11.768</v>
      </c>
      <c r="H102" s="12">
        <v>0</v>
      </c>
      <c r="I102" s="12">
        <v>0</v>
      </c>
      <c r="J102" s="53">
        <v>0</v>
      </c>
      <c r="K102" s="45" t="s">
        <v>323</v>
      </c>
    </row>
    <row r="103">
      <c r="B103" s="42" t="s">
        <v>324</v>
      </c>
      <c r="C103" s="12">
        <v>-3.312</v>
      </c>
      <c r="D103" s="12">
        <v>-4.919</v>
      </c>
      <c r="E103" s="12">
        <v>-3.796</v>
      </c>
      <c r="F103" s="12">
        <v>-6.2</v>
      </c>
      <c r="G103" s="20">
        <f>SUM(C103:F103)</f>
        <v>-18.226999999999997</v>
      </c>
      <c r="H103" s="12">
        <v>-3.6</v>
      </c>
      <c r="I103" s="12">
        <v>-3.9</v>
      </c>
      <c r="J103" s="48">
        <f>-(J99+J100+J102)*J104</f>
        <v>-4.5</v>
      </c>
      <c r="K103" s="45"/>
    </row>
    <row r="104">
      <c r="B104" s="65" t="s">
        <v>325</v>
      </c>
      <c r="C104" s="19">
        <f>IFERROR(-C103/(C99+C100+C102),"n/a")</f>
        <v>0.12828756245884493</v>
      </c>
      <c r="D104" s="19">
        <f>IFERROR(-D103/(D99+D100+D102),"n/a")</f>
        <v>0.20326446280991733</v>
      </c>
      <c r="E104" s="19">
        <f>IFERROR(-E103/(E99+E100+E102),"n/a")</f>
        <v>0.18266685915018527</v>
      </c>
      <c r="F104" s="19">
        <f>IFERROR(-F103/(F99+F100+F102),"n/a")</f>
        <v>0.1963516594882189</v>
      </c>
      <c r="G104" s="19">
        <f>IFERROR(-G103/(G99+G100+G102),"n/a")</f>
        <v>0.17804325316975012</v>
      </c>
      <c r="H104" s="19">
        <f>IFERROR(-H103/(H99+H100+H102),"n/a")</f>
        <v>0.18367346938775508</v>
      </c>
      <c r="I104" s="19">
        <f>IFERROR(-I103/(I99+I100+I102),"n/a")</f>
        <v>0.17808219178082194</v>
      </c>
      <c r="J104" s="58">
        <v>0.18</v>
      </c>
      <c r="K104" s="45" t="s">
        <v>326</v>
      </c>
    </row>
    <row r="105">
      <c r="B105" s="24" t="s">
        <v>327</v>
      </c>
      <c r="C105" s="60">
        <f>C98+C99+C100+C101+C102+C103</f>
        <v>311.1049999999999</v>
      </c>
      <c r="D105" s="60">
        <f>D98+D99+D100+D101+D102+D103</f>
        <v>322.9310000000001</v>
      </c>
      <c r="E105" s="60">
        <f>E98+E99+E100+E101+E102+E103</f>
        <v>342.3709999999999</v>
      </c>
      <c r="F105" s="60">
        <f>F98+F99+F100+F101+F102+F103</f>
        <v>348.1689999999999</v>
      </c>
      <c r="G105" s="60">
        <f>G98+G99+G100+G101+G102+G103</f>
        <v>1324.5760000000002</v>
      </c>
      <c r="H105" s="60">
        <f>H98+H99+H100+H101+H102+H103</f>
        <v>334</v>
      </c>
      <c r="I105" s="60">
        <f>I98+I99+I100+I101+I102+I103</f>
        <v>360</v>
      </c>
      <c r="J105" s="50">
        <f>J98+J99+J100+J101+J102+J103</f>
        <v>366.7248646011178</v>
      </c>
      <c r="K105" s="45"/>
    </row>
    <row r="106">
      <c r="B106" s="49" t="s">
        <v>150</v>
      </c>
      <c r="C106" s="33">
        <f>IFERROR(IF(OR(ABS(Inputs!C140)&lt;0.5,C105*Inputs!C140&lt;0),"n/m",C105/Inputs!C140-1),"n/a")</f>
        <v>0.11018131599513237</v>
      </c>
      <c r="D106" s="33">
        <f>IFERROR(IF(OR(ABS(Inputs!D140)&lt;0.5,D105*Inputs!D140&lt;0),"n/m",D105/Inputs!D140-1),"n/a")</f>
        <v>0.11804663562241458</v>
      </c>
      <c r="E106" s="33">
        <f>IFERROR(IF(OR(ABS(Inputs!E140)&lt;0.5,E105*Inputs!E140&lt;0),"n/m",E105/Inputs!E140-1),"n/a")</f>
        <v>0.12678749502216569</v>
      </c>
      <c r="F106" s="33">
        <f>IFERROR(IF(OR(ABS(Inputs!F140)&lt;0.5,F105*Inputs!F140&lt;0),"n/m",F105/Inputs!F140-1),"n/a")</f>
        <v>0.06360834221789102</v>
      </c>
      <c r="G106" s="33">
        <f>IFERROR(IF(OR(ABS(Inputs!G140)&lt;0.5,G105*Inputs!G140&lt;0),"n/m",G105/Inputs!G140-1),"n/a")</f>
        <v>0.10357606447947054</v>
      </c>
      <c r="H106" s="19">
        <f>IFERROR(IF(OR(ABS(C105)&lt;0.5,H105*C105&lt;0),"n/m",H105/C105-1),"n/a")</f>
        <v>0.07359251699587</v>
      </c>
      <c r="I106" s="19">
        <f>IFERROR(IF(OR(ABS(D105)&lt;0.5,I105*D105&lt;0),"n/m",I105/D105-1),"n/a")</f>
        <v>0.11478922742009878</v>
      </c>
      <c r="J106" s="46">
        <f>IFERROR(IF(OR(ABS(E105)&lt;0.5,J105*E105&lt;0),"n/m",J105/E105-1),"n/a")</f>
        <v>0.07113296570421523</v>
      </c>
      <c r="K106" s="45"/>
    </row>
    <row r="107">
      <c r="B107" s="42" t="s">
        <v>118</v>
      </c>
      <c r="C107" s="4">
        <f>IFERROR(C105-Inputs!F140,"n/a")</f>
        <v>-16.242000000000075</v>
      </c>
      <c r="D107" s="20">
        <f>IFERROR(D105-C105,"n/a")</f>
        <v>11.826000000000192</v>
      </c>
      <c r="E107" s="20">
        <f>IFERROR(E105-D105,"n/a")</f>
        <v>19.439999999999827</v>
      </c>
      <c r="F107" s="20">
        <f>IFERROR(F105-E105,"n/a")</f>
        <v>5.798000000000002</v>
      </c>
      <c r="G107" s="20" t="s">
        <v>34</v>
      </c>
      <c r="H107" s="20">
        <f>IFERROR(H105-F105,"n/a")</f>
        <v>-14.168999999999926</v>
      </c>
      <c r="I107" s="20">
        <f>IFERROR(I105-H105,"n/a")</f>
        <v>26</v>
      </c>
      <c r="J107" s="48">
        <f>IFERROR(J105-I105,"n/a")</f>
        <v>6.724864601117815</v>
      </c>
      <c r="K107" s="45"/>
    </row>
    <row r="108">
      <c r="B108" s="24" t="s">
        <v>328</v>
      </c>
      <c r="C108" s="110">
        <f>C105/C88</f>
        <v>3.9984191653707235</v>
      </c>
      <c r="D108" s="110">
        <f>D105/D88</f>
        <v>4.167066687312895</v>
      </c>
      <c r="E108" s="110">
        <f>E105/E88</f>
        <v>4.47082098225362</v>
      </c>
      <c r="F108" s="110">
        <f>F105/F88</f>
        <v>4.66108411315046</v>
      </c>
      <c r="G108" s="110">
        <f>G105/G88</f>
        <v>17.283991857612616</v>
      </c>
      <c r="H108" s="110">
        <f>H105/H88</f>
        <v>4.5504087193460485</v>
      </c>
      <c r="I108" s="110">
        <f>I105/I88</f>
        <v>4.938271604938271</v>
      </c>
      <c r="J108" s="113">
        <f>J105/J88</f>
        <v>5.049653987051253</v>
      </c>
      <c r="K108" s="45" t="s">
        <v>329</v>
      </c>
    </row>
    <row r="109">
      <c r="B109" s="49" t="s">
        <v>150</v>
      </c>
      <c r="C109" s="33">
        <f>IFERROR(IF(OR(ABS(Inputs!C141)&lt;0.5,C108*Inputs!C141&lt;0),"n/m",C108/Inputs!C141-1),"n/a")</f>
        <v>0.13591453561668287</v>
      </c>
      <c r="D109" s="33">
        <f>IFERROR(IF(OR(ABS(Inputs!D141)&lt;0.5,D108*Inputs!D141&lt;0),"n/m",D108/Inputs!D141-1),"n/a")</f>
        <v>0.1447985404705754</v>
      </c>
      <c r="E109" s="33">
        <f>IFERROR(IF(OR(ABS(Inputs!E141)&lt;0.5,E108*Inputs!E141&lt;0),"n/m",E108/Inputs!E141-1),"n/a")</f>
        <v>0.1582437777859118</v>
      </c>
      <c r="F109" s="33">
        <f>IFERROR(IF(OR(ABS(Inputs!F141)&lt;0.5,F108*Inputs!F141&lt;0),"n/m",F108/Inputs!F141-1),"n/a")</f>
        <v>0.11509189309819634</v>
      </c>
      <c r="G109" s="33">
        <f>IFERROR(IF(OR(ABS(Inputs!G141)&lt;0.5,G108*Inputs!G141&lt;0),"n/m",G108/Inputs!G141-1),"n/a")</f>
        <v>0.1371047274745143</v>
      </c>
      <c r="H109" s="19">
        <f>IFERROR(IF(OR(ABS(C108)&lt;0.5,H108*C108&lt;0),"n/m",H108/C108-1),"n/a")</f>
        <v>0.13805194781876895</v>
      </c>
      <c r="I109" s="19">
        <f>IFERROR(IF(OR(ABS(D108)&lt;0.5,I108*D108&lt;0),"n/m",I108/D108-1),"n/a")</f>
        <v>0.18507141245744818</v>
      </c>
      <c r="J109" s="46">
        <f>IFERROR(IF(OR(ABS(E108)&lt;0.5,J108*E108&lt;0),"n/m",J108/E108-1),"n/a")</f>
        <v>0.12946906330967867</v>
      </c>
      <c r="K109" s="45"/>
    </row>
    <row r="110">
      <c r="B110" s="42" t="s">
        <v>310</v>
      </c>
      <c r="C110" s="90">
        <f>C108-Inputs!F141</f>
        <v>-0.1815808346292762</v>
      </c>
      <c r="D110" s="97">
        <f>D108-C108</f>
        <v>0.16864752194217125</v>
      </c>
      <c r="E110" s="97">
        <f>E108-D108</f>
        <v>0.3037542949407248</v>
      </c>
      <c r="F110" s="97">
        <f>F108-E108</f>
        <v>0.19026313089684077</v>
      </c>
      <c r="G110" s="97" t="s">
        <v>34</v>
      </c>
      <c r="H110" s="97">
        <f>H108-F108</f>
        <v>-0.11067539380441183</v>
      </c>
      <c r="I110" s="97">
        <f>I108-H108</f>
        <v>0.3878628855922228</v>
      </c>
      <c r="J110" s="108">
        <f>J108-I108</f>
        <v>0.11138238211298201</v>
      </c>
      <c r="K110" s="45"/>
    </row>
    <row r="111">
      <c r="B111" s="42" t="s">
        <v>330</v>
      </c>
      <c r="C111" s="97">
        <f>C92</f>
        <v>3.709177837469635</v>
      </c>
      <c r="D111" s="97">
        <f>D92</f>
        <v>3.9182667492515755</v>
      </c>
      <c r="E111" s="97">
        <f>E92</f>
        <v>4.249023883832382</v>
      </c>
      <c r="F111" s="97">
        <f>F92</f>
        <v>3.8109830381407535</v>
      </c>
      <c r="G111" s="97">
        <f>G92</f>
        <v>15.688514536249286</v>
      </c>
      <c r="H111" s="97">
        <f>H92</f>
        <v>5.53133514986376</v>
      </c>
      <c r="I111" s="97">
        <f>I92</f>
        <v>4.6913580246913575</v>
      </c>
      <c r="J111" s="108">
        <f>J92</f>
        <v>4.767377226659929</v>
      </c>
      <c r="K111" s="45"/>
    </row>
    <row r="112">
      <c r="B112" s="42" t="s">
        <v>331</v>
      </c>
      <c r="C112" s="97">
        <f>C99/C88</f>
        <v>0.3318081920649813</v>
      </c>
      <c r="D112" s="97">
        <f>D99/D88</f>
        <v>0.312274181893259</v>
      </c>
      <c r="E112" s="97">
        <f>E99/E88</f>
        <v>0.27136682380287025</v>
      </c>
      <c r="F112" s="97">
        <f>F99/F88</f>
        <v>0.26517798572901186</v>
      </c>
      <c r="G112" s="97">
        <f>G99/G88</f>
        <v>1.1822903074273188</v>
      </c>
      <c r="H112" s="97">
        <f>H99/H88</f>
        <v>0.2670299727520436</v>
      </c>
      <c r="I112" s="97">
        <f>I99/I88</f>
        <v>0.2866941015089163</v>
      </c>
      <c r="J112" s="108">
        <f>J99/J88</f>
        <v>0.3029311574931288</v>
      </c>
      <c r="K112" s="45"/>
    </row>
    <row r="113">
      <c r="B113" s="42" t="s">
        <v>332</v>
      </c>
      <c r="C113" s="97">
        <f>C100/C88</f>
        <v>0</v>
      </c>
      <c r="D113" s="97">
        <f>D100/D88</f>
        <v>0</v>
      </c>
      <c r="E113" s="97">
        <f>E100/E88</f>
        <v>0</v>
      </c>
      <c r="F113" s="97">
        <f>F100/F88</f>
        <v>0</v>
      </c>
      <c r="G113" s="97">
        <f>G100/G88</f>
        <v>0</v>
      </c>
      <c r="H113" s="97">
        <f>H100/H88</f>
        <v>0</v>
      </c>
      <c r="I113" s="97">
        <f>I100/I88</f>
        <v>0.013717421124828532</v>
      </c>
      <c r="J113" s="108">
        <f>J100/J88</f>
        <v>0.04130879420360847</v>
      </c>
      <c r="K113" s="45"/>
    </row>
    <row r="114">
      <c r="B114" s="42" t="s">
        <v>333</v>
      </c>
      <c r="C114" s="97">
        <f>C101/C88</f>
        <v>0</v>
      </c>
      <c r="D114" s="97">
        <f>D101/D88</f>
        <v>0</v>
      </c>
      <c r="E114" s="97">
        <f>E101/E88</f>
        <v>0</v>
      </c>
      <c r="F114" s="97">
        <f>F101/F88</f>
        <v>0.5103819430499217</v>
      </c>
      <c r="G114" s="97">
        <f>G101/G88</f>
        <v>0.49746855263844675</v>
      </c>
      <c r="H114" s="97">
        <f>H101/H88</f>
        <v>-1.1989100817438691</v>
      </c>
      <c r="I114" s="97">
        <f>I101/I88</f>
        <v>0</v>
      </c>
      <c r="J114" s="108">
        <f>J101/J88</f>
        <v>0</v>
      </c>
      <c r="K114" s="45"/>
    </row>
    <row r="115">
      <c r="B115" s="42" t="s">
        <v>334</v>
      </c>
      <c r="C115" s="97">
        <f>C102/C88</f>
        <v>0</v>
      </c>
      <c r="D115" s="97">
        <f>D102/D88</f>
        <v>0</v>
      </c>
      <c r="E115" s="97">
        <f>E102/E88</f>
        <v>0</v>
      </c>
      <c r="F115" s="97">
        <f>F102/F88</f>
        <v>0.15754314095612942</v>
      </c>
      <c r="G115" s="97">
        <f>G102/G88</f>
        <v>0.15355707500391463</v>
      </c>
      <c r="H115" s="97">
        <f>H102/H88</f>
        <v>0</v>
      </c>
      <c r="I115" s="97">
        <f>I102/I88</f>
        <v>0</v>
      </c>
      <c r="J115" s="108">
        <f>J102/J88</f>
        <v>0</v>
      </c>
      <c r="K115" s="45"/>
    </row>
    <row r="116">
      <c r="B116" s="42" t="s">
        <v>335</v>
      </c>
      <c r="C116" s="97">
        <f>C103/C88</f>
        <v>-0.04256686416389271</v>
      </c>
      <c r="D116" s="97">
        <f>D103/D88</f>
        <v>-0.06347424383193971</v>
      </c>
      <c r="E116" s="97">
        <f>E103/E88</f>
        <v>-0.04956972538163204</v>
      </c>
      <c r="F116" s="97">
        <f>F103/F88</f>
        <v>-0.0830019947253571</v>
      </c>
      <c r="G116" s="97">
        <f>G103/G88</f>
        <v>-0.23783861370635206</v>
      </c>
      <c r="H116" s="97">
        <f>H103/H88</f>
        <v>-0.049046321525885554</v>
      </c>
      <c r="I116" s="97">
        <f>I103/I88</f>
        <v>-0.05349794238683127</v>
      </c>
      <c r="J116" s="108">
        <f>J103/J88</f>
        <v>-0.06196319130541272</v>
      </c>
      <c r="K116" s="45"/>
    </row>
    <row r="117">
      <c r="B117" s="77" t="s">
        <v>336</v>
      </c>
      <c r="C117" s="110">
        <f>C111+C112+C113+C114+C115+C116</f>
        <v>3.998419165370723</v>
      </c>
      <c r="D117" s="110">
        <f>D111+D112+D113+D114+D115+D116</f>
        <v>4.167066687312895</v>
      </c>
      <c r="E117" s="110">
        <f>E111+E112+E113+E114+E115+E116</f>
        <v>4.47082098225362</v>
      </c>
      <c r="F117" s="110">
        <f>F111+F112+F113+F114+F115+F116</f>
        <v>4.661084113150459</v>
      </c>
      <c r="G117" s="110">
        <f>G111+G112+G113+G114+G115+G116</f>
        <v>17.283991857612616</v>
      </c>
      <c r="H117" s="110">
        <f>H111+H112+H113+H114+H115+H116</f>
        <v>4.5504087193460485</v>
      </c>
      <c r="I117" s="110">
        <f>I111+I112+I113+I114+I115+I116</f>
        <v>4.938271604938271</v>
      </c>
      <c r="J117" s="113">
        <f>J111+J112+J113+J114+J115+J116</f>
        <v>5.049653987051253</v>
      </c>
      <c r="K117" s="45"/>
    </row>
    <row r="118">
      <c r="B118" s="2" t="s">
        <v>337</v>
      </c>
      <c r="C118" s="92">
        <v>4</v>
      </c>
      <c r="D118" s="92">
        <v>4.17</v>
      </c>
      <c r="E118" s="92">
        <v>4.47</v>
      </c>
      <c r="F118" s="92">
        <v>4.66</v>
      </c>
      <c r="G118" s="92">
        <v>17.28</v>
      </c>
      <c r="H118" s="92">
        <v>4.55</v>
      </c>
      <c r="I118" s="92">
        <v>4.94</v>
      </c>
      <c r="J118" s="108" t="s">
        <v>34</v>
      </c>
      <c r="K118" s="45" t="s">
        <v>314</v>
      </c>
    </row>
    <row r="119">
      <c r="B119" s="42" t="s">
        <v>136</v>
      </c>
      <c r="C119" s="97">
        <f>C108-C118</f>
        <v>-0.0015808346292764952</v>
      </c>
      <c r="D119" s="97">
        <f>D108-D118</f>
        <v>-0.002933312687105172</v>
      </c>
      <c r="E119" s="97">
        <f>E108-E118</f>
        <v>0.0008209822536198175</v>
      </c>
      <c r="F119" s="97">
        <f>F108-F118</f>
        <v>0.0010841131504601975</v>
      </c>
      <c r="G119" s="97">
        <f>G108-G118</f>
        <v>0.00399185761261478</v>
      </c>
      <c r="H119" s="97">
        <f>H108-H118</f>
        <v>0.00040871934604869153</v>
      </c>
      <c r="I119" s="97">
        <f>I108-I118</f>
        <v>-0.00172839506172906</v>
      </c>
      <c r="J119" s="108" t="s">
        <v>34</v>
      </c>
      <c r="K119" s="45"/>
    </row>
    <row r="120">
      <c r="B120" s="2" t="s">
        <v>338</v>
      </c>
      <c r="C120" s="90">
        <f>Inputs!E22</f>
        <v>4</v>
      </c>
      <c r="D120" s="90">
        <f>Inputs!E23</f>
        <v>4.17</v>
      </c>
      <c r="E120" s="90">
        <f>Inputs!E24</f>
        <v>4.47</v>
      </c>
      <c r="F120" s="90">
        <f>Inputs!E25</f>
        <v>4.66</v>
      </c>
      <c r="G120" s="97" t="s">
        <v>34</v>
      </c>
      <c r="H120" s="90">
        <f>Inputs!E26</f>
        <v>4.55</v>
      </c>
      <c r="I120" s="90">
        <f>Inputs!E27</f>
        <v>4.94</v>
      </c>
      <c r="J120" s="108" t="s">
        <v>34</v>
      </c>
      <c r="K120" s="45" t="s">
        <v>339</v>
      </c>
    </row>
    <row r="121">
      <c r="B121" s="2" t="s">
        <v>340</v>
      </c>
      <c r="C121" s="90">
        <f>Inputs!D22</f>
        <v>3.9</v>
      </c>
      <c r="D121" s="90">
        <f>Inputs!D23</f>
        <v>4.15</v>
      </c>
      <c r="E121" s="90">
        <f>Inputs!D24</f>
        <v>4.37</v>
      </c>
      <c r="F121" s="90">
        <f>Inputs!D25</f>
        <v>4.59</v>
      </c>
      <c r="G121" s="97" t="s">
        <v>34</v>
      </c>
      <c r="H121" s="90">
        <f>Inputs!D26</f>
        <v>4.46</v>
      </c>
      <c r="I121" s="90">
        <f>Inputs!D27</f>
        <v>4.98</v>
      </c>
      <c r="J121" s="112">
        <f>Inputs!C43</f>
        <v>5.02</v>
      </c>
      <c r="K121" s="45" t="s">
        <v>341</v>
      </c>
    </row>
    <row r="122">
      <c r="B122" s="42" t="s">
        <v>342</v>
      </c>
      <c r="C122" s="97">
        <f>IFERROR(C120-C121,"n/a")</f>
        <v>0.10000000000000009</v>
      </c>
      <c r="D122" s="97">
        <f>IFERROR(D120-D121,"n/a")</f>
        <v>0.019999999999999574</v>
      </c>
      <c r="E122" s="97">
        <f>IFERROR(E120-E121,"n/a")</f>
        <v>0.09999999999999964</v>
      </c>
      <c r="F122" s="97">
        <f>IFERROR(F120-F121,"n/a")</f>
        <v>0.07000000000000028</v>
      </c>
      <c r="G122" s="97" t="s">
        <v>34</v>
      </c>
      <c r="H122" s="97">
        <f>IFERROR(H120-H121,"n/a")</f>
        <v>0.08999999999999986</v>
      </c>
      <c r="I122" s="97">
        <f>IFERROR(I120-I121,"n/a")</f>
        <v>-0.040000000000000036</v>
      </c>
      <c r="J122" s="108">
        <f>J108-J121</f>
        <v>0.029653987051253772</v>
      </c>
      <c r="K122" s="45"/>
    </row>
    <row r="123">
      <c r="B123" s="42" t="s">
        <v>343</v>
      </c>
      <c r="C123" s="97">
        <f>IFERROR(C108-C120,"n/a")</f>
        <v>-0.0015808346292764952</v>
      </c>
      <c r="D123" s="97">
        <f>IFERROR(D108-D120,"n/a")</f>
        <v>-0.002933312687105172</v>
      </c>
      <c r="E123" s="97">
        <f>IFERROR(E108-E120,"n/a")</f>
        <v>0.0008209822536198175</v>
      </c>
      <c r="F123" s="97">
        <f>IFERROR(F108-F120,"n/a")</f>
        <v>0.0010841131504601975</v>
      </c>
      <c r="G123" s="97" t="s">
        <v>34</v>
      </c>
      <c r="H123" s="97">
        <f>IFERROR(H108-H120,"n/a")</f>
        <v>0.00040871934604869153</v>
      </c>
      <c r="I123" s="97">
        <f>IFERROR(I108-I120,"n/a")</f>
        <v>-0.00172839506172906</v>
      </c>
      <c r="J123" s="108" t="s">
        <v>34</v>
      </c>
      <c r="K123" s="45"/>
    </row>
    <row r="124">
      <c r="B124" s="2" t="s">
        <v>344</v>
      </c>
      <c r="C124" s="4">
        <f>Inputs!I22</f>
        <v>745.83</v>
      </c>
      <c r="D124" s="4">
        <f>Inputs!I23</f>
        <v>772.68</v>
      </c>
      <c r="E124" s="4">
        <f>Inputs!I24</f>
        <v>793.43</v>
      </c>
      <c r="F124" s="4">
        <f>Inputs!I25</f>
        <v>822.53</v>
      </c>
      <c r="G124" s="20" t="s">
        <v>34</v>
      </c>
      <c r="H124" s="4">
        <f>Inputs!I26</f>
        <v>850.8</v>
      </c>
      <c r="I124" s="4">
        <f>Inputs!I27</f>
        <v>867</v>
      </c>
      <c r="J124" s="61">
        <f>Inputs!C61</f>
        <v>888.24</v>
      </c>
      <c r="K124" s="45" t="s">
        <v>345</v>
      </c>
    </row>
    <row r="125">
      <c r="B125" s="24" t="s">
        <v>346</v>
      </c>
      <c r="C125" s="10"/>
      <c r="D125" s="10"/>
      <c r="E125" s="10"/>
      <c r="F125" s="10"/>
      <c r="G125" s="10"/>
      <c r="H125" s="10"/>
      <c r="I125" s="10"/>
      <c r="J125" s="51"/>
      <c r="K125" s="45" t="s">
        <v>347</v>
      </c>
    </row>
    <row r="126">
      <c r="B126" s="2" t="s">
        <v>348</v>
      </c>
      <c r="C126" s="20">
        <f>C53</f>
        <v>377.02299999999997</v>
      </c>
      <c r="D126" s="20">
        <f>D53</f>
        <v>425.2340000000001</v>
      </c>
      <c r="E126" s="20">
        <f>E53</f>
        <v>447.68999999999994</v>
      </c>
      <c r="F126" s="20">
        <f>F53</f>
        <v>463.61999999999983</v>
      </c>
      <c r="G126" s="20">
        <f>G53</f>
        <v>1713.5670000000002</v>
      </c>
      <c r="H126" s="20">
        <f>H53</f>
        <v>456.9</v>
      </c>
      <c r="I126" s="20">
        <f>I53</f>
        <v>487.5</v>
      </c>
      <c r="J126" s="48">
        <f>J53</f>
        <v>495.2758440650157</v>
      </c>
      <c r="K126" s="45"/>
    </row>
    <row r="127">
      <c r="B127" s="42" t="s">
        <v>349</v>
      </c>
      <c r="C127" s="20">
        <f>C38</f>
        <v>43.872</v>
      </c>
      <c r="D127" s="20">
        <f>D38</f>
        <v>43.76</v>
      </c>
      <c r="E127" s="20">
        <f>E38</f>
        <v>40.937</v>
      </c>
      <c r="F127" s="20">
        <f>F38</f>
        <v>40.911</v>
      </c>
      <c r="G127" s="20">
        <f>G38</f>
        <v>169.48</v>
      </c>
      <c r="H127" s="20">
        <f>H38</f>
        <v>41.9</v>
      </c>
      <c r="I127" s="20">
        <f>I38</f>
        <v>43.8</v>
      </c>
      <c r="J127" s="48">
        <f>J38</f>
        <v>44.5</v>
      </c>
      <c r="K127" s="45"/>
    </row>
    <row r="128">
      <c r="B128" s="42" t="s">
        <v>350</v>
      </c>
      <c r="C128" s="20">
        <f>C44</f>
        <v>4.746</v>
      </c>
      <c r="D128" s="20">
        <f>D44</f>
        <v>5.385</v>
      </c>
      <c r="E128" s="20">
        <f>E44</f>
        <v>5.803</v>
      </c>
      <c r="F128" s="20">
        <f>F44</f>
        <v>7.471</v>
      </c>
      <c r="G128" s="20">
        <f>G44</f>
        <v>23.405</v>
      </c>
      <c r="H128" s="20">
        <f>H44</f>
        <v>5.9</v>
      </c>
      <c r="I128" s="20">
        <f>I44</f>
        <v>6.2</v>
      </c>
      <c r="J128" s="48">
        <f>J44</f>
        <v>6.6</v>
      </c>
      <c r="K128" s="45"/>
    </row>
    <row r="129">
      <c r="B129" s="42" t="s">
        <v>318</v>
      </c>
      <c r="C129" s="20">
        <f>C100</f>
        <v>0</v>
      </c>
      <c r="D129" s="20">
        <f>D100</f>
        <v>0</v>
      </c>
      <c r="E129" s="20">
        <f>E100</f>
        <v>0</v>
      </c>
      <c r="F129" s="20">
        <f>F100</f>
        <v>0</v>
      </c>
      <c r="G129" s="20">
        <f>G100</f>
        <v>0</v>
      </c>
      <c r="H129" s="20">
        <f>H100</f>
        <v>0</v>
      </c>
      <c r="I129" s="20">
        <f>I100</f>
        <v>1</v>
      </c>
      <c r="J129" s="48">
        <f>J100</f>
        <v>3</v>
      </c>
      <c r="K129" s="45"/>
    </row>
    <row r="130">
      <c r="B130" s="24" t="s">
        <v>351</v>
      </c>
      <c r="C130" s="60">
        <f>C126+C127+C128+C129</f>
        <v>425.64099999999996</v>
      </c>
      <c r="D130" s="60">
        <f>D126+D127+D128+D129</f>
        <v>474.3790000000001</v>
      </c>
      <c r="E130" s="60">
        <f>E126+E127+E128+E129</f>
        <v>494.42999999999995</v>
      </c>
      <c r="F130" s="60">
        <f>F126+F127+F128+F129</f>
        <v>512.0019999999998</v>
      </c>
      <c r="G130" s="60">
        <f>G126+G127+G128+G129</f>
        <v>1906.4520000000002</v>
      </c>
      <c r="H130" s="60">
        <f>H126+H127+H128+H129</f>
        <v>504.69999999999993</v>
      </c>
      <c r="I130" s="60">
        <f>I126+I127+I128+I129</f>
        <v>538.5</v>
      </c>
      <c r="J130" s="50">
        <f>J126+J127+J128+J129</f>
        <v>549.3758440650157</v>
      </c>
      <c r="K130" s="45"/>
    </row>
    <row r="131">
      <c r="B131" s="49" t="s">
        <v>150</v>
      </c>
      <c r="C131" s="33">
        <f>IFERROR(IF(OR(ABS(Inputs!C143)&lt;0.5,C130*Inputs!C143&lt;0),"n/m",C130/Inputs!C143-1),"n/a")</f>
        <v>0.10967403857935776</v>
      </c>
      <c r="D131" s="33">
        <f>IFERROR(IF(OR(ABS(Inputs!D143)&lt;0.5,D130*Inputs!D143&lt;0),"n/m",D130/Inputs!D143-1),"n/a")</f>
        <v>0.10332244072054064</v>
      </c>
      <c r="E131" s="33">
        <f>IFERROR(IF(OR(ABS(Inputs!E143)&lt;0.5,E130*Inputs!E143&lt;0),"n/m",E130/Inputs!E143-1),"n/a")</f>
        <v>0.09702197904602139</v>
      </c>
      <c r="F131" s="33">
        <f>IFERROR(IF(OR(ABS(Inputs!F143)&lt;0.5,F130*Inputs!F143&lt;0),"n/m",F130/Inputs!F143-1),"n/a")</f>
        <v>0.1321116010029757</v>
      </c>
      <c r="G131" s="33">
        <f>IFERROR(IF(OR(ABS(Inputs!G143)&lt;0.5,G130*Inputs!G143&lt;0),"n/m",G130/Inputs!G143-1),"n/a")</f>
        <v>0.11067274731369481</v>
      </c>
      <c r="H131" s="19">
        <f>IFERROR(IF(OR(ABS(C130)&lt;0.5,H130*C130&lt;0),"n/m",H130/C130-1),"n/a")</f>
        <v>0.18574103528560437</v>
      </c>
      <c r="I131" s="19">
        <f>IFERROR(IF(OR(ABS(D130)&lt;0.5,I130*D130&lt;0),"n/m",I130/D130-1),"n/a")</f>
        <v>0.13516829370608718</v>
      </c>
      <c r="J131" s="46">
        <f>IFERROR(IF(OR(ABS(E130)&lt;0.5,J130*E130&lt;0),"n/m",J130/E130-1),"n/a")</f>
        <v>0.11112967268372831</v>
      </c>
      <c r="K131" s="45"/>
    </row>
    <row r="132">
      <c r="B132" s="42" t="s">
        <v>118</v>
      </c>
      <c r="C132" s="4">
        <f>IFERROR(C130-Inputs!F143,"n/a")</f>
        <v>-26.613000000000056</v>
      </c>
      <c r="D132" s="20">
        <f>IFERROR(D130-C130,"n/a")</f>
        <v>48.73800000000011</v>
      </c>
      <c r="E132" s="20">
        <f>IFERROR(E130-D130,"n/a")</f>
        <v>20.050999999999874</v>
      </c>
      <c r="F132" s="20">
        <f>IFERROR(F130-E130,"n/a")</f>
        <v>17.57199999999989</v>
      </c>
      <c r="G132" s="20" t="s">
        <v>34</v>
      </c>
      <c r="H132" s="20">
        <f>IFERROR(H130-F130,"n/a")</f>
        <v>-7.301999999999907</v>
      </c>
      <c r="I132" s="20">
        <f>IFERROR(I130-H130,"n/a")</f>
        <v>33.80000000000007</v>
      </c>
      <c r="J132" s="48">
        <f>IFERROR(J130-I130,"n/a")</f>
        <v>10.875844065015713</v>
      </c>
      <c r="K132" s="45"/>
    </row>
    <row r="133">
      <c r="B133" s="30" t="s">
        <v>352</v>
      </c>
      <c r="C133" s="19">
        <f>C130/C10</f>
        <v>0.5706974549023499</v>
      </c>
      <c r="D133" s="19">
        <f>D130/D10</f>
        <v>0.6139405885238243</v>
      </c>
      <c r="E133" s="19">
        <f>E130/E10</f>
        <v>0.6231583033578431</v>
      </c>
      <c r="F133" s="19">
        <f>F130/F10</f>
        <v>0.6224736422346715</v>
      </c>
      <c r="G133" s="19">
        <f>G130/G10</f>
        <v>0.6082236200888256</v>
      </c>
      <c r="H133" s="19">
        <f>H130/H10</f>
        <v>0.5932063939821344</v>
      </c>
      <c r="I133" s="19">
        <f>I130/I10</f>
        <v>0.6211072664359861</v>
      </c>
      <c r="J133" s="46">
        <f>J130/J10</f>
        <v>0.6191016441785905</v>
      </c>
      <c r="K133" s="45"/>
    </row>
    <row r="134">
      <c r="B134" s="49" t="s">
        <v>120</v>
      </c>
      <c r="C134" s="47">
        <f>IFERROR((C133-Inputs!C144)*10000,"n/a")</f>
        <v>65.90478807992129</v>
      </c>
      <c r="D134" s="47">
        <f>IFERROR((D133-Inputs!D144)*10000,"n/a")</f>
        <v>66.15767103072213</v>
      </c>
      <c r="E134" s="47">
        <f>IFERROR((E133-Inputs!E144)*10000,"n/a")</f>
        <v>12.473188883002084</v>
      </c>
      <c r="F134" s="47">
        <f>IFERROR((F133-Inputs!F144)*10000,"n/a")</f>
        <v>142.03937362235465</v>
      </c>
      <c r="G134" s="47">
        <f>IFERROR((G133-Inputs!G144)*10000,"n/a")</f>
        <v>72.40750973715903</v>
      </c>
      <c r="H134" s="62">
        <f>IFERROR((H133-C133)*10000,"n/a")</f>
        <v>225.08939079784463</v>
      </c>
      <c r="I134" s="62">
        <f>IFERROR((I133-D133)*10000,"n/a")</f>
        <v>71.66677912161856</v>
      </c>
      <c r="J134" s="64">
        <f>IFERROR((J133-E133)*10000,"n/a")</f>
        <v>-40.566591792525756</v>
      </c>
      <c r="K134" s="45"/>
    </row>
    <row r="135">
      <c r="B135" s="49" t="s">
        <v>121</v>
      </c>
      <c r="C135" s="47">
        <f>IFERROR((C133-Inputs!F144)*10000,"n/a")</f>
        <v>-375.72249970086125</v>
      </c>
      <c r="D135" s="62">
        <f>IFERROR((D133-C133)*10000,"n/a")</f>
        <v>432.4313362147436</v>
      </c>
      <c r="E135" s="62">
        <f>IFERROR((E133-D133)*10000,"n/a")</f>
        <v>92.17714834018787</v>
      </c>
      <c r="F135" s="62">
        <f>IFERROR((F133-E133)*10000,"n/a")</f>
        <v>-6.846611231715594</v>
      </c>
      <c r="G135" s="62" t="s">
        <v>34</v>
      </c>
      <c r="H135" s="62">
        <f>IFERROR((H133-F133)*10000,"n/a")</f>
        <v>-292.67248252537127</v>
      </c>
      <c r="I135" s="62">
        <f>IFERROR((I133-H133)*10000,"n/a")</f>
        <v>279.0087245385175</v>
      </c>
      <c r="J135" s="64">
        <f>IFERROR((J133-I133)*10000,"n/a")</f>
        <v>-20.05622257395645</v>
      </c>
      <c r="K135" s="45"/>
    </row>
    <row r="136">
      <c r="B136" s="2" t="s">
        <v>258</v>
      </c>
      <c r="C136" s="20">
        <f>C10-C130</f>
        <v>320.18499999999995</v>
      </c>
      <c r="D136" s="20">
        <f>D10-D130</f>
        <v>298.3</v>
      </c>
      <c r="E136" s="20">
        <f>E10-E130</f>
        <v>298.996</v>
      </c>
      <c r="F136" s="20">
        <f>F10-F130</f>
        <v>310.52600000000007</v>
      </c>
      <c r="G136" s="20">
        <f>G10-G130</f>
        <v>1228.007</v>
      </c>
      <c r="H136" s="20">
        <f>H10-H130</f>
        <v>346.1</v>
      </c>
      <c r="I136" s="20">
        <f>I10-I130</f>
        <v>328.5</v>
      </c>
      <c r="J136" s="48">
        <f>J10-J130</f>
        <v>338</v>
      </c>
      <c r="K136" s="45"/>
    </row>
    <row r="137">
      <c r="B137" s="49" t="s">
        <v>150</v>
      </c>
      <c r="C137" s="33">
        <f>IFERROR(IF(OR(ABS(Inputs!C145)&lt;0.5,C136*Inputs!C145&lt;0),"n/m",C136/Inputs!C145-1),"n/a")</f>
        <v>0.08027544603093162</v>
      </c>
      <c r="D137" s="33">
        <f>IFERROR(IF(OR(ABS(Inputs!D145)&lt;0.5,D136*Inputs!D145&lt;0),"n/m",D136/Inputs!D145-1),"n/a")</f>
        <v>0.07304474197284838</v>
      </c>
      <c r="E137" s="33">
        <f>IFERROR(IF(OR(ABS(Inputs!E145)&lt;0.5,E136*Inputs!E145&lt;0),"n/m",E136/Inputs!E145-1),"n/a")</f>
        <v>0.09121432977011201</v>
      </c>
      <c r="F137" s="33">
        <f>IFERROR(IF(OR(ABS(Inputs!F145)&lt;0.5,F136*Inputs!F145&lt;0),"n/m",F136/Inputs!F145-1),"n/a")</f>
        <v>0.06616538771866609</v>
      </c>
      <c r="G137" s="33">
        <f>IFERROR(IF(OR(ABS(Inputs!G145)&lt;0.5,G136*Inputs!G145&lt;0),"n/m",G136/Inputs!G145-1),"n/a")</f>
        <v>0.07753561638546769</v>
      </c>
      <c r="H137" s="19">
        <f>IFERROR(IF(OR(ABS(C136)&lt;0.5,H136*C136&lt;0),"n/m",H136/C136-1),"n/a")</f>
        <v>0.08093758295985154</v>
      </c>
      <c r="I137" s="19">
        <f>IFERROR(IF(OR(ABS(D136)&lt;0.5,I136*D136&lt;0),"n/m",I136/D136-1),"n/a")</f>
        <v>0.10124036205162579</v>
      </c>
      <c r="J137" s="46">
        <f>IFERROR(IF(OR(ABS(E136)&lt;0.5,J136*E136&lt;0),"n/m",J136/E136-1),"n/a")</f>
        <v>0.1304499056843571</v>
      </c>
      <c r="K137" s="45"/>
    </row>
    <row r="138">
      <c r="B138" s="42" t="s">
        <v>118</v>
      </c>
      <c r="C138" s="4">
        <f>IFERROR(C136-Inputs!F145,"n/a")</f>
        <v>28.92999999999995</v>
      </c>
      <c r="D138" s="20">
        <f>IFERROR(D136-C136,"n/a")</f>
        <v>-21.884999999999934</v>
      </c>
      <c r="E138" s="20">
        <f>IFERROR(E136-D136,"n/a")</f>
        <v>0.6959999999999695</v>
      </c>
      <c r="F138" s="20">
        <f>IFERROR(F136-E136,"n/a")</f>
        <v>11.530000000000086</v>
      </c>
      <c r="G138" s="20" t="s">
        <v>34</v>
      </c>
      <c r="H138" s="20">
        <f>IFERROR(H136-F136,"n/a")</f>
        <v>35.573999999999955</v>
      </c>
      <c r="I138" s="20">
        <f>IFERROR(I136-H136,"n/a")</f>
        <v>-17.600000000000023</v>
      </c>
      <c r="J138" s="48">
        <f>IFERROR(J136-I136,"n/a")</f>
        <v>9.5</v>
      </c>
      <c r="K138" s="45"/>
    </row>
    <row r="139">
      <c r="B139" s="2" t="s">
        <v>353</v>
      </c>
      <c r="C139" s="4">
        <f>'Segment - Index'!C210+'Segment - Analytics'!C103+'Segment - Sustain &amp; Climate'!C88+'Segment - Private Assets'!C103</f>
        <v>320.185</v>
      </c>
      <c r="D139" s="4">
        <f>'Segment - Index'!D210+'Segment - Analytics'!D103+'Segment - Sustain &amp; Climate'!D88+'Segment - Private Assets'!D103</f>
        <v>298.3</v>
      </c>
      <c r="E139" s="4">
        <f>'Segment - Index'!E210+'Segment - Analytics'!E103+'Segment - Sustain &amp; Climate'!E88+'Segment - Private Assets'!E103</f>
        <v>298.99600000000004</v>
      </c>
      <c r="F139" s="4">
        <f>'Segment - Index'!F210+'Segment - Analytics'!F103+'Segment - Sustain &amp; Climate'!F88+'Segment - Private Assets'!F103</f>
        <v>310.52599999999995</v>
      </c>
      <c r="G139" s="4">
        <f>'Segment - Index'!G210+'Segment - Analytics'!G103+'Segment - Sustain &amp; Climate'!G88+'Segment - Private Assets'!G103</f>
        <v>1228.007</v>
      </c>
      <c r="H139" s="4">
        <f>'Segment - Index'!H210+'Segment - Analytics'!H103+'Segment - Sustain &amp; Climate'!H88+'Segment - Private Assets'!H103</f>
        <v>346.09999999999997</v>
      </c>
      <c r="I139" s="4">
        <f>'Segment - Index'!I210+'Segment - Analytics'!I103+'Segment - Sustain &amp; Climate'!I88+'Segment - Private Assets'!I103</f>
        <v>328.50000000000006</v>
      </c>
      <c r="J139" s="61">
        <f>'Segment - Index'!J210+'Segment - Analytics'!J103+'Segment - Sustain &amp; Climate'!J88+'Segment - Private Assets'!J103</f>
        <v>338</v>
      </c>
      <c r="K139" s="45" t="s">
        <v>354</v>
      </c>
    </row>
    <row r="140">
      <c r="B140" s="42" t="s">
        <v>355</v>
      </c>
      <c r="C140" s="20">
        <f>C136-C139</f>
        <v>0</v>
      </c>
      <c r="D140" s="20">
        <f>D136-D139</f>
        <v>0</v>
      </c>
      <c r="E140" s="20">
        <f>E136-E139</f>
        <v>0</v>
      </c>
      <c r="F140" s="20">
        <f>F136-F139</f>
        <v>0</v>
      </c>
      <c r="G140" s="20">
        <f>G136-G139</f>
        <v>0</v>
      </c>
      <c r="H140" s="20">
        <f>H136-H139</f>
        <v>0</v>
      </c>
      <c r="I140" s="20">
        <f>I136-I139</f>
        <v>0</v>
      </c>
      <c r="J140" s="48">
        <f>J136-J139</f>
        <v>0</v>
      </c>
      <c r="K140" s="45" t="s">
        <v>356</v>
      </c>
    </row>
    <row r="141">
      <c r="B141" s="2" t="s">
        <v>357</v>
      </c>
      <c r="C141" s="20">
        <f>C38+C44</f>
        <v>48.618</v>
      </c>
      <c r="D141" s="20">
        <f>D38+D44</f>
        <v>49.144999999999996</v>
      </c>
      <c r="E141" s="20">
        <f>E38+E44</f>
        <v>46.739999999999995</v>
      </c>
      <c r="F141" s="20">
        <f>F38+F44</f>
        <v>48.382000000000005</v>
      </c>
      <c r="G141" s="20">
        <f>G38+G44</f>
        <v>192.885</v>
      </c>
      <c r="H141" s="20">
        <f>H38+H44</f>
        <v>47.8</v>
      </c>
      <c r="I141" s="20">
        <f>I38+I44</f>
        <v>50</v>
      </c>
      <c r="J141" s="48">
        <f>J38+J44</f>
        <v>51.1</v>
      </c>
      <c r="K141" s="45" t="s">
        <v>358</v>
      </c>
    </row>
    <row r="142">
      <c r="B142" s="24" t="s">
        <v>359</v>
      </c>
      <c r="C142" s="10"/>
      <c r="D142" s="10"/>
      <c r="E142" s="10"/>
      <c r="F142" s="10"/>
      <c r="G142" s="10"/>
      <c r="H142" s="10"/>
      <c r="I142" s="10"/>
      <c r="J142" s="51"/>
      <c r="K142" s="45"/>
    </row>
    <row r="143">
      <c r="B143" s="24" t="s">
        <v>360</v>
      </c>
      <c r="C143" s="55" t="b">
        <f>AND(ABS(C96)&lt;0.006,ABS(C119)&lt;0.006,ABS(C140)&lt;0.06,ABS(C92-C80/C88)&lt;0.000001)</f>
        <v>1</v>
      </c>
      <c r="D143" s="55" t="b">
        <f>AND(ABS(D96)&lt;0.006,ABS(D119)&lt;0.006,ABS(D140)&lt;0.06,ABS(D92-D80/D88)&lt;0.000001)</f>
        <v>1</v>
      </c>
      <c r="E143" s="55" t="b">
        <f>AND(ABS(E96)&lt;0.006,ABS(E119)&lt;0.006,ABS(E140)&lt;0.06,ABS(E92-E80/E88)&lt;0.000001)</f>
        <v>1</v>
      </c>
      <c r="F143" s="55" t="b">
        <f>AND(ABS(F96)&lt;0.006,ABS(F119)&lt;0.006,ABS(F140)&lt;0.06,ABS(F92-F80/F88)&lt;0.000001)</f>
        <v>1</v>
      </c>
      <c r="G143" s="55" t="b">
        <f>AND(ABS(G96)&lt;0.006,ABS(G119)&lt;0.006,ABS(G140)&lt;0.06,ABS(G92-G80/G88)&lt;0.000001)</f>
        <v>1</v>
      </c>
      <c r="H143" s="55" t="b">
        <f>AND(ABS(H96)&lt;0.006,ABS(H119)&lt;0.006,ABS(H140)&lt;0.06,ABS(H92-H80/H88)&lt;0.000001)</f>
        <v>1</v>
      </c>
      <c r="I143" s="55" t="b">
        <f>AND(ABS(I96)&lt;0.006,ABS(I119)&lt;0.006,ABS(I140)&lt;0.06,ABS(I92-I80/I88)&lt;0.000001)</f>
        <v>1</v>
      </c>
      <c r="J143" s="66" t="b">
        <f>AND(ABS(J92-J80/J88)&lt;0.000001,ABS(J108-J105/J88)&lt;0.000001,ABS(J140)&lt;0.06,ABS(J117-J108)&lt;0.000001)</f>
        <v>1</v>
      </c>
      <c r="K143" s="45" t="s">
        <v>361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1:K7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362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363</v>
      </c>
      <c r="C9" s="10"/>
      <c r="D9" s="10"/>
      <c r="E9" s="10"/>
      <c r="F9" s="10"/>
      <c r="G9" s="10"/>
      <c r="H9" s="10"/>
      <c r="I9" s="10"/>
      <c r="J9" s="51"/>
      <c r="K9" s="45" t="s">
        <v>364</v>
      </c>
    </row>
    <row r="10">
      <c r="B10" s="42" t="s">
        <v>365</v>
      </c>
      <c r="C10" s="12">
        <v>360.671</v>
      </c>
      <c r="D10" s="12">
        <v>347.318</v>
      </c>
      <c r="E10" s="12">
        <v>400.089</v>
      </c>
      <c r="F10" s="12">
        <v>515.332</v>
      </c>
      <c r="G10" s="20">
        <f>F10</f>
        <v>515.332</v>
      </c>
      <c r="H10" s="12">
        <v>385.3</v>
      </c>
      <c r="I10" s="12">
        <v>356.4</v>
      </c>
      <c r="J10" s="61">
        <f>'Cash Flow Statement'!J86</f>
        <v>426.6898646011178</v>
      </c>
      <c r="K10" s="45" t="s">
        <v>366</v>
      </c>
    </row>
    <row r="11">
      <c r="B11" s="65" t="s">
        <v>150</v>
      </c>
      <c r="C11" s="33" t="str">
        <f>IFERROR(IF(OR(ABS(Inputs!C181)&lt;0.5,C10*Inputs!C181&lt;0),"n/m",C10/Inputs!C181-1),"n/a")</f>
        <v>n/a</v>
      </c>
      <c r="D11" s="33" t="str">
        <f>IFERROR(IF(OR(ABS(Inputs!D181)&lt;0.5,D10*Inputs!D181&lt;0),"n/m",D10/Inputs!D181-1),"n/a")</f>
        <v>n/a</v>
      </c>
      <c r="E11" s="33" t="str">
        <f>IFERROR(IF(OR(ABS(Inputs!E181)&lt;0.5,E10*Inputs!E181&lt;0),"n/m",E10/Inputs!E181-1),"n/a")</f>
        <v>n/a</v>
      </c>
      <c r="F11" s="33">
        <f>IFERROR(IF(OR(ABS(Inputs!F181)&lt;0.5,F10*Inputs!F181&lt;0),"n/m",F10/Inputs!F181-1),"n/a")</f>
        <v>0.2589000637594632</v>
      </c>
      <c r="G11" s="33">
        <f>IFERROR(IF(OR(ABS(Inputs!G181)&lt;0.5,G10*Inputs!G181&lt;0),"n/m",G10/Inputs!G181-1),"n/a")</f>
        <v>0.2589000637594632</v>
      </c>
      <c r="H11" s="19">
        <f>IFERROR(IF(OR(ABS(C10)&lt;0.5,H10*C10&lt;0),"n/m",H10/C10-1),"n/a")</f>
        <v>0.0682866102348123</v>
      </c>
      <c r="I11" s="19">
        <f>IFERROR(IF(OR(ABS(D10)&lt;0.5,I10*D10&lt;0),"n/m",I10/D10-1),"n/a")</f>
        <v>0.026148947074438933</v>
      </c>
      <c r="J11" s="46">
        <f>IFERROR(IF(OR(ABS(E10)&lt;0.5,J10*E10&lt;0),"n/m",J10/E10-1),"n/a")</f>
        <v>0.06648736806340039</v>
      </c>
      <c r="K11" s="45"/>
    </row>
    <row r="12">
      <c r="B12" s="54" t="s">
        <v>118</v>
      </c>
      <c r="C12" s="4">
        <f>IFERROR(C10-Inputs!F181,"n/a")</f>
        <v>-48.68000000000001</v>
      </c>
      <c r="D12" s="20">
        <f>IFERROR(D10-C10,"n/a")</f>
        <v>-13.353000000000009</v>
      </c>
      <c r="E12" s="20">
        <f>IFERROR(E10-D10,"n/a")</f>
        <v>52.771000000000015</v>
      </c>
      <c r="F12" s="20">
        <f>IFERROR(F10-E10,"n/a")</f>
        <v>115.243</v>
      </c>
      <c r="G12" s="20" t="s">
        <v>34</v>
      </c>
      <c r="H12" s="20">
        <f>IFERROR(H10-F10,"n/a")</f>
        <v>-130.03199999999998</v>
      </c>
      <c r="I12" s="20">
        <f>IFERROR(I10-H10,"n/a")</f>
        <v>-28.900000000000034</v>
      </c>
      <c r="J12" s="48">
        <f>IFERROR(J10-I10,"n/a")</f>
        <v>70.28986460111781</v>
      </c>
      <c r="K12" s="45"/>
    </row>
    <row r="13">
      <c r="B13" s="42" t="s">
        <v>367</v>
      </c>
      <c r="C13" s="12">
        <v>749.247</v>
      </c>
      <c r="D13" s="12">
        <v>790.576</v>
      </c>
      <c r="E13" s="12">
        <v>745.852</v>
      </c>
      <c r="F13" s="12">
        <v>986.712</v>
      </c>
      <c r="G13" s="20">
        <f>F13</f>
        <v>986.712</v>
      </c>
      <c r="H13" s="12">
        <v>883.2</v>
      </c>
      <c r="I13" s="12">
        <v>884.4</v>
      </c>
      <c r="J13" s="53">
        <v>844.4</v>
      </c>
      <c r="K13" s="45" t="s">
        <v>368</v>
      </c>
    </row>
    <row r="14">
      <c r="B14" s="65" t="s">
        <v>150</v>
      </c>
      <c r="C14" s="33" t="str">
        <f>IFERROR(IF(OR(ABS(Inputs!C182)&lt;0.5,C13*Inputs!C182&lt;0),"n/m",C13/Inputs!C182-1),"n/a")</f>
        <v>n/a</v>
      </c>
      <c r="D14" s="33" t="str">
        <f>IFERROR(IF(OR(ABS(Inputs!D182)&lt;0.5,D13*Inputs!D182&lt;0),"n/m",D13/Inputs!D182-1),"n/a")</f>
        <v>n/a</v>
      </c>
      <c r="E14" s="33" t="str">
        <f>IFERROR(IF(OR(ABS(Inputs!E182)&lt;0.5,E13*Inputs!E182&lt;0),"n/m",E13/Inputs!E182-1),"n/a")</f>
        <v>n/a</v>
      </c>
      <c r="F14" s="33">
        <f>IFERROR(IF(OR(ABS(Inputs!F182)&lt;0.5,F13*Inputs!F182&lt;0),"n/m",F13/Inputs!F182-1),"n/a")</f>
        <v>0.20226779528432126</v>
      </c>
      <c r="G14" s="33">
        <f>IFERROR(IF(OR(ABS(Inputs!G182)&lt;0.5,G13*Inputs!G182&lt;0),"n/m",G13/Inputs!G182-1),"n/a")</f>
        <v>0.20226779528432126</v>
      </c>
      <c r="H14" s="19">
        <f>IFERROR(IF(OR(ABS(C13)&lt;0.5,H13*C13&lt;0),"n/m",H13/C13-1),"n/a")</f>
        <v>0.17878349863262732</v>
      </c>
      <c r="I14" s="19">
        <f>IFERROR(IF(OR(ABS(D13)&lt;0.5,I13*D13&lt;0),"n/m",I13/D13-1),"n/a")</f>
        <v>0.11867802715994413</v>
      </c>
      <c r="J14" s="46">
        <f>IFERROR(IF(OR(ABS(E13)&lt;0.5,J13*E13&lt;0),"n/m",J13/E13-1),"n/a")</f>
        <v>0.13212808975507206</v>
      </c>
      <c r="K14" s="45"/>
    </row>
    <row r="15">
      <c r="B15" s="54" t="s">
        <v>118</v>
      </c>
      <c r="C15" s="4">
        <f>IFERROR(C13-Inputs!F182,"n/a")</f>
        <v>-71.46199999999999</v>
      </c>
      <c r="D15" s="20">
        <f>IFERROR(D13-C13,"n/a")</f>
        <v>41.329000000000065</v>
      </c>
      <c r="E15" s="20">
        <f>IFERROR(E13-D13,"n/a")</f>
        <v>-44.724000000000046</v>
      </c>
      <c r="F15" s="20">
        <f>IFERROR(F13-E13,"n/a")</f>
        <v>240.86</v>
      </c>
      <c r="G15" s="20" t="s">
        <v>34</v>
      </c>
      <c r="H15" s="20">
        <f>IFERROR(H13-F13,"n/a")</f>
        <v>-103.51199999999994</v>
      </c>
      <c r="I15" s="20">
        <f>IFERROR(I13-H13,"n/a")</f>
        <v>1.1999999999999318</v>
      </c>
      <c r="J15" s="48">
        <f>IFERROR(J13-I13,"n/a")</f>
        <v>-40</v>
      </c>
      <c r="K15" s="45"/>
    </row>
    <row r="16">
      <c r="B16" s="42" t="s">
        <v>369</v>
      </c>
      <c r="C16" s="12">
        <v>125.617</v>
      </c>
      <c r="D16" s="12">
        <v>133.314</v>
      </c>
      <c r="E16" s="12">
        <v>162.78</v>
      </c>
      <c r="F16" s="12">
        <v>142.725</v>
      </c>
      <c r="G16" s="20">
        <f>F16</f>
        <v>142.725</v>
      </c>
      <c r="H16" s="12">
        <v>125.6</v>
      </c>
      <c r="I16" s="12">
        <v>195.4</v>
      </c>
      <c r="J16" s="53">
        <v>185.4</v>
      </c>
      <c r="K16" s="45" t="s">
        <v>284</v>
      </c>
    </row>
    <row r="17">
      <c r="B17" s="65" t="s">
        <v>150</v>
      </c>
      <c r="C17" s="33" t="str">
        <f>IFERROR(IF(OR(ABS(Inputs!C183)&lt;0.5,C16*Inputs!C183&lt;0),"n/m",C16/Inputs!C183-1),"n/a")</f>
        <v>n/a</v>
      </c>
      <c r="D17" s="33" t="str">
        <f>IFERROR(IF(OR(ABS(Inputs!D183)&lt;0.5,D16*Inputs!D183&lt;0),"n/m",D16/Inputs!D183-1),"n/a")</f>
        <v>n/a</v>
      </c>
      <c r="E17" s="33" t="str">
        <f>IFERROR(IF(OR(ABS(Inputs!E183)&lt;0.5,E16*Inputs!E183&lt;0),"n/m",E16/Inputs!E183-1),"n/a")</f>
        <v>n/a</v>
      </c>
      <c r="F17" s="33">
        <f>IFERROR(IF(OR(ABS(Inputs!F183)&lt;0.5,F16*Inputs!F183&lt;0),"n/m",F16/Inputs!F183-1),"n/a")</f>
        <v>0.25240213757338026</v>
      </c>
      <c r="G17" s="33">
        <f>IFERROR(IF(OR(ABS(Inputs!G183)&lt;0.5,G16*Inputs!G183&lt;0),"n/m",G16/Inputs!G183-1),"n/a")</f>
        <v>0.25240213757338026</v>
      </c>
      <c r="H17" s="19">
        <f>IFERROR(IF(OR(ABS(C16)&lt;0.5,H16*C16&lt;0),"n/m",H16/C16-1),"n/a")</f>
        <v>-0.000135332001241939</v>
      </c>
      <c r="I17" s="19">
        <f>IFERROR(IF(OR(ABS(D16)&lt;0.5,I16*D16&lt;0),"n/m",I16/D16-1),"n/a")</f>
        <v>0.4657125283166059</v>
      </c>
      <c r="J17" s="46">
        <f>IFERROR(IF(OR(ABS(E16)&lt;0.5,J16*E16&lt;0),"n/m",J16/E16-1),"n/a")</f>
        <v>0.13896056026538894</v>
      </c>
      <c r="K17" s="45"/>
    </row>
    <row r="18">
      <c r="B18" s="54" t="s">
        <v>118</v>
      </c>
      <c r="C18" s="4">
        <f>IFERROR(C16-Inputs!F183,"n/a")</f>
        <v>11.656000000000006</v>
      </c>
      <c r="D18" s="20">
        <f>IFERROR(D16-C16,"n/a")</f>
        <v>7.6969999999999885</v>
      </c>
      <c r="E18" s="20">
        <f>IFERROR(E16-D16,"n/a")</f>
        <v>29.466000000000008</v>
      </c>
      <c r="F18" s="20">
        <f>IFERROR(F16-E16,"n/a")</f>
        <v>-20.055000000000007</v>
      </c>
      <c r="G18" s="20" t="s">
        <v>34</v>
      </c>
      <c r="H18" s="20">
        <f>IFERROR(H16-F16,"n/a")</f>
        <v>-17.125</v>
      </c>
      <c r="I18" s="20">
        <f>IFERROR(I16-H16,"n/a")</f>
        <v>69.80000000000001</v>
      </c>
      <c r="J18" s="48">
        <f>IFERROR(J16-I16,"n/a")</f>
        <v>-10</v>
      </c>
      <c r="K18" s="45"/>
    </row>
    <row r="19">
      <c r="B19" s="24" t="s">
        <v>370</v>
      </c>
      <c r="C19" s="60">
        <f>C10+C13+C16</f>
        <v>1235.5349999999999</v>
      </c>
      <c r="D19" s="60">
        <f>D10+D13+D16</f>
        <v>1271.208</v>
      </c>
      <c r="E19" s="60">
        <f>E10+E13+E16</f>
        <v>1308.721</v>
      </c>
      <c r="F19" s="60">
        <f>F10+F13+F16</f>
        <v>1644.7689999999998</v>
      </c>
      <c r="G19" s="60">
        <f>G10+G13+G16</f>
        <v>1644.7689999999998</v>
      </c>
      <c r="H19" s="60">
        <f>H10+H13+H16</f>
        <v>1394.1</v>
      </c>
      <c r="I19" s="60">
        <f>I10+I13+I16</f>
        <v>1436.2</v>
      </c>
      <c r="J19" s="50">
        <f>J10+J13+J16</f>
        <v>1456.489864601118</v>
      </c>
      <c r="K19" s="45"/>
    </row>
    <row r="20">
      <c r="B20" s="49" t="s">
        <v>150</v>
      </c>
      <c r="C20" s="33" t="str">
        <f>IFERROR(IF(OR(ABS(Inputs!C195)&lt;0.5,C19*Inputs!C195&lt;0),"n/m",C19/Inputs!C195-1),"n/a")</f>
        <v>n/a</v>
      </c>
      <c r="D20" s="33" t="str">
        <f>IFERROR(IF(OR(ABS(Inputs!D195)&lt;0.5,D19*Inputs!D195&lt;0),"n/m",D19/Inputs!D195-1),"n/a")</f>
        <v>n/a</v>
      </c>
      <c r="E20" s="33" t="str">
        <f>IFERROR(IF(OR(ABS(Inputs!E195)&lt;0.5,E19*Inputs!E195&lt;0),"n/m",E19/Inputs!E195-1),"n/a")</f>
        <v>n/a</v>
      </c>
      <c r="F20" s="33">
        <f>IFERROR(IF(OR(ABS(Inputs!F195)&lt;0.5,F19*Inputs!F195&lt;0),"n/m",F19/Inputs!F195-1),"n/a")</f>
        <v>0.223767336968693</v>
      </c>
      <c r="G20" s="33">
        <f>IFERROR(IF(OR(ABS(Inputs!G195)&lt;0.5,G19*Inputs!G195&lt;0),"n/m",G19/Inputs!G195-1),"n/a")</f>
        <v>0.223767336968693</v>
      </c>
      <c r="H20" s="19">
        <f>IFERROR(IF(OR(ABS(C19)&lt;0.5,H19*C19&lt;0),"n/m",H19/C19-1),"n/a")</f>
        <v>0.12833711711930462</v>
      </c>
      <c r="I20" s="19">
        <f>IFERROR(IF(OR(ABS(D19)&lt;0.5,I19*D19&lt;0),"n/m",I19/D19-1),"n/a")</f>
        <v>0.12979150540273499</v>
      </c>
      <c r="J20" s="46">
        <f>IFERROR(IF(OR(ABS(E19)&lt;0.5,J19*E19&lt;0),"n/m",J19/E19-1),"n/a")</f>
        <v>0.11291089896251227</v>
      </c>
      <c r="K20" s="45"/>
    </row>
    <row r="21">
      <c r="B21" s="42" t="s">
        <v>118</v>
      </c>
      <c r="C21" s="4">
        <f>IFERROR(C19-Inputs!F195,"n/a")</f>
        <v>-108.4860000000001</v>
      </c>
      <c r="D21" s="20">
        <f>IFERROR(D19-C19,"n/a")</f>
        <v>35.67300000000023</v>
      </c>
      <c r="E21" s="20">
        <f>IFERROR(E19-D19,"n/a")</f>
        <v>37.51299999999992</v>
      </c>
      <c r="F21" s="20">
        <f>IFERROR(F19-E19,"n/a")</f>
        <v>336.0479999999998</v>
      </c>
      <c r="G21" s="20" t="s">
        <v>34</v>
      </c>
      <c r="H21" s="20">
        <f>IFERROR(H19-F19,"n/a")</f>
        <v>-250.66899999999987</v>
      </c>
      <c r="I21" s="20">
        <f>IFERROR(I19-H19,"n/a")</f>
        <v>42.100000000000136</v>
      </c>
      <c r="J21" s="48">
        <f>IFERROR(J19-I19,"n/a")</f>
        <v>20.28986460111787</v>
      </c>
      <c r="K21" s="45"/>
    </row>
    <row r="22">
      <c r="B22" s="42" t="s">
        <v>371</v>
      </c>
      <c r="C22" s="12">
        <v>85.618</v>
      </c>
      <c r="D22" s="12">
        <v>85.626</v>
      </c>
      <c r="E22" s="12">
        <v>82.57</v>
      </c>
      <c r="F22" s="12">
        <v>87.299</v>
      </c>
      <c r="G22" s="20">
        <f>F22</f>
        <v>87.299</v>
      </c>
      <c r="H22" s="12">
        <v>87.3</v>
      </c>
      <c r="I22" s="12">
        <v>93.2</v>
      </c>
      <c r="J22" s="61">
        <f>I22-'Cash Flow Statement'!J42-'Cash Flow Statement'!J19</f>
        <v>97.60000000000001</v>
      </c>
      <c r="K22" s="45" t="s">
        <v>372</v>
      </c>
    </row>
    <row r="23">
      <c r="B23" s="65" t="s">
        <v>150</v>
      </c>
      <c r="C23" s="33" t="str">
        <f>IFERROR(IF(OR(ABS(Inputs!C184)&lt;0.5,C22*Inputs!C184&lt;0),"n/m",C22/Inputs!C184-1),"n/a")</f>
        <v>n/a</v>
      </c>
      <c r="D23" s="33" t="str">
        <f>IFERROR(IF(OR(ABS(Inputs!D184)&lt;0.5,D22*Inputs!D184&lt;0),"n/m",D22/Inputs!D184-1),"n/a")</f>
        <v>n/a</v>
      </c>
      <c r="E23" s="33" t="str">
        <f>IFERROR(IF(OR(ABS(Inputs!E184)&lt;0.5,E22*Inputs!E184&lt;0),"n/m",E22/Inputs!E184-1),"n/a")</f>
        <v>n/a</v>
      </c>
      <c r="F23" s="33">
        <f>IFERROR(IF(OR(ABS(Inputs!F184)&lt;0.5,F22*Inputs!F184&lt;0),"n/m",F22/Inputs!F184-1),"n/a")</f>
        <v>0.23155815757917764</v>
      </c>
      <c r="G23" s="33">
        <f>IFERROR(IF(OR(ABS(Inputs!G184)&lt;0.5,G22*Inputs!G184&lt;0),"n/m",G22/Inputs!G184-1),"n/a")</f>
        <v>0.23155815757917764</v>
      </c>
      <c r="H23" s="19">
        <f>IFERROR(IF(OR(ABS(C22)&lt;0.5,H22*C22&lt;0),"n/m",H22/C22-1),"n/a")</f>
        <v>0.01964540166787354</v>
      </c>
      <c r="I23" s="19">
        <f>IFERROR(IF(OR(ABS(D22)&lt;0.5,I22*D22&lt;0),"n/m",I22/D22-1),"n/a")</f>
        <v>0.08845444140798353</v>
      </c>
      <c r="J23" s="46">
        <f>IFERROR(IF(OR(ABS(E22)&lt;0.5,J22*E22&lt;0),"n/m",J22/E22-1),"n/a")</f>
        <v>0.18202737071575648</v>
      </c>
      <c r="K23" s="45"/>
    </row>
    <row r="24">
      <c r="B24" s="54" t="s">
        <v>118</v>
      </c>
      <c r="C24" s="4">
        <f>IFERROR(C22-Inputs!F184,"n/a")</f>
        <v>14.73299999999999</v>
      </c>
      <c r="D24" s="20">
        <f>IFERROR(D22-C22,"n/a")</f>
        <v>0.008000000000009777</v>
      </c>
      <c r="E24" s="20">
        <f>IFERROR(E22-D22,"n/a")</f>
        <v>-3.0560000000000116</v>
      </c>
      <c r="F24" s="20">
        <f>IFERROR(F22-E22,"n/a")</f>
        <v>4.729000000000013</v>
      </c>
      <c r="G24" s="20" t="s">
        <v>34</v>
      </c>
      <c r="H24" s="20">
        <f>IFERROR(H22-F22,"n/a")</f>
        <v>0.000999999999990564</v>
      </c>
      <c r="I24" s="20">
        <f>IFERROR(I22-H22,"n/a")</f>
        <v>5.900000000000006</v>
      </c>
      <c r="J24" s="48">
        <f>IFERROR(J22-I22,"n/a")</f>
        <v>4.400000000000006</v>
      </c>
      <c r="K24" s="45"/>
    </row>
    <row r="25">
      <c r="B25" s="42" t="s">
        <v>373</v>
      </c>
      <c r="C25" s="12">
        <v>118.6</v>
      </c>
      <c r="D25" s="12">
        <v>117.161</v>
      </c>
      <c r="E25" s="12">
        <v>116.004</v>
      </c>
      <c r="F25" s="12">
        <v>112.873</v>
      </c>
      <c r="G25" s="20">
        <f>F25</f>
        <v>112.873</v>
      </c>
      <c r="H25" s="12">
        <v>146.8</v>
      </c>
      <c r="I25" s="12">
        <v>141.5</v>
      </c>
      <c r="J25" s="61">
        <f>I25-'Cash Flow Statement'!J22</f>
        <v>134</v>
      </c>
      <c r="K25" s="45" t="s">
        <v>374</v>
      </c>
    </row>
    <row r="26">
      <c r="B26" s="65" t="s">
        <v>150</v>
      </c>
      <c r="C26" s="33" t="str">
        <f>IFERROR(IF(OR(ABS(Inputs!C185)&lt;0.5,C25*Inputs!C185&lt;0),"n/m",C25/Inputs!C185-1),"n/a")</f>
        <v>n/a</v>
      </c>
      <c r="D26" s="33" t="str">
        <f>IFERROR(IF(OR(ABS(Inputs!D185)&lt;0.5,D25*Inputs!D185&lt;0),"n/m",D25/Inputs!D185-1),"n/a")</f>
        <v>n/a</v>
      </c>
      <c r="E26" s="33" t="str">
        <f>IFERROR(IF(OR(ABS(Inputs!E185)&lt;0.5,E25*Inputs!E185&lt;0),"n/m",E25/Inputs!E185-1),"n/a")</f>
        <v>n/a</v>
      </c>
      <c r="F26" s="33">
        <f>IFERROR(IF(OR(ABS(Inputs!F185)&lt;0.5,F25*Inputs!F185&lt;0),"n/m",F25/Inputs!F185-1),"n/a")</f>
        <v>-0.05494201867124371</v>
      </c>
      <c r="G26" s="33">
        <f>IFERROR(IF(OR(ABS(Inputs!G185)&lt;0.5,G25*Inputs!G185&lt;0),"n/m",G25/Inputs!G185-1),"n/a")</f>
        <v>-0.05494201867124371</v>
      </c>
      <c r="H26" s="19">
        <f>IFERROR(IF(OR(ABS(C25)&lt;0.5,H25*C25&lt;0),"n/m",H25/C25-1),"n/a")</f>
        <v>0.23777403035413158</v>
      </c>
      <c r="I26" s="19">
        <f>IFERROR(IF(OR(ABS(D25)&lt;0.5,I25*D25&lt;0),"n/m",I25/D25-1),"n/a")</f>
        <v>0.20773977688821366</v>
      </c>
      <c r="J26" s="46">
        <f>IFERROR(IF(OR(ABS(E25)&lt;0.5,J25*E25&lt;0),"n/m",J25/E25-1),"n/a")</f>
        <v>0.1551325816351159</v>
      </c>
      <c r="K26" s="45"/>
    </row>
    <row r="27">
      <c r="B27" s="54" t="s">
        <v>118</v>
      </c>
      <c r="C27" s="4">
        <f>IFERROR(C25-Inputs!F185,"n/a")</f>
        <v>-0.835000000000008</v>
      </c>
      <c r="D27" s="20">
        <f>IFERROR(D25-C25,"n/a")</f>
        <v>-1.438999999999993</v>
      </c>
      <c r="E27" s="20">
        <f>IFERROR(E25-D25,"n/a")</f>
        <v>-1.1569999999999965</v>
      </c>
      <c r="F27" s="20">
        <f>IFERROR(F25-E25,"n/a")</f>
        <v>-3.1310000000000002</v>
      </c>
      <c r="G27" s="20" t="s">
        <v>34</v>
      </c>
      <c r="H27" s="20">
        <f>IFERROR(H25-F25,"n/a")</f>
        <v>33.92700000000001</v>
      </c>
      <c r="I27" s="20">
        <f>IFERROR(I25-H25,"n/a")</f>
        <v>-5.300000000000011</v>
      </c>
      <c r="J27" s="48">
        <f>IFERROR(J25-I25,"n/a")</f>
        <v>-7.5</v>
      </c>
      <c r="K27" s="45"/>
    </row>
    <row r="28">
      <c r="B28" s="42" t="s">
        <v>375</v>
      </c>
      <c r="C28" s="12">
        <v>2918.559</v>
      </c>
      <c r="D28" s="12">
        <v>2925.6</v>
      </c>
      <c r="E28" s="12">
        <v>2923.468</v>
      </c>
      <c r="F28" s="12">
        <v>2923.362</v>
      </c>
      <c r="G28" s="20">
        <f>F28</f>
        <v>2923.362</v>
      </c>
      <c r="H28" s="12">
        <v>2962.3</v>
      </c>
      <c r="I28" s="12">
        <v>2974.2</v>
      </c>
      <c r="J28" s="61">
        <f>I28+(-'Cash Flow Statement'!J45-J70)</f>
        <v>3044.2</v>
      </c>
      <c r="K28" s="45" t="s">
        <v>376</v>
      </c>
    </row>
    <row r="29">
      <c r="B29" s="65" t="s">
        <v>150</v>
      </c>
      <c r="C29" s="33" t="str">
        <f>IFERROR(IF(OR(ABS(Inputs!C186)&lt;0.5,C28*Inputs!C186&lt;0),"n/m",C28/Inputs!C186-1),"n/a")</f>
        <v>n/a</v>
      </c>
      <c r="D29" s="33" t="str">
        <f>IFERROR(IF(OR(ABS(Inputs!D186)&lt;0.5,D28*Inputs!D186&lt;0),"n/m",D28/Inputs!D186-1),"n/a")</f>
        <v>n/a</v>
      </c>
      <c r="E29" s="33" t="str">
        <f>IFERROR(IF(OR(ABS(Inputs!E186)&lt;0.5,E28*Inputs!E186&lt;0),"n/m",E28/Inputs!E186-1),"n/a")</f>
        <v>n/a</v>
      </c>
      <c r="F29" s="33">
        <f>IFERROR(IF(OR(ABS(Inputs!F186)&lt;0.5,F28*Inputs!F186&lt;0),"n/m",F28/Inputs!F186-1),"n/a")</f>
        <v>0.002811159703715038</v>
      </c>
      <c r="G29" s="33">
        <f>IFERROR(IF(OR(ABS(Inputs!G186)&lt;0.5,G28*Inputs!G186&lt;0),"n/m",G28/Inputs!G186-1),"n/a")</f>
        <v>0.002811159703715038</v>
      </c>
      <c r="H29" s="19">
        <f>IFERROR(IF(OR(ABS(C28)&lt;0.5,H28*C28&lt;0),"n/m",H28/C28-1),"n/a")</f>
        <v>0.014987190596455369</v>
      </c>
      <c r="I29" s="19">
        <f>IFERROR(IF(OR(ABS(D28)&lt;0.5,I28*D28&lt;0),"n/m",I28/D28-1),"n/a")</f>
        <v>0.016611977030352776</v>
      </c>
      <c r="J29" s="46">
        <f>IFERROR(IF(OR(ABS(E28)&lt;0.5,J28*E28&lt;0),"n/m",J28/E28-1),"n/a")</f>
        <v>0.0412975274571159</v>
      </c>
      <c r="K29" s="45"/>
    </row>
    <row r="30">
      <c r="B30" s="54" t="s">
        <v>118</v>
      </c>
      <c r="C30" s="4">
        <f>IFERROR(C28-Inputs!F186,"n/a")</f>
        <v>3.39200000000028</v>
      </c>
      <c r="D30" s="20">
        <f>IFERROR(D28-C28,"n/a")</f>
        <v>7.040999999999713</v>
      </c>
      <c r="E30" s="20">
        <f>IFERROR(E28-D28,"n/a")</f>
        <v>-2.132000000000062</v>
      </c>
      <c r="F30" s="20">
        <f>IFERROR(F28-E28,"n/a")</f>
        <v>-0.10599999999976717</v>
      </c>
      <c r="G30" s="20" t="s">
        <v>34</v>
      </c>
      <c r="H30" s="20">
        <f>IFERROR(H28-F28,"n/a")</f>
        <v>38.9380000000001</v>
      </c>
      <c r="I30" s="20">
        <f>IFERROR(I28-H28,"n/a")</f>
        <v>11.899999999999636</v>
      </c>
      <c r="J30" s="48">
        <f>IFERROR(J28-I28,"n/a")</f>
        <v>70</v>
      </c>
      <c r="K30" s="45"/>
    </row>
    <row r="31">
      <c r="B31" s="42" t="s">
        <v>377</v>
      </c>
      <c r="C31" s="12">
        <v>886.75</v>
      </c>
      <c r="D31" s="12">
        <v>869.19</v>
      </c>
      <c r="E31" s="12">
        <v>849.611</v>
      </c>
      <c r="F31" s="12">
        <v>832.513</v>
      </c>
      <c r="G31" s="20">
        <f>F31</f>
        <v>832.513</v>
      </c>
      <c r="H31" s="12">
        <v>851</v>
      </c>
      <c r="I31" s="12">
        <v>855.9</v>
      </c>
      <c r="J31" s="61">
        <f>I31-'Cash Flow Statement'!J39+J70-'Cash Flow Statement'!J13</f>
        <v>895.4</v>
      </c>
      <c r="K31" s="45" t="s">
        <v>378</v>
      </c>
    </row>
    <row r="32">
      <c r="B32" s="65" t="s">
        <v>150</v>
      </c>
      <c r="C32" s="33" t="str">
        <f>IFERROR(IF(OR(ABS(Inputs!C187)&lt;0.5,C31*Inputs!C187&lt;0),"n/m",C31/Inputs!C187-1),"n/a")</f>
        <v>n/a</v>
      </c>
      <c r="D32" s="33" t="str">
        <f>IFERROR(IF(OR(ABS(Inputs!D187)&lt;0.5,D31*Inputs!D187&lt;0),"n/m",D31/Inputs!D187-1),"n/a")</f>
        <v>n/a</v>
      </c>
      <c r="E32" s="33" t="str">
        <f>IFERROR(IF(OR(ABS(Inputs!E187)&lt;0.5,E31*Inputs!E187&lt;0),"n/m",E31/Inputs!E187-1),"n/a")</f>
        <v>n/a</v>
      </c>
      <c r="F32" s="33">
        <f>IFERROR(IF(OR(ABS(Inputs!F187)&lt;0.5,F31*Inputs!F187&lt;0),"n/m",F31/Inputs!F187-1),"n/a")</f>
        <v>-0.08274451776252656</v>
      </c>
      <c r="G32" s="33">
        <f>IFERROR(IF(OR(ABS(Inputs!G187)&lt;0.5,G31*Inputs!G187&lt;0),"n/m",G31/Inputs!G187-1),"n/a")</f>
        <v>-0.08274451776252656</v>
      </c>
      <c r="H32" s="19">
        <f>IFERROR(IF(OR(ABS(C31)&lt;0.5,H31*C31&lt;0),"n/m",H31/C31-1),"n/a")</f>
        <v>-0.04031575979701152</v>
      </c>
      <c r="I32" s="19">
        <f>IFERROR(IF(OR(ABS(D31)&lt;0.5,I31*D31&lt;0),"n/m",I31/D31-1),"n/a")</f>
        <v>-0.01529009767714773</v>
      </c>
      <c r="J32" s="46">
        <f>IFERROR(IF(OR(ABS(E31)&lt;0.5,J31*E31&lt;0),"n/m",J31/E31-1),"n/a")</f>
        <v>0.05389407623018072</v>
      </c>
      <c r="K32" s="45"/>
    </row>
    <row r="33">
      <c r="B33" s="54" t="s">
        <v>118</v>
      </c>
      <c r="C33" s="4">
        <f>IFERROR(C31-Inputs!F187,"n/a")</f>
        <v>-20.863000000000056</v>
      </c>
      <c r="D33" s="20">
        <f>IFERROR(D31-C31,"n/a")</f>
        <v>-17.559999999999945</v>
      </c>
      <c r="E33" s="20">
        <f>IFERROR(E31-D31,"n/a")</f>
        <v>-19.579000000000065</v>
      </c>
      <c r="F33" s="20">
        <f>IFERROR(F31-E31,"n/a")</f>
        <v>-17.097999999999956</v>
      </c>
      <c r="G33" s="20" t="s">
        <v>34</v>
      </c>
      <c r="H33" s="20">
        <f>IFERROR(H31-F31,"n/a")</f>
        <v>18.486999999999966</v>
      </c>
      <c r="I33" s="20">
        <f>IFERROR(I31-H31,"n/a")</f>
        <v>4.899999999999977</v>
      </c>
      <c r="J33" s="48">
        <f>IFERROR(J31-I31,"n/a")</f>
        <v>39.5</v>
      </c>
      <c r="K33" s="45"/>
    </row>
    <row r="34">
      <c r="B34" s="42" t="s">
        <v>379</v>
      </c>
      <c r="C34" s="12">
        <v>99.312</v>
      </c>
      <c r="D34" s="12">
        <v>104.891</v>
      </c>
      <c r="E34" s="12">
        <v>108.766</v>
      </c>
      <c r="F34" s="12">
        <v>101.643</v>
      </c>
      <c r="G34" s="20">
        <f>F34</f>
        <v>101.643</v>
      </c>
      <c r="H34" s="12">
        <v>103.8</v>
      </c>
      <c r="I34" s="12">
        <v>101.5</v>
      </c>
      <c r="J34" s="53">
        <v>101.5</v>
      </c>
      <c r="K34" s="45" t="s">
        <v>380</v>
      </c>
    </row>
    <row r="35">
      <c r="B35" s="65" t="s">
        <v>150</v>
      </c>
      <c r="C35" s="33" t="str">
        <f>IFERROR(IF(OR(ABS(Inputs!C188)&lt;0.5,C34*Inputs!C188&lt;0),"n/m",C34/Inputs!C188-1),"n/a")</f>
        <v>n/a</v>
      </c>
      <c r="D35" s="33" t="str">
        <f>IFERROR(IF(OR(ABS(Inputs!D188)&lt;0.5,D34*Inputs!D188&lt;0),"n/m",D34/Inputs!D188-1),"n/a")</f>
        <v>n/a</v>
      </c>
      <c r="E35" s="33" t="str">
        <f>IFERROR(IF(OR(ABS(Inputs!E188)&lt;0.5,E34*Inputs!E188&lt;0),"n/m",E34/Inputs!E188-1),"n/a")</f>
        <v>n/a</v>
      </c>
      <c r="F35" s="33">
        <f>IFERROR(IF(OR(ABS(Inputs!F188)&lt;0.5,F34*Inputs!F188&lt;0),"n/m",F34/Inputs!F188-1),"n/a")</f>
        <v>0.15087524626916382</v>
      </c>
      <c r="G35" s="33">
        <f>IFERROR(IF(OR(ABS(Inputs!G188)&lt;0.5,G34*Inputs!G188&lt;0),"n/m",G34/Inputs!G188-1),"n/a")</f>
        <v>0.15087524626916382</v>
      </c>
      <c r="H35" s="19">
        <f>IFERROR(IF(OR(ABS(C34)&lt;0.5,H34*C34&lt;0),"n/m",H34/C34-1),"n/a")</f>
        <v>0.04519091348477522</v>
      </c>
      <c r="I35" s="19">
        <f>IFERROR(IF(OR(ABS(D34)&lt;0.5,I34*D34&lt;0),"n/m",I34/D34-1),"n/a")</f>
        <v>-0.03232879846698</v>
      </c>
      <c r="J35" s="46">
        <f>IFERROR(IF(OR(ABS(E34)&lt;0.5,J34*E34&lt;0),"n/m",J34/E34-1),"n/a")</f>
        <v>-0.06680396447419235</v>
      </c>
      <c r="K35" s="45"/>
    </row>
    <row r="36">
      <c r="B36" s="54" t="s">
        <v>118</v>
      </c>
      <c r="C36" s="4">
        <f>IFERROR(C34-Inputs!F188,"n/a")</f>
        <v>10.994</v>
      </c>
      <c r="D36" s="20">
        <f>IFERROR(D34-C34,"n/a")</f>
        <v>5.579000000000008</v>
      </c>
      <c r="E36" s="20">
        <f>IFERROR(E34-D34,"n/a")</f>
        <v>3.875</v>
      </c>
      <c r="F36" s="20">
        <f>IFERROR(F34-E34,"n/a")</f>
        <v>-7.123000000000005</v>
      </c>
      <c r="G36" s="20" t="s">
        <v>34</v>
      </c>
      <c r="H36" s="20">
        <f>IFERROR(H34-F34,"n/a")</f>
        <v>2.1569999999999965</v>
      </c>
      <c r="I36" s="20">
        <f>IFERROR(I34-H34,"n/a")</f>
        <v>-2.299999999999997</v>
      </c>
      <c r="J36" s="48">
        <f>IFERROR(J34-I34,"n/a")</f>
        <v>0</v>
      </c>
      <c r="K36" s="45"/>
    </row>
    <row r="37">
      <c r="B37" s="24" t="s">
        <v>381</v>
      </c>
      <c r="C37" s="60">
        <f>C19+C22+C25+C28+C31+C34</f>
        <v>5344.374</v>
      </c>
      <c r="D37" s="60">
        <f>D19+D22+D25+D28+D31+D34</f>
        <v>5373.6759999999995</v>
      </c>
      <c r="E37" s="60">
        <f>E19+E22+E25+E28+E31+E34</f>
        <v>5389.139999999999</v>
      </c>
      <c r="F37" s="60">
        <f>F19+F22+F25+F28+F31+F34</f>
        <v>5702.459</v>
      </c>
      <c r="G37" s="60">
        <f>G19+G22+G25+G28+G31+G34</f>
        <v>5702.459</v>
      </c>
      <c r="H37" s="60">
        <f>H19+H22+H25+H28+H31+H34</f>
        <v>5545.3</v>
      </c>
      <c r="I37" s="60">
        <f>I19+I22+I25+I28+I31+I34</f>
        <v>5602.5</v>
      </c>
      <c r="J37" s="50">
        <f>J19+J22+J25+J28+J31+J34</f>
        <v>5729.189864601118</v>
      </c>
      <c r="K37" s="45"/>
    </row>
    <row r="38">
      <c r="B38" s="49" t="s">
        <v>150</v>
      </c>
      <c r="C38" s="33" t="str">
        <f>IFERROR(IF(OR(ABS(Inputs!C196)&lt;0.5,C37*Inputs!C196&lt;0),"n/m",C37/Inputs!C196-1),"n/a")</f>
        <v>n/a</v>
      </c>
      <c r="D38" s="33" t="str">
        <f>IFERROR(IF(OR(ABS(Inputs!D196)&lt;0.5,D37*Inputs!D196&lt;0),"n/m",D37/Inputs!D196-1),"n/a")</f>
        <v>n/a</v>
      </c>
      <c r="E38" s="33" t="str">
        <f>IFERROR(IF(OR(ABS(Inputs!E196)&lt;0.5,E37*Inputs!E196&lt;0),"n/m",E37/Inputs!E196-1),"n/a")</f>
        <v>n/a</v>
      </c>
      <c r="F38" s="33">
        <f>IFERROR(IF(OR(ABS(Inputs!F196)&lt;0.5,F37*Inputs!F196&lt;0),"n/m",F37/Inputs!F196-1),"n/a")</f>
        <v>0.04719913307265022</v>
      </c>
      <c r="G38" s="33">
        <f>IFERROR(IF(OR(ABS(Inputs!G196)&lt;0.5,G37*Inputs!G196&lt;0),"n/m",G37/Inputs!G196-1),"n/a")</f>
        <v>0.04719913307265022</v>
      </c>
      <c r="H38" s="19">
        <f>IFERROR(IF(OR(ABS(C37)&lt;0.5,H37*C37&lt;0),"n/m",H37/C37-1),"n/a")</f>
        <v>0.0375957970007339</v>
      </c>
      <c r="I38" s="19">
        <f>IFERROR(IF(OR(ABS(D37)&lt;0.5,I37*D37&lt;0),"n/m",I37/D37-1),"n/a")</f>
        <v>0.04258239611022341</v>
      </c>
      <c r="J38" s="46">
        <f>IFERROR(IF(OR(ABS(E37)&lt;0.5,J37*E37&lt;0),"n/m",J37/E37-1),"n/a")</f>
        <v>0.06309909644231149</v>
      </c>
      <c r="K38" s="45"/>
    </row>
    <row r="39">
      <c r="B39" s="42" t="s">
        <v>118</v>
      </c>
      <c r="C39" s="4">
        <f>IFERROR(C37-Inputs!F196,"n/a")</f>
        <v>-101.06500000000051</v>
      </c>
      <c r="D39" s="20">
        <f>IFERROR(D37-C37,"n/a")</f>
        <v>29.30199999999968</v>
      </c>
      <c r="E39" s="20">
        <f>IFERROR(E37-D37,"n/a")</f>
        <v>15.463999999999942</v>
      </c>
      <c r="F39" s="20">
        <f>IFERROR(F37-E37,"n/a")</f>
        <v>313.3190000000004</v>
      </c>
      <c r="G39" s="20" t="s">
        <v>34</v>
      </c>
      <c r="H39" s="20">
        <f>IFERROR(H37-F37,"n/a")</f>
        <v>-157.15899999999965</v>
      </c>
      <c r="I39" s="20">
        <f>IFERROR(I37-H37,"n/a")</f>
        <v>57.19999999999982</v>
      </c>
      <c r="J39" s="48">
        <f>IFERROR(J37-I37,"n/a")</f>
        <v>126.68986460111773</v>
      </c>
      <c r="K39" s="45"/>
    </row>
    <row r="40">
      <c r="B40" s="24" t="s">
        <v>382</v>
      </c>
      <c r="C40" s="10"/>
      <c r="D40" s="10"/>
      <c r="E40" s="10"/>
      <c r="F40" s="10"/>
      <c r="G40" s="10"/>
      <c r="H40" s="10"/>
      <c r="I40" s="10"/>
      <c r="J40" s="51"/>
      <c r="K40" s="45"/>
    </row>
    <row r="41">
      <c r="B41" s="42" t="s">
        <v>383</v>
      </c>
      <c r="C41" s="12">
        <v>1082.542</v>
      </c>
      <c r="D41" s="12">
        <v>1060.335</v>
      </c>
      <c r="E41" s="12">
        <v>974.662</v>
      </c>
      <c r="F41" s="12">
        <v>1231.776</v>
      </c>
      <c r="G41" s="20">
        <f>F41</f>
        <v>1231.776</v>
      </c>
      <c r="H41" s="12">
        <v>1184</v>
      </c>
      <c r="I41" s="12">
        <v>1136.9</v>
      </c>
      <c r="J41" s="53">
        <v>1051.9</v>
      </c>
      <c r="K41" s="45" t="s">
        <v>384</v>
      </c>
    </row>
    <row r="42">
      <c r="B42" s="65" t="s">
        <v>150</v>
      </c>
      <c r="C42" s="33" t="str">
        <f>IFERROR(IF(OR(ABS(Inputs!C189)&lt;0.5,C41*Inputs!C189&lt;0),"n/m",C41/Inputs!C189-1),"n/a")</f>
        <v>n/a</v>
      </c>
      <c r="D42" s="33" t="str">
        <f>IFERROR(IF(OR(ABS(Inputs!D189)&lt;0.5,D41*Inputs!D189&lt;0),"n/m",D41/Inputs!D189-1),"n/a")</f>
        <v>n/a</v>
      </c>
      <c r="E42" s="33" t="str">
        <f>IFERROR(IF(OR(ABS(Inputs!E189)&lt;0.5,E41*Inputs!E189&lt;0),"n/m",E41/Inputs!E189-1),"n/a")</f>
        <v>n/a</v>
      </c>
      <c r="F42" s="33">
        <f>IFERROR(IF(OR(ABS(Inputs!F189)&lt;0.5,F41*Inputs!F189&lt;0),"n/m",F41/Inputs!F189-1),"n/a")</f>
        <v>0.09644897781156336</v>
      </c>
      <c r="G42" s="33">
        <f>IFERROR(IF(OR(ABS(Inputs!G189)&lt;0.5,G41*Inputs!G189&lt;0),"n/m",G41/Inputs!G189-1),"n/a")</f>
        <v>0.09644897781156336</v>
      </c>
      <c r="H42" s="19">
        <f>IFERROR(IF(OR(ABS(C41)&lt;0.5,H41*C41&lt;0),"n/m",H41/C41-1),"n/a")</f>
        <v>0.09372199877695286</v>
      </c>
      <c r="I42" s="19">
        <f>IFERROR(IF(OR(ABS(D41)&lt;0.5,I41*D41&lt;0),"n/m",I41/D41-1),"n/a")</f>
        <v>0.07220831152418805</v>
      </c>
      <c r="J42" s="46">
        <f>IFERROR(IF(OR(ABS(E41)&lt;0.5,J41*E41&lt;0),"n/m",J41/E41-1),"n/a")</f>
        <v>0.07924593346206188</v>
      </c>
      <c r="K42" s="45"/>
    </row>
    <row r="43">
      <c r="B43" s="54" t="s">
        <v>118</v>
      </c>
      <c r="C43" s="4">
        <f>IFERROR(C41-Inputs!F189,"n/a")</f>
        <v>-40.881000000000085</v>
      </c>
      <c r="D43" s="20">
        <f>IFERROR(D41-C41,"n/a")</f>
        <v>-22.20699999999988</v>
      </c>
      <c r="E43" s="20">
        <f>IFERROR(E41-D41,"n/a")</f>
        <v>-85.673</v>
      </c>
      <c r="F43" s="20">
        <f>IFERROR(F41-E41,"n/a")</f>
        <v>257.11400000000003</v>
      </c>
      <c r="G43" s="20" t="s">
        <v>34</v>
      </c>
      <c r="H43" s="20">
        <f>IFERROR(H41-F41,"n/a")</f>
        <v>-47.77600000000007</v>
      </c>
      <c r="I43" s="20">
        <f>IFERROR(I41-H41,"n/a")</f>
        <v>-47.09999999999991</v>
      </c>
      <c r="J43" s="48">
        <f>IFERROR(J41-I41,"n/a")</f>
        <v>-85</v>
      </c>
      <c r="K43" s="45"/>
    </row>
    <row r="44">
      <c r="B44" s="42" t="s">
        <v>385</v>
      </c>
      <c r="C44" s="12">
        <v>383.786</v>
      </c>
      <c r="D44" s="12">
        <v>409.848</v>
      </c>
      <c r="E44" s="12">
        <v>509.575</v>
      </c>
      <c r="F44" s="12">
        <v>597.937</v>
      </c>
      <c r="G44" s="20">
        <f>F44</f>
        <v>597.937</v>
      </c>
      <c r="H44" s="12">
        <v>429.2</v>
      </c>
      <c r="I44" s="12">
        <v>468.8</v>
      </c>
      <c r="J44" s="53">
        <v>563.8</v>
      </c>
      <c r="K44" s="45" t="s">
        <v>386</v>
      </c>
    </row>
    <row r="45">
      <c r="B45" s="65" t="s">
        <v>150</v>
      </c>
      <c r="C45" s="33" t="str">
        <f>IFERROR(IF(OR(ABS(Inputs!C190)&lt;0.5,C44*Inputs!C190&lt;0),"n/m",C44/Inputs!C190-1),"n/a")</f>
        <v>n/a</v>
      </c>
      <c r="D45" s="33" t="str">
        <f>IFERROR(IF(OR(ABS(Inputs!D190)&lt;0.5,D44*Inputs!D190&lt;0),"n/m",D44/Inputs!D190-1),"n/a")</f>
        <v>n/a</v>
      </c>
      <c r="E45" s="33" t="str">
        <f>IFERROR(IF(OR(ABS(Inputs!E190)&lt;0.5,E44*Inputs!E190&lt;0),"n/m",E44/Inputs!E190-1),"n/a")</f>
        <v>n/a</v>
      </c>
      <c r="F45" s="33">
        <f>IFERROR(IF(OR(ABS(Inputs!F190)&lt;0.5,F44*Inputs!F190&lt;0),"n/m",F44/Inputs!F190-1),"n/a")</f>
        <v>0.2935891361678469</v>
      </c>
      <c r="G45" s="33">
        <f>IFERROR(IF(OR(ABS(Inputs!G190)&lt;0.5,G44*Inputs!G190&lt;0),"n/m",G44/Inputs!G190-1),"n/a")</f>
        <v>0.2935891361678469</v>
      </c>
      <c r="H45" s="19">
        <f>IFERROR(IF(OR(ABS(C44)&lt;0.5,H44*C44&lt;0),"n/m",H44/C44-1),"n/a")</f>
        <v>0.1183315701979748</v>
      </c>
      <c r="I45" s="19">
        <f>IFERROR(IF(OR(ABS(D44)&lt;0.5,I44*D44&lt;0),"n/m",I44/D44-1),"n/a")</f>
        <v>0.14383869141730599</v>
      </c>
      <c r="J45" s="46">
        <f>IFERROR(IF(OR(ABS(E44)&lt;0.5,J44*E44&lt;0),"n/m",J44/E44-1),"n/a")</f>
        <v>0.10641220625030656</v>
      </c>
      <c r="K45" s="45"/>
    </row>
    <row r="46">
      <c r="B46" s="54" t="s">
        <v>118</v>
      </c>
      <c r="C46" s="4">
        <f>IFERROR(C44-Inputs!F190,"n/a")</f>
        <v>-78.445</v>
      </c>
      <c r="D46" s="20">
        <f>IFERROR(D44-C44,"n/a")</f>
        <v>26.062000000000012</v>
      </c>
      <c r="E46" s="20">
        <f>IFERROR(E44-D44,"n/a")</f>
        <v>99.72699999999998</v>
      </c>
      <c r="F46" s="20">
        <f>IFERROR(F44-E44,"n/a")</f>
        <v>88.36200000000002</v>
      </c>
      <c r="G46" s="20" t="s">
        <v>34</v>
      </c>
      <c r="H46" s="20">
        <f>IFERROR(H44-F44,"n/a")</f>
        <v>-168.73700000000002</v>
      </c>
      <c r="I46" s="20">
        <f>IFERROR(I44-H44,"n/a")</f>
        <v>39.60000000000002</v>
      </c>
      <c r="J46" s="48">
        <f>IFERROR(J44-I44,"n/a")</f>
        <v>94.99999999999994</v>
      </c>
      <c r="K46" s="45"/>
    </row>
    <row r="47">
      <c r="B47" s="24" t="s">
        <v>387</v>
      </c>
      <c r="C47" s="60">
        <f>C41+C44</f>
        <v>1466.328</v>
      </c>
      <c r="D47" s="60">
        <f>D41+D44</f>
        <v>1470.183</v>
      </c>
      <c r="E47" s="60">
        <f>E41+E44</f>
        <v>1484.237</v>
      </c>
      <c r="F47" s="60">
        <f>F41+F44</f>
        <v>1829.7130000000002</v>
      </c>
      <c r="G47" s="60">
        <f>G41+G44</f>
        <v>1829.7130000000002</v>
      </c>
      <c r="H47" s="60">
        <f>H41+H44</f>
        <v>1613.2</v>
      </c>
      <c r="I47" s="60">
        <f>I41+I44</f>
        <v>1605.7</v>
      </c>
      <c r="J47" s="50">
        <f>J41+J44</f>
        <v>1615.7</v>
      </c>
      <c r="K47" s="45"/>
    </row>
    <row r="48">
      <c r="B48" s="49" t="s">
        <v>150</v>
      </c>
      <c r="C48" s="33" t="str">
        <f>IFERROR(IF(OR(ABS(Inputs!C197)&lt;0.5,C47*Inputs!C197&lt;0),"n/m",C47/Inputs!C197-1),"n/a")</f>
        <v>n/a</v>
      </c>
      <c r="D48" s="33" t="str">
        <f>IFERROR(IF(OR(ABS(Inputs!D197)&lt;0.5,D47*Inputs!D197&lt;0),"n/m",D47/Inputs!D197-1),"n/a")</f>
        <v>n/a</v>
      </c>
      <c r="E48" s="33" t="str">
        <f>IFERROR(IF(OR(ABS(Inputs!E197)&lt;0.5,E47*Inputs!E197&lt;0),"n/m",E47/Inputs!E197-1),"n/a")</f>
        <v>n/a</v>
      </c>
      <c r="F48" s="33">
        <f>IFERROR(IF(OR(ABS(Inputs!F197)&lt;0.5,F47*Inputs!F197&lt;0),"n/m",F47/Inputs!F197-1),"n/a")</f>
        <v>0.15391693269780182</v>
      </c>
      <c r="G48" s="33">
        <f>IFERROR(IF(OR(ABS(Inputs!G197)&lt;0.5,G47*Inputs!G197&lt;0),"n/m",G47/Inputs!G197-1),"n/a")</f>
        <v>0.15391693269780182</v>
      </c>
      <c r="H48" s="19">
        <f>IFERROR(IF(OR(ABS(C47)&lt;0.5,H47*C47&lt;0),"n/m",H47/C47-1),"n/a")</f>
        <v>0.10016312857696241</v>
      </c>
      <c r="I48" s="19">
        <f>IFERROR(IF(OR(ABS(D47)&lt;0.5,I47*D47&lt;0),"n/m",I47/D47-1),"n/a")</f>
        <v>0.09217696028317568</v>
      </c>
      <c r="J48" s="46">
        <f>IFERROR(IF(OR(ABS(E47)&lt;0.5,J47*E47&lt;0),"n/m",J47/E47-1),"n/a")</f>
        <v>0.08857278184009698</v>
      </c>
      <c r="K48" s="45"/>
    </row>
    <row r="49">
      <c r="B49" s="42" t="s">
        <v>118</v>
      </c>
      <c r="C49" s="4">
        <f>IFERROR(C47-Inputs!F197,"n/a")</f>
        <v>-119.32600000000002</v>
      </c>
      <c r="D49" s="20">
        <f>IFERROR(D47-C47,"n/a")</f>
        <v>3.855000000000018</v>
      </c>
      <c r="E49" s="20">
        <f>IFERROR(E47-D47,"n/a")</f>
        <v>14.054000000000087</v>
      </c>
      <c r="F49" s="20">
        <f>IFERROR(F47-E47,"n/a")</f>
        <v>345.4760000000001</v>
      </c>
      <c r="G49" s="20" t="s">
        <v>34</v>
      </c>
      <c r="H49" s="20">
        <f>IFERROR(H47-F47,"n/a")</f>
        <v>-216.51300000000015</v>
      </c>
      <c r="I49" s="20">
        <f>IFERROR(I47-H47,"n/a")</f>
        <v>-7.5</v>
      </c>
      <c r="J49" s="48">
        <f>IFERROR(J47-I47,"n/a")</f>
        <v>10</v>
      </c>
      <c r="K49" s="45"/>
    </row>
    <row r="50">
      <c r="B50" s="42" t="s">
        <v>388</v>
      </c>
      <c r="C50" s="12">
        <v>4546.859</v>
      </c>
      <c r="D50" s="12">
        <v>4513.028</v>
      </c>
      <c r="E50" s="12">
        <v>5507.771</v>
      </c>
      <c r="F50" s="12">
        <v>6202.286</v>
      </c>
      <c r="G50" s="20">
        <f>F50</f>
        <v>6202.286</v>
      </c>
      <c r="H50" s="12">
        <v>6403.8</v>
      </c>
      <c r="I50" s="12">
        <v>6380.4</v>
      </c>
      <c r="J50" s="61">
        <f>I50+'Cash Flow Statement'!J64+'Cash Flow Statement'!J61</f>
        <v>6530.4</v>
      </c>
      <c r="K50" s="45" t="s">
        <v>389</v>
      </c>
    </row>
    <row r="51">
      <c r="B51" s="65" t="s">
        <v>150</v>
      </c>
      <c r="C51" s="33" t="str">
        <f>IFERROR(IF(OR(ABS(Inputs!C191)&lt;0.5,C50*Inputs!C191&lt;0),"n/m",C50/Inputs!C191-1),"n/a")</f>
        <v>n/a</v>
      </c>
      <c r="D51" s="33" t="str">
        <f>IFERROR(IF(OR(ABS(Inputs!D191)&lt;0.5,D50*Inputs!D191&lt;0),"n/m",D50/Inputs!D191-1),"n/a")</f>
        <v>n/a</v>
      </c>
      <c r="E51" s="33" t="str">
        <f>IFERROR(IF(OR(ABS(Inputs!E191)&lt;0.5,E50*Inputs!E191&lt;0),"n/m",E50/Inputs!E191-1),"n/a")</f>
        <v>n/a</v>
      </c>
      <c r="F51" s="33">
        <f>IFERROR(IF(OR(ABS(Inputs!F191)&lt;0.5,F50*Inputs!F191&lt;0),"n/m",F50/Inputs!F191-1),"n/a")</f>
        <v>0.3749809347133646</v>
      </c>
      <c r="G51" s="33">
        <f>IFERROR(IF(OR(ABS(Inputs!G191)&lt;0.5,G50*Inputs!G191&lt;0),"n/m",G50/Inputs!G191-1),"n/a")</f>
        <v>0.3749809347133646</v>
      </c>
      <c r="H51" s="19">
        <f>IFERROR(IF(OR(ABS(C50)&lt;0.5,H50*C50&lt;0),"n/m",H50/C50-1),"n/a")</f>
        <v>0.4084008323108326</v>
      </c>
      <c r="I51" s="19">
        <f>IFERROR(IF(OR(ABS(D50)&lt;0.5,I50*D50&lt;0),"n/m",I50/D50-1),"n/a")</f>
        <v>0.4137736349076495</v>
      </c>
      <c r="J51" s="46">
        <f>IFERROR(IF(OR(ABS(E50)&lt;0.5,J50*E50&lt;0),"n/m",J50/E50-1),"n/a")</f>
        <v>0.18567021032646425</v>
      </c>
      <c r="K51" s="45"/>
    </row>
    <row r="52">
      <c r="B52" s="54" t="s">
        <v>118</v>
      </c>
      <c r="C52" s="4">
        <f>IFERROR(C50-Inputs!F191,"n/a")</f>
        <v>36.043000000000575</v>
      </c>
      <c r="D52" s="20">
        <f>IFERROR(D50-C50,"n/a")</f>
        <v>-33.83100000000013</v>
      </c>
      <c r="E52" s="20">
        <f>IFERROR(E50-D50,"n/a")</f>
        <v>994.7429999999995</v>
      </c>
      <c r="F52" s="20">
        <f>IFERROR(F50-E50,"n/a")</f>
        <v>694.5150000000003</v>
      </c>
      <c r="G52" s="20" t="s">
        <v>34</v>
      </c>
      <c r="H52" s="20">
        <f>IFERROR(H50-F50,"n/a")</f>
        <v>201.51400000000012</v>
      </c>
      <c r="I52" s="20">
        <f>IFERROR(I50-H50,"n/a")</f>
        <v>-23.400000000000546</v>
      </c>
      <c r="J52" s="48">
        <f>IFERROR(J50-I50,"n/a")</f>
        <v>150</v>
      </c>
      <c r="K52" s="45"/>
    </row>
    <row r="53">
      <c r="B53" s="42" t="s">
        <v>390</v>
      </c>
      <c r="C53" s="12">
        <v>118.446</v>
      </c>
      <c r="D53" s="12">
        <v>115.401</v>
      </c>
      <c r="E53" s="12">
        <v>111.742</v>
      </c>
      <c r="F53" s="12">
        <v>107.531</v>
      </c>
      <c r="G53" s="20">
        <f>F53</f>
        <v>107.531</v>
      </c>
      <c r="H53" s="12">
        <v>143.9</v>
      </c>
      <c r="I53" s="12">
        <v>138.9</v>
      </c>
      <c r="J53" s="53">
        <v>131.9</v>
      </c>
      <c r="K53" s="45" t="s">
        <v>284</v>
      </c>
    </row>
    <row r="54">
      <c r="B54" s="65" t="s">
        <v>150</v>
      </c>
      <c r="C54" s="33" t="str">
        <f>IFERROR(IF(OR(ABS(Inputs!C192)&lt;0.5,C53*Inputs!C192&lt;0),"n/m",C53/Inputs!C192-1),"n/a")</f>
        <v>n/a</v>
      </c>
      <c r="D54" s="33" t="str">
        <f>IFERROR(IF(OR(ABS(Inputs!D192)&lt;0.5,D53*Inputs!D192&lt;0),"n/m",D53/Inputs!D192-1),"n/a")</f>
        <v>n/a</v>
      </c>
      <c r="E54" s="33" t="str">
        <f>IFERROR(IF(OR(ABS(Inputs!E192)&lt;0.5,E53*Inputs!E192&lt;0),"n/m",E53/Inputs!E192-1),"n/a")</f>
        <v>n/a</v>
      </c>
      <c r="F54" s="33">
        <f>IFERROR(IF(OR(ABS(Inputs!F192)&lt;0.5,F53*Inputs!F192&lt;0),"n/m",F53/Inputs!F192-1),"n/a")</f>
        <v>-0.11243634082523746</v>
      </c>
      <c r="G54" s="33">
        <f>IFERROR(IF(OR(ABS(Inputs!G192)&lt;0.5,G53*Inputs!G192&lt;0),"n/m",G53/Inputs!G192-1),"n/a")</f>
        <v>-0.11243634082523746</v>
      </c>
      <c r="H54" s="19">
        <f>IFERROR(IF(OR(ABS(C53)&lt;0.5,H53*C53&lt;0),"n/m",H53/C53-1),"n/a")</f>
        <v>0.2148996167029702</v>
      </c>
      <c r="I54" s="19">
        <f>IFERROR(IF(OR(ABS(D53)&lt;0.5,I53*D53&lt;0),"n/m",I53/D53-1),"n/a")</f>
        <v>0.20362908466997687</v>
      </c>
      <c r="J54" s="46">
        <f>IFERROR(IF(OR(ABS(E53)&lt;0.5,J53*E53&lt;0),"n/m",J53/E53-1),"n/a")</f>
        <v>0.18039770184890203</v>
      </c>
      <c r="K54" s="45"/>
    </row>
    <row r="55">
      <c r="B55" s="54" t="s">
        <v>118</v>
      </c>
      <c r="C55" s="4">
        <f>IFERROR(C53-Inputs!F192,"n/a")</f>
        <v>-2.707000000000008</v>
      </c>
      <c r="D55" s="20">
        <f>IFERROR(D53-C53,"n/a")</f>
        <v>-3.0450000000000017</v>
      </c>
      <c r="E55" s="20">
        <f>IFERROR(E53-D53,"n/a")</f>
        <v>-3.658999999999992</v>
      </c>
      <c r="F55" s="20">
        <f>IFERROR(F53-E53,"n/a")</f>
        <v>-4.2109999999999985</v>
      </c>
      <c r="G55" s="20" t="s">
        <v>34</v>
      </c>
      <c r="H55" s="20">
        <f>IFERROR(H53-F53,"n/a")</f>
        <v>36.369</v>
      </c>
      <c r="I55" s="20">
        <f>IFERROR(I53-H53,"n/a")</f>
        <v>-5</v>
      </c>
      <c r="J55" s="48">
        <f>IFERROR(J53-I53,"n/a")</f>
        <v>-7</v>
      </c>
      <c r="K55" s="45"/>
    </row>
    <row r="56">
      <c r="B56" s="42" t="s">
        <v>391</v>
      </c>
      <c r="C56" s="12">
        <v>171.311</v>
      </c>
      <c r="D56" s="12">
        <v>161.272</v>
      </c>
      <c r="E56" s="12">
        <v>201.365</v>
      </c>
      <c r="F56" s="12">
        <v>217.469</v>
      </c>
      <c r="G56" s="20">
        <f>F56</f>
        <v>217.469</v>
      </c>
      <c r="H56" s="12">
        <v>158.5</v>
      </c>
      <c r="I56" s="12">
        <v>167</v>
      </c>
      <c r="J56" s="53">
        <v>167</v>
      </c>
      <c r="K56" s="45" t="s">
        <v>380</v>
      </c>
    </row>
    <row r="57">
      <c r="B57" s="65" t="s">
        <v>150</v>
      </c>
      <c r="C57" s="33" t="str">
        <f>IFERROR(IF(OR(ABS(Inputs!C193)&lt;0.5,C56*Inputs!C193&lt;0),"n/m",C56/Inputs!C193-1),"n/a")</f>
        <v>n/a</v>
      </c>
      <c r="D57" s="33" t="str">
        <f>IFERROR(IF(OR(ABS(Inputs!D193)&lt;0.5,D56*Inputs!D193&lt;0),"n/m",D56/Inputs!D193-1),"n/a")</f>
        <v>n/a</v>
      </c>
      <c r="E57" s="33" t="str">
        <f>IFERROR(IF(OR(ABS(Inputs!E193)&lt;0.5,E56*Inputs!E193&lt;0),"n/m",E56/Inputs!E193-1),"n/a")</f>
        <v>n/a</v>
      </c>
      <c r="F57" s="33">
        <f>IFERROR(IF(OR(ABS(Inputs!F193)&lt;0.5,F56*Inputs!F193&lt;0),"n/m",F56/Inputs!F193-1),"n/a")</f>
        <v>0.29590079433655325</v>
      </c>
      <c r="G57" s="33">
        <f>IFERROR(IF(OR(ABS(Inputs!G193)&lt;0.5,G56*Inputs!G193&lt;0),"n/m",G56/Inputs!G193-1),"n/a")</f>
        <v>0.29590079433655325</v>
      </c>
      <c r="H57" s="19">
        <f>IFERROR(IF(OR(ABS(C56)&lt;0.5,H56*C56&lt;0),"n/m",H56/C56-1),"n/a")</f>
        <v>-0.07478212140493024</v>
      </c>
      <c r="I57" s="19">
        <f>IFERROR(IF(OR(ABS(D56)&lt;0.5,I56*D56&lt;0),"n/m",I56/D56-1),"n/a")</f>
        <v>0.035517634803313713</v>
      </c>
      <c r="J57" s="46">
        <f>IFERROR(IF(OR(ABS(E56)&lt;0.5,J56*E56&lt;0),"n/m",J56/E56-1),"n/a")</f>
        <v>-0.17066024383582057</v>
      </c>
      <c r="K57" s="45"/>
    </row>
    <row r="58">
      <c r="B58" s="54" t="s">
        <v>118</v>
      </c>
      <c r="C58" s="4">
        <f>IFERROR(C56-Inputs!F193,"n/a")</f>
        <v>3.498000000000019</v>
      </c>
      <c r="D58" s="20">
        <f>IFERROR(D56-C56,"n/a")</f>
        <v>-10.039000000000016</v>
      </c>
      <c r="E58" s="20">
        <f>IFERROR(E56-D56,"n/a")</f>
        <v>40.09300000000002</v>
      </c>
      <c r="F58" s="20">
        <f>IFERROR(F56-E56,"n/a")</f>
        <v>16.103999999999985</v>
      </c>
      <c r="G58" s="20" t="s">
        <v>34</v>
      </c>
      <c r="H58" s="20">
        <f>IFERROR(H56-F56,"n/a")</f>
        <v>-58.968999999999994</v>
      </c>
      <c r="I58" s="20">
        <f>IFERROR(I56-H56,"n/a")</f>
        <v>8.5</v>
      </c>
      <c r="J58" s="48">
        <f>IFERROR(J56-I56,"n/a")</f>
        <v>0</v>
      </c>
      <c r="K58" s="45"/>
    </row>
    <row r="59">
      <c r="B59" s="24" t="s">
        <v>392</v>
      </c>
      <c r="C59" s="60">
        <f>C47+C50+C53+C56</f>
        <v>6302.9439999999995</v>
      </c>
      <c r="D59" s="60">
        <f>D47+D50+D53+D56</f>
        <v>6259.884</v>
      </c>
      <c r="E59" s="60">
        <f>E47+E50+E53+E56</f>
        <v>7305.115</v>
      </c>
      <c r="F59" s="60">
        <f>F47+F50+F53+F56</f>
        <v>8356.999</v>
      </c>
      <c r="G59" s="60">
        <f>G47+G50+G53+G56</f>
        <v>8356.999</v>
      </c>
      <c r="H59" s="60">
        <f>H47+H50+H53+H56</f>
        <v>8319.4</v>
      </c>
      <c r="I59" s="60">
        <f>I47+I50+I53+I56</f>
        <v>8292</v>
      </c>
      <c r="J59" s="50">
        <f>J47+J50+J53+J56</f>
        <v>8445</v>
      </c>
      <c r="K59" s="45"/>
    </row>
    <row r="60">
      <c r="B60" s="49" t="s">
        <v>150</v>
      </c>
      <c r="C60" s="33" t="str">
        <f>IFERROR(IF(OR(ABS(Inputs!C198)&lt;0.5,C59*Inputs!C198&lt;0),"n/m",C59/Inputs!C198-1),"n/a")</f>
        <v>n/a</v>
      </c>
      <c r="D60" s="33" t="str">
        <f>IFERROR(IF(OR(ABS(Inputs!D198)&lt;0.5,D59*Inputs!D198&lt;0),"n/m",D59/Inputs!D198-1),"n/a")</f>
        <v>n/a</v>
      </c>
      <c r="E60" s="33" t="str">
        <f>IFERROR(IF(OR(ABS(Inputs!E198)&lt;0.5,E59*Inputs!E198&lt;0),"n/m",E59/Inputs!E198-1),"n/a")</f>
        <v>n/a</v>
      </c>
      <c r="F60" s="33">
        <f>IFERROR(IF(OR(ABS(Inputs!F198)&lt;0.5,F59*Inputs!F198&lt;0),"n/m",F59/Inputs!F198-1),"n/a")</f>
        <v>0.3087593392213155</v>
      </c>
      <c r="G60" s="33">
        <f>IFERROR(IF(OR(ABS(Inputs!G198)&lt;0.5,G59*Inputs!G198&lt;0),"n/m",G59/Inputs!G198-1),"n/a")</f>
        <v>0.3087593392213155</v>
      </c>
      <c r="H60" s="19">
        <f>IFERROR(IF(OR(ABS(C59)&lt;0.5,H59*C59&lt;0),"n/m",H59/C59-1),"n/a")</f>
        <v>0.3199228804825174</v>
      </c>
      <c r="I60" s="19">
        <f>IFERROR(IF(OR(ABS(D59)&lt;0.5,I59*D59&lt;0),"n/m",I59/D59-1),"n/a")</f>
        <v>0.3246251847478323</v>
      </c>
      <c r="J60" s="46">
        <f>IFERROR(IF(OR(ABS(E59)&lt;0.5,J59*E59&lt;0),"n/m",J59/E59-1),"n/a")</f>
        <v>0.15603929575372866</v>
      </c>
      <c r="K60" s="45"/>
    </row>
    <row r="61">
      <c r="B61" s="42" t="s">
        <v>118</v>
      </c>
      <c r="C61" s="4">
        <f>IFERROR(C59-Inputs!F198,"n/a")</f>
        <v>-82.49200000000019</v>
      </c>
      <c r="D61" s="20">
        <f>IFERROR(D59-C59,"n/a")</f>
        <v>-43.05999999999949</v>
      </c>
      <c r="E61" s="20">
        <f>IFERROR(E59-D59,"n/a")</f>
        <v>1045.2309999999998</v>
      </c>
      <c r="F61" s="20">
        <f>IFERROR(F59-E59,"n/a")</f>
        <v>1051.884</v>
      </c>
      <c r="G61" s="20" t="s">
        <v>34</v>
      </c>
      <c r="H61" s="20">
        <f>IFERROR(H59-F59,"n/a")</f>
        <v>-37.59900000000016</v>
      </c>
      <c r="I61" s="20">
        <f>IFERROR(I59-H59,"n/a")</f>
        <v>-27.399999999999636</v>
      </c>
      <c r="J61" s="48">
        <f>IFERROR(J59-I59,"n/a")</f>
        <v>153</v>
      </c>
      <c r="K61" s="45"/>
    </row>
    <row r="62">
      <c r="B62" s="24" t="s">
        <v>393</v>
      </c>
      <c r="C62" s="10"/>
      <c r="D62" s="10"/>
      <c r="E62" s="10"/>
      <c r="F62" s="10"/>
      <c r="G62" s="10"/>
      <c r="H62" s="10"/>
      <c r="I62" s="10"/>
      <c r="J62" s="51"/>
      <c r="K62" s="45"/>
    </row>
    <row r="63">
      <c r="B63" s="24" t="s">
        <v>393</v>
      </c>
      <c r="C63" s="44">
        <v>-958.57</v>
      </c>
      <c r="D63" s="44">
        <v>-886.208</v>
      </c>
      <c r="E63" s="44">
        <v>-1915.975</v>
      </c>
      <c r="F63" s="44">
        <v>-2654.54</v>
      </c>
      <c r="G63" s="60">
        <f>F63</f>
        <v>-2654.54</v>
      </c>
      <c r="H63" s="44">
        <v>-2774.1</v>
      </c>
      <c r="I63" s="44">
        <v>-2689.5</v>
      </c>
      <c r="J63" s="72">
        <f>I63+'Cash Flow Statement'!J10+'Cash Flow Statement'!J16+'Cash Flow Statement'!J58+'Cash Flow Statement'!J55+'Cash Flow Statement'!J70</f>
        <v>-2715.8101353988823</v>
      </c>
      <c r="K63" s="45" t="s">
        <v>394</v>
      </c>
    </row>
    <row r="64">
      <c r="B64" s="49" t="s">
        <v>150</v>
      </c>
      <c r="C64" s="33" t="str">
        <f>IFERROR(IF(OR(ABS(Inputs!C194)&lt;0.5,C63*Inputs!C194&lt;0),"n/m",C63/Inputs!C194-1),"n/a")</f>
        <v>n/a</v>
      </c>
      <c r="D64" s="33" t="str">
        <f>IFERROR(IF(OR(ABS(Inputs!D194)&lt;0.5,D63*Inputs!D194&lt;0),"n/m",D63/Inputs!D194-1),"n/a")</f>
        <v>n/a</v>
      </c>
      <c r="E64" s="33" t="str">
        <f>IFERROR(IF(OR(ABS(Inputs!E194)&lt;0.5,E63*Inputs!E194&lt;0),"n/m",E63/Inputs!E194-1),"n/a")</f>
        <v>n/a</v>
      </c>
      <c r="F64" s="33">
        <f>IFERROR(IF(OR(ABS(Inputs!F194)&lt;0.5,F63*Inputs!F194&lt;0),"n/m",F63/Inputs!F194-1),"n/a")</f>
        <v>1.8239877361310728</v>
      </c>
      <c r="G64" s="33">
        <f>IFERROR(IF(OR(ABS(Inputs!G194)&lt;0.5,G63*Inputs!G194&lt;0),"n/m",G63/Inputs!G194-1),"n/a")</f>
        <v>1.8239877361310728</v>
      </c>
      <c r="H64" s="19">
        <f>IFERROR(IF(OR(ABS(C63)&lt;0.5,H63*C63&lt;0),"n/m",H63/C63-1),"n/a")</f>
        <v>1.8939983517114034</v>
      </c>
      <c r="I64" s="19">
        <f>IFERROR(IF(OR(ABS(D63)&lt;0.5,I63*D63&lt;0),"n/m",I63/D63-1),"n/a")</f>
        <v>2.0348405791868274</v>
      </c>
      <c r="J64" s="46">
        <f>IFERROR(IF(OR(ABS(E63)&lt;0.5,J63*E63&lt;0),"n/m",J63/E63-1),"n/a")</f>
        <v>0.41745593517602386</v>
      </c>
      <c r="K64" s="45"/>
    </row>
    <row r="65">
      <c r="B65" s="42" t="s">
        <v>118</v>
      </c>
      <c r="C65" s="4">
        <f>IFERROR(C63-Inputs!F194,"n/a")</f>
        <v>-18.573000000000093</v>
      </c>
      <c r="D65" s="20">
        <f>IFERROR(D63-C63,"n/a")</f>
        <v>72.36200000000008</v>
      </c>
      <c r="E65" s="20">
        <f>IFERROR(E63-D63,"n/a")</f>
        <v>-1029.7669999999998</v>
      </c>
      <c r="F65" s="20">
        <f>IFERROR(F63-E63,"n/a")</f>
        <v>-738.565</v>
      </c>
      <c r="G65" s="20" t="s">
        <v>34</v>
      </c>
      <c r="H65" s="20">
        <f>IFERROR(H63-F63,"n/a")</f>
        <v>-119.55999999999995</v>
      </c>
      <c r="I65" s="20">
        <f>IFERROR(I63-H63,"n/a")</f>
        <v>84.59999999999991</v>
      </c>
      <c r="J65" s="48">
        <f>IFERROR(J63-I63,"n/a")</f>
        <v>-26.310135398882267</v>
      </c>
      <c r="K65" s="45"/>
    </row>
    <row r="66">
      <c r="B66" s="24" t="s">
        <v>395</v>
      </c>
      <c r="C66" s="60">
        <f>C59+C63</f>
        <v>5344.374</v>
      </c>
      <c r="D66" s="60">
        <f>D59+D63</f>
        <v>5373.676</v>
      </c>
      <c r="E66" s="60">
        <f>E59+E63</f>
        <v>5389.139999999999</v>
      </c>
      <c r="F66" s="60">
        <f>F59+F63</f>
        <v>5702.459</v>
      </c>
      <c r="G66" s="60">
        <f>G59+G63</f>
        <v>5702.459</v>
      </c>
      <c r="H66" s="60">
        <f>H59+H63</f>
        <v>5545.299999999999</v>
      </c>
      <c r="I66" s="60">
        <f>I59+I63</f>
        <v>5602.5</v>
      </c>
      <c r="J66" s="50">
        <f>J59+J63</f>
        <v>5729.189864601118</v>
      </c>
      <c r="K66" s="45"/>
    </row>
    <row r="67">
      <c r="B67" s="2" t="s">
        <v>396</v>
      </c>
      <c r="C67" s="20">
        <f>C37-C59-C63</f>
        <v>0</v>
      </c>
      <c r="D67" s="20">
        <f>D37-D59-D63</f>
        <v>0</v>
      </c>
      <c r="E67" s="20">
        <f>E37-E59-E63</f>
        <v>0</v>
      </c>
      <c r="F67" s="20">
        <f>F37-F59-F63</f>
        <v>0</v>
      </c>
      <c r="G67" s="20">
        <f>G37-G59-G63</f>
        <v>0</v>
      </c>
      <c r="H67" s="20">
        <f>H37-H59-H63</f>
        <v>0</v>
      </c>
      <c r="I67" s="20">
        <f>I37-I59-I63</f>
        <v>0</v>
      </c>
      <c r="J67" s="48">
        <f>J37-J59-J63</f>
        <v>0</v>
      </c>
      <c r="K67" s="45"/>
    </row>
    <row r="68">
      <c r="B68" s="24" t="s">
        <v>397</v>
      </c>
      <c r="C68" s="70" t="b">
        <f>ABS(C67)&lt;0.001</f>
        <v>1</v>
      </c>
      <c r="D68" s="70" t="b">
        <f>ABS(D67)&lt;0.001</f>
        <v>1</v>
      </c>
      <c r="E68" s="70" t="b">
        <f>ABS(E67)&lt;0.001</f>
        <v>1</v>
      </c>
      <c r="F68" s="70" t="b">
        <f>ABS(F67)&lt;0.001</f>
        <v>1</v>
      </c>
      <c r="G68" s="70" t="b">
        <f>ABS(G67)&lt;0.001</f>
        <v>1</v>
      </c>
      <c r="H68" s="70" t="b">
        <f>ABS(H67)&lt;0.001</f>
        <v>1</v>
      </c>
      <c r="I68" s="70" t="b">
        <f>ABS(I67)&lt;0.001</f>
        <v>1</v>
      </c>
      <c r="J68" s="66" t="b">
        <f>ABS(J67)&lt;0.001</f>
        <v>1</v>
      </c>
      <c r="K68" s="45"/>
    </row>
    <row r="69">
      <c r="B69" s="24" t="s">
        <v>398</v>
      </c>
      <c r="C69" s="10"/>
      <c r="D69" s="10"/>
      <c r="E69" s="10"/>
      <c r="F69" s="10"/>
      <c r="G69" s="10"/>
      <c r="H69" s="10"/>
      <c r="I69" s="10"/>
      <c r="J69" s="51"/>
      <c r="K69" s="45"/>
    </row>
    <row r="70">
      <c r="B70" s="2" t="s">
        <v>399</v>
      </c>
      <c r="C70" s="20" t="s">
        <v>34</v>
      </c>
      <c r="D70" s="20" t="s">
        <v>34</v>
      </c>
      <c r="E70" s="20" t="s">
        <v>34</v>
      </c>
      <c r="F70" s="20" t="s">
        <v>34</v>
      </c>
      <c r="G70" s="20" t="s">
        <v>34</v>
      </c>
      <c r="H70" s="20" t="s">
        <v>34</v>
      </c>
      <c r="I70" s="20" t="s">
        <v>34</v>
      </c>
      <c r="J70" s="53">
        <v>50</v>
      </c>
      <c r="K70" s="45" t="s">
        <v>400</v>
      </c>
    </row>
    <row r="71">
      <c r="B71" s="2" t="s">
        <v>401</v>
      </c>
      <c r="C71" s="20">
        <f>C50-C10</f>
        <v>4186.188</v>
      </c>
      <c r="D71" s="20">
        <f>D50-D10</f>
        <v>4165.71</v>
      </c>
      <c r="E71" s="20">
        <f>E50-E10</f>
        <v>5107.682</v>
      </c>
      <c r="F71" s="20">
        <f>F50-F10</f>
        <v>5686.954</v>
      </c>
      <c r="G71" s="20">
        <f>G50-G10</f>
        <v>5686.954</v>
      </c>
      <c r="H71" s="20">
        <f>H50-H10</f>
        <v>6018.5</v>
      </c>
      <c r="I71" s="20">
        <f>I50-I10</f>
        <v>6024</v>
      </c>
      <c r="J71" s="48">
        <f>J50-J10</f>
        <v>6103.710135398882</v>
      </c>
      <c r="K71" s="45"/>
    </row>
    <row r="72">
      <c r="B72" s="49" t="s">
        <v>150</v>
      </c>
      <c r="C72" s="33" t="str">
        <f>IFERROR(IF(OR(ABS(Inputs!C201)&lt;0.5,C71*Inputs!C201&lt;0),"n/m",C71/Inputs!C201-1),"n/a")</f>
        <v>n/a</v>
      </c>
      <c r="D72" s="33" t="str">
        <f>IFERROR(IF(OR(ABS(Inputs!D201)&lt;0.5,D71*Inputs!D201&lt;0),"n/m",D71/Inputs!D201-1),"n/a")</f>
        <v>n/a</v>
      </c>
      <c r="E72" s="33" t="str">
        <f>IFERROR(IF(OR(ABS(Inputs!E201)&lt;0.5,E71*Inputs!E201&lt;0),"n/m",E71/Inputs!E201-1),"n/a")</f>
        <v>n/a</v>
      </c>
      <c r="F72" s="33">
        <f>IFERROR(IF(OR(ABS(Inputs!F201)&lt;0.5,F71*Inputs!F201&lt;0),"n/m",F71/Inputs!F201-1),"n/a")</f>
        <v>0.38656650733335507</v>
      </c>
      <c r="G72" s="33">
        <f>IFERROR(IF(OR(ABS(Inputs!G201)&lt;0.5,G71*Inputs!G201&lt;0),"n/m",G71/Inputs!G201-1),"n/a")</f>
        <v>0.38656650733335507</v>
      </c>
      <c r="H72" s="19">
        <f>IFERROR(IF(OR(ABS(C71)&lt;0.5,H71*C71&lt;0),"n/m",H71/C71-1),"n/a")</f>
        <v>0.43770418337637973</v>
      </c>
      <c r="I72" s="19">
        <f>IFERROR(IF(OR(ABS(D71)&lt;0.5,I71*D71&lt;0),"n/m",I71/D71-1),"n/a")</f>
        <v>0.4460920227284184</v>
      </c>
      <c r="J72" s="46">
        <f>IFERROR(IF(OR(ABS(E71)&lt;0.5,J71*E71&lt;0),"n/m",J71/E71-1),"n/a")</f>
        <v>0.1950059019725352</v>
      </c>
      <c r="K72" s="45"/>
    </row>
    <row r="73">
      <c r="B73" s="42" t="s">
        <v>118</v>
      </c>
      <c r="C73" s="4">
        <f>IFERROR(C71-Inputs!F201,"n/a")</f>
        <v>84.72299999999996</v>
      </c>
      <c r="D73" s="20">
        <f>IFERROR(D71-C71,"n/a")</f>
        <v>-20.478000000000065</v>
      </c>
      <c r="E73" s="20">
        <f>IFERROR(E71-D71,"n/a")</f>
        <v>941.9719999999998</v>
      </c>
      <c r="F73" s="20">
        <f>IFERROR(F71-E71,"n/a")</f>
        <v>579.2719999999999</v>
      </c>
      <c r="G73" s="20" t="s">
        <v>34</v>
      </c>
      <c r="H73" s="20">
        <f>IFERROR(H71-F71,"n/a")</f>
        <v>331.5460000000003</v>
      </c>
      <c r="I73" s="20">
        <f>IFERROR(I71-H71,"n/a")</f>
        <v>5.5</v>
      </c>
      <c r="J73" s="48">
        <f>IFERROR(J71-I71,"n/a")</f>
        <v>79.7101353988819</v>
      </c>
      <c r="K73" s="45"/>
    </row>
    <row r="74">
      <c r="B74" s="30" t="s">
        <v>402</v>
      </c>
      <c r="C74" s="33">
        <f>C13/'Income Statement'!C10</f>
        <v>1.004586860742318</v>
      </c>
      <c r="D74" s="33">
        <f>D13/'Income Statement'!D10</f>
        <v>1.023162270490074</v>
      </c>
      <c r="E74" s="33">
        <f>E13/'Income Statement'!E10</f>
        <v>0.9400397768663997</v>
      </c>
      <c r="F74" s="33">
        <f>F13/'Income Statement'!F10</f>
        <v>1.199609010270775</v>
      </c>
      <c r="G74" s="19" t="s">
        <v>403</v>
      </c>
      <c r="H74" s="33">
        <f>H13/'Income Statement'!H10</f>
        <v>1.0380818053596617</v>
      </c>
      <c r="I74" s="33">
        <f>I13/'Income Statement'!I10</f>
        <v>1.020069204152249</v>
      </c>
      <c r="J74" s="69">
        <f>J13/'Income Statement'!J10</f>
        <v>0.9515697386260302</v>
      </c>
      <c r="K74" s="45" t="s">
        <v>404</v>
      </c>
    </row>
    <row r="75">
      <c r="B75" s="49" t="s">
        <v>120</v>
      </c>
      <c r="C75" s="47" t="str">
        <f>IFERROR((C74-Inputs!C199)*10000,"n/a")</f>
        <v>n/a</v>
      </c>
      <c r="D75" s="47" t="str">
        <f>IFERROR((D74-Inputs!D199)*10000,"n/a")</f>
        <v>n/a</v>
      </c>
      <c r="E75" s="47" t="str">
        <f>IFERROR((E74-Inputs!E199)*10000,"n/a")</f>
        <v>n/a</v>
      </c>
      <c r="F75" s="47">
        <f>IFERROR((F74-Inputs!F199)*10000,"n/a")</f>
        <v>957.7704589643665</v>
      </c>
      <c r="G75" s="47" t="str">
        <f>IFERROR((G74-Inputs!G199)*10000,"n/a")</f>
        <v>n/a</v>
      </c>
      <c r="H75" s="62">
        <f>IFERROR((H74-C74)*10000,"n/a")</f>
        <v>334.94944617343594</v>
      </c>
      <c r="I75" s="62">
        <f>IFERROR((I74-D74)*10000,"n/a")</f>
        <v>-30.930663378250234</v>
      </c>
      <c r="J75" s="64">
        <f>IFERROR((J74-E74)*10000,"n/a")</f>
        <v>115.29961759630503</v>
      </c>
      <c r="K75" s="45"/>
    </row>
    <row r="76">
      <c r="B76" s="49" t="s">
        <v>121</v>
      </c>
      <c r="C76" s="47">
        <f>IFERROR((C74-Inputs!F199)*10000,"n/a")</f>
        <v>-992.4510363202032</v>
      </c>
      <c r="D76" s="62">
        <f>IFERROR((D74-C74)*10000,"n/a")</f>
        <v>185.75409747755955</v>
      </c>
      <c r="E76" s="62">
        <f>IFERROR((E74-D74)*10000,"n/a")</f>
        <v>-831.224936236743</v>
      </c>
      <c r="F76" s="62">
        <f>IFERROR((F74-E74)*10000,"n/a")</f>
        <v>2595.6923340437534</v>
      </c>
      <c r="G76" s="62" t="s">
        <v>34</v>
      </c>
      <c r="H76" s="62">
        <f>IFERROR((H74-F74)*10000,"n/a")</f>
        <v>-1615.2720491111338</v>
      </c>
      <c r="I76" s="62">
        <f>IFERROR((I74-H74)*10000,"n/a")</f>
        <v>-180.1260120741266</v>
      </c>
      <c r="J76" s="64">
        <f>IFERROR((J74-I74)*10000,"n/a")</f>
        <v>-684.9946552621877</v>
      </c>
      <c r="K76" s="45"/>
    </row>
    <row r="77">
      <c r="B77" s="30" t="s">
        <v>405</v>
      </c>
      <c r="C77" s="33">
        <f>C41/'Income Statement'!C10</f>
        <v>1.4514672323035132</v>
      </c>
      <c r="D77" s="33">
        <f>D41/'Income Statement'!D10</f>
        <v>1.3722839626804921</v>
      </c>
      <c r="E77" s="33">
        <f>E41/'Income Statement'!E10</f>
        <v>1.2284220582637828</v>
      </c>
      <c r="F77" s="33">
        <f>F41/'Income Statement'!F10</f>
        <v>1.4975490196078434</v>
      </c>
      <c r="G77" s="19" t="s">
        <v>403</v>
      </c>
      <c r="H77" s="33">
        <f>H41/'Income Statement'!H10</f>
        <v>1.3916314057357781</v>
      </c>
      <c r="I77" s="33">
        <f>I41/'Income Statement'!I10</f>
        <v>1.3113033448673588</v>
      </c>
      <c r="J77" s="69">
        <f>J41/'Income Statement'!J10</f>
        <v>1.1854052677175761</v>
      </c>
      <c r="K77" s="45" t="s">
        <v>404</v>
      </c>
    </row>
    <row r="78">
      <c r="B78" s="49" t="s">
        <v>120</v>
      </c>
      <c r="C78" s="47" t="str">
        <f>IFERROR((C77-Inputs!C200)*10000,"n/a")</f>
        <v>n/a</v>
      </c>
      <c r="D78" s="47" t="str">
        <f>IFERROR((D77-Inputs!D200)*10000,"n/a")</f>
        <v>n/a</v>
      </c>
      <c r="E78" s="47" t="str">
        <f>IFERROR((E77-Inputs!E200)*10000,"n/a")</f>
        <v>n/a</v>
      </c>
      <c r="F78" s="47">
        <f>IFERROR((F77-Inputs!F200)*10000,"n/a")</f>
        <v>-134.25292740762984</v>
      </c>
      <c r="G78" s="47" t="str">
        <f>IFERROR((G77-Inputs!G200)*10000,"n/a")</f>
        <v>n/a</v>
      </c>
      <c r="H78" s="62">
        <f>IFERROR((H77-C77)*10000,"n/a")</f>
        <v>-598.3582656773501</v>
      </c>
      <c r="I78" s="62">
        <f>IFERROR((I77-D77)*10000,"n/a")</f>
        <v>-609.8061781313336</v>
      </c>
      <c r="J78" s="64">
        <f>IFERROR((J77-E77)*10000,"n/a")</f>
        <v>-430.16790546206664</v>
      </c>
      <c r="K78" s="45"/>
    </row>
    <row r="79">
      <c r="B79" s="49" t="s">
        <v>121</v>
      </c>
      <c r="C79" s="47">
        <f>IFERROR((C77-Inputs!F200)*10000,"n/a")</f>
        <v>-595.070800450932</v>
      </c>
      <c r="D79" s="62">
        <f>IFERROR((D77-C77)*10000,"n/a")</f>
        <v>-791.8326962302102</v>
      </c>
      <c r="E79" s="62">
        <f>IFERROR((E77-D77)*10000,"n/a")</f>
        <v>-1438.619044167093</v>
      </c>
      <c r="F79" s="62">
        <f>IFERROR((F77-E77)*10000,"n/a")</f>
        <v>2691.2696134406056</v>
      </c>
      <c r="G79" s="62" t="s">
        <v>34</v>
      </c>
      <c r="H79" s="62">
        <f>IFERROR((H77-F77)*10000,"n/a")</f>
        <v>-1059.1761387206523</v>
      </c>
      <c r="I79" s="62">
        <f>IFERROR((I77-H77)*10000,"n/a")</f>
        <v>-803.2806086841937</v>
      </c>
      <c r="J79" s="64">
        <f>IFERROR((J77-I77)*10000,"n/a")</f>
        <v>-1258.9807714978263</v>
      </c>
      <c r="K79" s="45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1:K10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406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407</v>
      </c>
      <c r="C9" s="10"/>
      <c r="D9" s="10"/>
      <c r="E9" s="10"/>
      <c r="F9" s="10"/>
      <c r="G9" s="10"/>
      <c r="H9" s="10"/>
      <c r="I9" s="10"/>
      <c r="J9" s="51"/>
      <c r="K9" s="45" t="s">
        <v>408</v>
      </c>
    </row>
    <row r="10">
      <c r="B10" s="2" t="s">
        <v>409</v>
      </c>
      <c r="C10" s="4">
        <f>'Income Statement'!C80</f>
        <v>288.5999999999999</v>
      </c>
      <c r="D10" s="4">
        <f>'Income Statement'!D80</f>
        <v>303.6500000000001</v>
      </c>
      <c r="E10" s="4">
        <f>'Income Statement'!E80</f>
        <v>325.3859999999999</v>
      </c>
      <c r="F10" s="4">
        <f>'Income Statement'!F80</f>
        <v>284.66899999999987</v>
      </c>
      <c r="G10" s="4">
        <f>'Income Statement'!G80</f>
        <v>1202.3050000000003</v>
      </c>
      <c r="H10" s="4">
        <f>'Income Statement'!H80</f>
        <v>406</v>
      </c>
      <c r="I10" s="4">
        <f>'Income Statement'!I80</f>
        <v>342</v>
      </c>
      <c r="J10" s="61">
        <f>'Income Statement'!J80</f>
        <v>346.2248646011178</v>
      </c>
      <c r="K10" s="45" t="s">
        <v>410</v>
      </c>
    </row>
    <row r="11">
      <c r="B11" s="49" t="s">
        <v>150</v>
      </c>
      <c r="C11" s="33">
        <f>IFERROR(IF(OR(ABS(Inputs!C150)&lt;0.5,C10*Inputs!C150&lt;0),"n/m",C10/Inputs!C150-1),"n/a")</f>
        <v>0.12754635598584074</v>
      </c>
      <c r="D11" s="33">
        <f>IFERROR(IF(OR(ABS(Inputs!D150)&lt;0.5,D10*Inputs!D150&lt;0),"n/m",D10/Inputs!D150-1),"n/a")</f>
        <v>0.13829763306067733</v>
      </c>
      <c r="E11" s="33">
        <f>IFERROR(IF(OR(ABS(Inputs!E150)&lt;0.5,E10*Inputs!E150&lt;0),"n/m",E10/Inputs!E150-1),"n/a")</f>
        <v>0.1583654027575545</v>
      </c>
      <c r="F11" s="33">
        <f>IFERROR(IF(OR(ABS(Inputs!F150)&lt;0.5,F10*Inputs!F150&lt;0),"n/m",F10/Inputs!F150-1),"n/a")</f>
        <v>-0.06823232901821574</v>
      </c>
      <c r="G11" s="33">
        <f>IFERROR(IF(OR(ABS(Inputs!G150)&lt;0.5,G10*Inputs!G150&lt;0),"n/m",G10/Inputs!G150-1),"n/a")</f>
        <v>0.0840092396910006</v>
      </c>
      <c r="H11" s="19">
        <f>IFERROR(IF(OR(ABS(C10)&lt;0.5,H10*C10&lt;0),"n/m",H10/C10-1),"n/a")</f>
        <v>0.40679140679140713</v>
      </c>
      <c r="I11" s="19">
        <f>IFERROR(IF(OR(ABS(D10)&lt;0.5,I10*D10&lt;0),"n/m",I10/D10-1),"n/a")</f>
        <v>0.12629672320105345</v>
      </c>
      <c r="J11" s="46">
        <f>IFERROR(IF(OR(ABS(E10)&lt;0.5,J10*E10&lt;0),"n/m",J10/E10-1),"n/a")</f>
        <v>0.06404351939271491</v>
      </c>
      <c r="K11" s="45"/>
    </row>
    <row r="12">
      <c r="B12" s="42" t="s">
        <v>118</v>
      </c>
      <c r="C12" s="4">
        <f>IFERROR(C10-Inputs!F150,"n/a")</f>
        <v>-16.915000000000134</v>
      </c>
      <c r="D12" s="20">
        <f>IFERROR(D10-C10,"n/a")</f>
        <v>15.050000000000182</v>
      </c>
      <c r="E12" s="20">
        <f>IFERROR(E10-D10,"n/a")</f>
        <v>21.73599999999982</v>
      </c>
      <c r="F12" s="20">
        <f>IFERROR(F10-E10,"n/a")</f>
        <v>-40.71700000000004</v>
      </c>
      <c r="G12" s="20" t="s">
        <v>34</v>
      </c>
      <c r="H12" s="20">
        <f>IFERROR(H10-F10,"n/a")</f>
        <v>121.33100000000013</v>
      </c>
      <c r="I12" s="20">
        <f>IFERROR(I10-H10,"n/a")</f>
        <v>-64</v>
      </c>
      <c r="J12" s="48">
        <f>IFERROR(J10-I10,"n/a")</f>
        <v>4.224864601117815</v>
      </c>
      <c r="K12" s="45"/>
    </row>
    <row r="13">
      <c r="B13" s="42" t="s">
        <v>288</v>
      </c>
      <c r="C13" s="4">
        <f>'Income Statement'!C38</f>
        <v>43.872</v>
      </c>
      <c r="D13" s="4">
        <f>'Income Statement'!D38</f>
        <v>43.76</v>
      </c>
      <c r="E13" s="4">
        <f>'Income Statement'!E38</f>
        <v>40.937</v>
      </c>
      <c r="F13" s="4">
        <f>'Income Statement'!F38</f>
        <v>40.911</v>
      </c>
      <c r="G13" s="4">
        <f>'Income Statement'!G38</f>
        <v>169.48</v>
      </c>
      <c r="H13" s="4">
        <f>'Income Statement'!H38</f>
        <v>41.9</v>
      </c>
      <c r="I13" s="4">
        <f>'Income Statement'!I38</f>
        <v>43.8</v>
      </c>
      <c r="J13" s="61">
        <f>'Income Statement'!J38</f>
        <v>44.5</v>
      </c>
      <c r="K13" s="45"/>
    </row>
    <row r="14">
      <c r="B14" s="65" t="s">
        <v>150</v>
      </c>
      <c r="C14" s="33">
        <f>IFERROR(IF(OR(ABS(Inputs!C151)&lt;0.5,C13*Inputs!C151&lt;0),"n/m",C13/Inputs!C151-1),"n/a")</f>
        <v>0.1364625427416848</v>
      </c>
      <c r="D14" s="33">
        <f>IFERROR(IF(OR(ABS(Inputs!D151)&lt;0.5,D13*Inputs!D151&lt;0),"n/m",D13/Inputs!D151-1),"n/a")</f>
        <v>0.07325926470948896</v>
      </c>
      <c r="E14" s="33">
        <f>IFERROR(IF(OR(ABS(Inputs!E151)&lt;0.5,E13*Inputs!E151&lt;0),"n/m",E13/Inputs!E151-1),"n/a")</f>
        <v>-0.02389184291470947</v>
      </c>
      <c r="F14" s="33">
        <f>IFERROR(IF(OR(ABS(Inputs!F151)&lt;0.5,F13*Inputs!F151&lt;0),"n/m",F13/Inputs!F151-1),"n/a")</f>
        <v>-0.042367922099201705</v>
      </c>
      <c r="G14" s="33">
        <f>IFERROR(IF(OR(ABS(Inputs!G151)&lt;0.5,G13*Inputs!G151&lt;0),"n/m",G13/Inputs!G151-1),"n/a")</f>
        <v>0.03318153831147841</v>
      </c>
      <c r="H14" s="19">
        <f>IFERROR(IF(OR(ABS(C13)&lt;0.5,H13*C13&lt;0),"n/m",H13/C13-1),"n/a")</f>
        <v>-0.04494894237782643</v>
      </c>
      <c r="I14" s="19">
        <f>IFERROR(IF(OR(ABS(D13)&lt;0.5,I13*D13&lt;0),"n/m",I13/D13-1),"n/a")</f>
        <v>0.000914076782449813</v>
      </c>
      <c r="J14" s="46">
        <f>IFERROR(IF(OR(ABS(E13)&lt;0.5,J13*E13&lt;0),"n/m",J13/E13-1),"n/a")</f>
        <v>0.08703617754109971</v>
      </c>
      <c r="K14" s="45"/>
    </row>
    <row r="15">
      <c r="B15" s="54" t="s">
        <v>118</v>
      </c>
      <c r="C15" s="4">
        <f>IFERROR(C13-Inputs!F151,"n/a")</f>
        <v>1.1510000000000034</v>
      </c>
      <c r="D15" s="20">
        <f>IFERROR(D13-C13,"n/a")</f>
        <v>-0.11200000000000188</v>
      </c>
      <c r="E15" s="20">
        <f>IFERROR(E13-D13,"n/a")</f>
        <v>-2.8230000000000004</v>
      </c>
      <c r="F15" s="20">
        <f>IFERROR(F13-E13,"n/a")</f>
        <v>-0.02599999999999625</v>
      </c>
      <c r="G15" s="20" t="s">
        <v>34</v>
      </c>
      <c r="H15" s="20">
        <f>IFERROR(H13-F13,"n/a")</f>
        <v>0.9889999999999972</v>
      </c>
      <c r="I15" s="20">
        <f>IFERROR(I13-H13,"n/a")</f>
        <v>1.8999999999999986</v>
      </c>
      <c r="J15" s="48">
        <f>IFERROR(J13-I13,"n/a")</f>
        <v>0.7000000000000028</v>
      </c>
      <c r="K15" s="45"/>
    </row>
    <row r="16">
      <c r="B16" s="42" t="s">
        <v>411</v>
      </c>
      <c r="C16" s="12">
        <v>40.004</v>
      </c>
      <c r="D16" s="12">
        <v>23.181</v>
      </c>
      <c r="E16" s="12">
        <v>22.587</v>
      </c>
      <c r="F16" s="12">
        <v>25.571</v>
      </c>
      <c r="G16" s="20">
        <f>SUM(C16:F16)</f>
        <v>111.343</v>
      </c>
      <c r="H16" s="12">
        <v>47.7</v>
      </c>
      <c r="I16" s="12">
        <v>25.4</v>
      </c>
      <c r="J16" s="53">
        <v>25.5</v>
      </c>
      <c r="K16" s="45" t="s">
        <v>412</v>
      </c>
    </row>
    <row r="17">
      <c r="B17" s="65" t="s">
        <v>150</v>
      </c>
      <c r="C17" s="33">
        <f>IFERROR(IF(OR(ABS(Inputs!C152)&lt;0.5,C16*Inputs!C152&lt;0),"n/m",C16/Inputs!C152-1),"n/a")</f>
        <v>0.16507455731593668</v>
      </c>
      <c r="D17" s="33">
        <f>IFERROR(IF(OR(ABS(Inputs!D152)&lt;0.5,D16*Inputs!D152&lt;0),"n/m",D16/Inputs!D152-1),"n/a")</f>
        <v>0.19514332852134464</v>
      </c>
      <c r="E17" s="33">
        <f>IFERROR(IF(OR(ABS(Inputs!E152)&lt;0.5,E16*Inputs!E152&lt;0),"n/m",E16/Inputs!E152-1),"n/a")</f>
        <v>0.22072096416797282</v>
      </c>
      <c r="F17" s="33">
        <f>IFERROR(IF(OR(ABS(Inputs!F152)&lt;0.5,F16*Inputs!F152&lt;0),"n/m",F16/Inputs!F152-1),"n/a")</f>
        <v>0.11328312072793767</v>
      </c>
      <c r="G17" s="33">
        <f>IFERROR(IF(OR(ABS(Inputs!G152)&lt;0.5,G16*Inputs!G152&lt;0),"n/m",G16/Inputs!G152-1),"n/a")</f>
        <v>0.16952018822738535</v>
      </c>
      <c r="H17" s="19">
        <f>IFERROR(IF(OR(ABS(C16)&lt;0.5,H16*C16&lt;0),"n/m",H16/C16-1),"n/a")</f>
        <v>0.19238076192380782</v>
      </c>
      <c r="I17" s="19">
        <f>IFERROR(IF(OR(ABS(D16)&lt;0.5,I16*D16&lt;0),"n/m",I16/D16-1),"n/a")</f>
        <v>0.09572494715499746</v>
      </c>
      <c r="J17" s="46">
        <f>IFERROR(IF(OR(ABS(E16)&lt;0.5,J16*E16&lt;0),"n/m",J16/E16-1),"n/a")</f>
        <v>0.12896799043697693</v>
      </c>
      <c r="K17" s="45"/>
    </row>
    <row r="18">
      <c r="B18" s="54" t="s">
        <v>118</v>
      </c>
      <c r="C18" s="4">
        <f>IFERROR(C16-Inputs!F152,"n/a")</f>
        <v>17.034999999999997</v>
      </c>
      <c r="D18" s="20">
        <f>IFERROR(D16-C16,"n/a")</f>
        <v>-16.822999999999997</v>
      </c>
      <c r="E18" s="20">
        <f>IFERROR(E16-D16,"n/a")</f>
        <v>-0.5940000000000012</v>
      </c>
      <c r="F18" s="20">
        <f>IFERROR(F16-E16,"n/a")</f>
        <v>2.9840000000000018</v>
      </c>
      <c r="G18" s="20" t="s">
        <v>34</v>
      </c>
      <c r="H18" s="20">
        <f>IFERROR(H16-F16,"n/a")</f>
        <v>22.129</v>
      </c>
      <c r="I18" s="20">
        <f>IFERROR(I16-H16,"n/a")</f>
        <v>-22.300000000000004</v>
      </c>
      <c r="J18" s="48">
        <f>IFERROR(J16-I16,"n/a")</f>
        <v>0.10000000000000142</v>
      </c>
      <c r="K18" s="45"/>
    </row>
    <row r="19">
      <c r="B19" s="42" t="s">
        <v>290</v>
      </c>
      <c r="C19" s="4">
        <f>'Income Statement'!C44</f>
        <v>4.746</v>
      </c>
      <c r="D19" s="4">
        <f>'Income Statement'!D44</f>
        <v>5.385</v>
      </c>
      <c r="E19" s="4">
        <f>'Income Statement'!E44</f>
        <v>5.803</v>
      </c>
      <c r="F19" s="4">
        <f>'Income Statement'!F44</f>
        <v>7.471</v>
      </c>
      <c r="G19" s="4">
        <f>'Income Statement'!G44</f>
        <v>23.405</v>
      </c>
      <c r="H19" s="4">
        <f>'Income Statement'!H44</f>
        <v>5.9</v>
      </c>
      <c r="I19" s="4">
        <f>'Income Statement'!I44</f>
        <v>6.2</v>
      </c>
      <c r="J19" s="61">
        <f>'Income Statement'!J44</f>
        <v>6.6</v>
      </c>
      <c r="K19" s="45"/>
    </row>
    <row r="20">
      <c r="B20" s="65" t="s">
        <v>150</v>
      </c>
      <c r="C20" s="33">
        <f>IFERROR(IF(OR(ABS(Inputs!C153)&lt;0.5,C19*Inputs!C153&lt;0),"n/m",C19/Inputs!C153-1),"n/a")</f>
        <v>0.16295025728988</v>
      </c>
      <c r="D20" s="33">
        <f>IFERROR(IF(OR(ABS(Inputs!D153)&lt;0.5,D19*Inputs!D153&lt;0),"n/m",D19/Inputs!D153-1),"n/a")</f>
        <v>0.2742546142924751</v>
      </c>
      <c r="E20" s="33">
        <f>IFERROR(IF(OR(ABS(Inputs!E153)&lt;0.5,E19*Inputs!E153&lt;0),"n/m",E19/Inputs!E153-1),"n/a")</f>
        <v>0.3395660203139428</v>
      </c>
      <c r="F20" s="33">
        <f>IFERROR(IF(OR(ABS(Inputs!F153)&lt;0.5,F19*Inputs!F153&lt;0),"n/m",F19/Inputs!F153-1),"n/a")</f>
        <v>0.7218253053699009</v>
      </c>
      <c r="G20" s="33">
        <f>IFERROR(IF(OR(ABS(Inputs!G153)&lt;0.5,G19*Inputs!G153&lt;0),"n/m",G19/Inputs!G153-1),"n/a")</f>
        <v>0.37854871009541746</v>
      </c>
      <c r="H20" s="19">
        <f>IFERROR(IF(OR(ABS(C19)&lt;0.5,H19*C19&lt;0),"n/m",H19/C19-1),"n/a")</f>
        <v>0.24315212810788034</v>
      </c>
      <c r="I20" s="19">
        <f>IFERROR(IF(OR(ABS(D19)&lt;0.5,I19*D19&lt;0),"n/m",I19/D19-1),"n/a")</f>
        <v>0.1513463324048283</v>
      </c>
      <c r="J20" s="46">
        <f>IFERROR(IF(OR(ABS(E19)&lt;0.5,J19*E19&lt;0),"n/m",J19/E19-1),"n/a")</f>
        <v>0.13734275374806137</v>
      </c>
      <c r="K20" s="45"/>
    </row>
    <row r="21">
      <c r="B21" s="54" t="s">
        <v>118</v>
      </c>
      <c r="C21" s="4">
        <f>IFERROR(C19-Inputs!F153,"n/a")</f>
        <v>0.40700000000000003</v>
      </c>
      <c r="D21" s="20">
        <f>IFERROR(D19-C19,"n/a")</f>
        <v>0.6389999999999993</v>
      </c>
      <c r="E21" s="20">
        <f>IFERROR(E19-D19,"n/a")</f>
        <v>0.41800000000000015</v>
      </c>
      <c r="F21" s="20">
        <f>IFERROR(F19-E19,"n/a")</f>
        <v>1.6680000000000001</v>
      </c>
      <c r="G21" s="20" t="s">
        <v>34</v>
      </c>
      <c r="H21" s="20">
        <f>IFERROR(H19-F19,"n/a")</f>
        <v>-1.5709999999999997</v>
      </c>
      <c r="I21" s="20">
        <f>IFERROR(I19-H19,"n/a")</f>
        <v>0.2999999999999998</v>
      </c>
      <c r="J21" s="48">
        <f>IFERROR(J19-I19,"n/a")</f>
        <v>0.39999999999999947</v>
      </c>
      <c r="K21" s="45"/>
    </row>
    <row r="22">
      <c r="B22" s="42" t="s">
        <v>413</v>
      </c>
      <c r="C22" s="12">
        <v>5.931</v>
      </c>
      <c r="D22" s="12">
        <v>6.183</v>
      </c>
      <c r="E22" s="12">
        <v>6.354</v>
      </c>
      <c r="F22" s="12">
        <v>7.217</v>
      </c>
      <c r="G22" s="20">
        <f>SUM(C22:F22)</f>
        <v>25.685</v>
      </c>
      <c r="H22" s="12">
        <v>6.8</v>
      </c>
      <c r="I22" s="12">
        <v>7.5</v>
      </c>
      <c r="J22" s="53">
        <v>7.5</v>
      </c>
      <c r="K22" s="45" t="s">
        <v>284</v>
      </c>
    </row>
    <row r="23">
      <c r="B23" s="65" t="s">
        <v>150</v>
      </c>
      <c r="C23" s="33">
        <f>IFERROR(IF(OR(ABS(Inputs!C154)&lt;0.5,C22*Inputs!C154&lt;0),"n/m",C22/Inputs!C154-1),"n/a")</f>
        <v>0.020299329089970897</v>
      </c>
      <c r="D23" s="33">
        <f>IFERROR(IF(OR(ABS(Inputs!D154)&lt;0.5,D22*Inputs!D154&lt;0),"n/m",D22/Inputs!D154-1),"n/a")</f>
        <v>0.026394422310756838</v>
      </c>
      <c r="E23" s="33">
        <f>IFERROR(IF(OR(ABS(Inputs!E154)&lt;0.5,E22*Inputs!E154&lt;0),"n/m",E22/Inputs!E154-1),"n/a")</f>
        <v>-0.17959974176888316</v>
      </c>
      <c r="F23" s="33">
        <f>IFERROR(IF(OR(ABS(Inputs!F154)&lt;0.5,F22*Inputs!F154&lt;0),"n/m",F22/Inputs!F154-1),"n/a")</f>
        <v>0.2710461430081015</v>
      </c>
      <c r="G23" s="33">
        <f>IFERROR(IF(OR(ABS(Inputs!G154)&lt;0.5,G22*Inputs!G154&lt;0),"n/m",G22/Inputs!G154-1),"n/a")</f>
        <v>0.01682501979414086</v>
      </c>
      <c r="H23" s="19">
        <f>IFERROR(IF(OR(ABS(C22)&lt;0.5,H22*C22&lt;0),"n/m",H22/C22-1),"n/a")</f>
        <v>0.14651829371100988</v>
      </c>
      <c r="I23" s="19">
        <f>IFERROR(IF(OR(ABS(D22)&lt;0.5,I22*D22&lt;0),"n/m",I22/D22-1),"n/a")</f>
        <v>0.21300339640950994</v>
      </c>
      <c r="J23" s="46">
        <f>IFERROR(IF(OR(ABS(E22)&lt;0.5,J22*E22&lt;0),"n/m",J22/E22-1),"n/a")</f>
        <v>0.18035882908404144</v>
      </c>
      <c r="K23" s="45"/>
    </row>
    <row r="24">
      <c r="B24" s="54" t="s">
        <v>118</v>
      </c>
      <c r="C24" s="4">
        <f>IFERROR(C22-Inputs!F154,"n/a")</f>
        <v>0.2530000000000001</v>
      </c>
      <c r="D24" s="20">
        <f>IFERROR(D22-C22,"n/a")</f>
        <v>0.2519999999999998</v>
      </c>
      <c r="E24" s="20">
        <f>IFERROR(E22-D22,"n/a")</f>
        <v>0.17100000000000026</v>
      </c>
      <c r="F24" s="20">
        <f>IFERROR(F22-E22,"n/a")</f>
        <v>0.8629999999999995</v>
      </c>
      <c r="G24" s="20" t="s">
        <v>34</v>
      </c>
      <c r="H24" s="20">
        <f>IFERROR(H22-F22,"n/a")</f>
        <v>-0.4169999999999998</v>
      </c>
      <c r="I24" s="20">
        <f>IFERROR(I22-H22,"n/a")</f>
        <v>0.7000000000000002</v>
      </c>
      <c r="J24" s="48">
        <f>IFERROR(J22-I22,"n/a")</f>
        <v>0</v>
      </c>
      <c r="K24" s="45"/>
    </row>
    <row r="25">
      <c r="B25" s="42" t="s">
        <v>414</v>
      </c>
      <c r="C25" s="4">
        <f>'Income Statement'!C102</f>
        <v>0</v>
      </c>
      <c r="D25" s="4">
        <f>'Income Statement'!D102</f>
        <v>0</v>
      </c>
      <c r="E25" s="4">
        <f>'Income Statement'!E102</f>
        <v>0</v>
      </c>
      <c r="F25" s="4">
        <f>'Income Statement'!F102</f>
        <v>11.768</v>
      </c>
      <c r="G25" s="4">
        <f>'Income Statement'!G102</f>
        <v>11.768</v>
      </c>
      <c r="H25" s="4">
        <f>'Income Statement'!H102</f>
        <v>0</v>
      </c>
      <c r="I25" s="4">
        <f>'Income Statement'!I102</f>
        <v>0</v>
      </c>
      <c r="J25" s="61">
        <f>'Income Statement'!J102</f>
        <v>0</v>
      </c>
      <c r="K25" s="45" t="s">
        <v>415</v>
      </c>
    </row>
    <row r="26">
      <c r="B26" s="65" t="s">
        <v>150</v>
      </c>
      <c r="C26" s="33" t="str">
        <f>IFERROR(IF(OR(ABS(Inputs!C155)&lt;0.5,C25*Inputs!C155&lt;0),"n/m",C25/Inputs!C155-1),"n/a")</f>
        <v>n/m</v>
      </c>
      <c r="D26" s="33" t="str">
        <f>IFERROR(IF(OR(ABS(Inputs!D155)&lt;0.5,D25*Inputs!D155&lt;0),"n/m",D25/Inputs!D155-1),"n/a")</f>
        <v>n/m</v>
      </c>
      <c r="E26" s="33" t="str">
        <f>IFERROR(IF(OR(ABS(Inputs!E155)&lt;0.5,E25*Inputs!E155&lt;0),"n/m",E25/Inputs!E155-1),"n/a")</f>
        <v>n/m</v>
      </c>
      <c r="F26" s="33" t="str">
        <f>IFERROR(IF(OR(ABS(Inputs!F155)&lt;0.5,F25*Inputs!F155&lt;0),"n/m",F25/Inputs!F155-1),"n/a")</f>
        <v>n/m</v>
      </c>
      <c r="G26" s="33" t="str">
        <f>IFERROR(IF(OR(ABS(Inputs!G155)&lt;0.5,G25*Inputs!G155&lt;0),"n/m",G25/Inputs!G155-1),"n/a")</f>
        <v>n/m</v>
      </c>
      <c r="H26" s="19" t="str">
        <f>IFERROR(IF(OR(ABS(C25)&lt;0.5,H25*C25&lt;0),"n/m",H25/C25-1),"n/a")</f>
        <v>n/m</v>
      </c>
      <c r="I26" s="19" t="str">
        <f>IFERROR(IF(OR(ABS(D25)&lt;0.5,I25*D25&lt;0),"n/m",I25/D25-1),"n/a")</f>
        <v>n/m</v>
      </c>
      <c r="J26" s="46" t="str">
        <f>IFERROR(IF(OR(ABS(E25)&lt;0.5,J25*E25&lt;0),"n/m",J25/E25-1),"n/a")</f>
        <v>n/m</v>
      </c>
      <c r="K26" s="45"/>
    </row>
    <row r="27">
      <c r="B27" s="54" t="s">
        <v>118</v>
      </c>
      <c r="C27" s="4">
        <f>IFERROR(C25-Inputs!F155,"n/a")</f>
        <v>0</v>
      </c>
      <c r="D27" s="20">
        <f>IFERROR(D25-C25,"n/a")</f>
        <v>0</v>
      </c>
      <c r="E27" s="20">
        <f>IFERROR(E25-D25,"n/a")</f>
        <v>0</v>
      </c>
      <c r="F27" s="20">
        <f>IFERROR(F25-E25,"n/a")</f>
        <v>11.768</v>
      </c>
      <c r="G27" s="20" t="s">
        <v>34</v>
      </c>
      <c r="H27" s="20">
        <f>IFERROR(H25-F25,"n/a")</f>
        <v>-11.768</v>
      </c>
      <c r="I27" s="20">
        <f>IFERROR(I25-H25,"n/a")</f>
        <v>0</v>
      </c>
      <c r="J27" s="48">
        <f>IFERROR(J25-I25,"n/a")</f>
        <v>0</v>
      </c>
      <c r="K27" s="45"/>
    </row>
    <row r="28">
      <c r="B28" s="42" t="s">
        <v>416</v>
      </c>
      <c r="C28" s="12">
        <v>12.031</v>
      </c>
      <c r="D28" s="12">
        <v>12.38</v>
      </c>
      <c r="E28" s="12">
        <v>30.521</v>
      </c>
      <c r="F28" s="12">
        <v>13.551</v>
      </c>
      <c r="G28" s="20">
        <f>SUM(C28:F28)</f>
        <v>68.483</v>
      </c>
      <c r="H28" s="12">
        <v>-85.9</v>
      </c>
      <c r="I28" s="12">
        <v>6.4</v>
      </c>
      <c r="J28" s="53">
        <v>0</v>
      </c>
      <c r="K28" s="45" t="s">
        <v>417</v>
      </c>
    </row>
    <row r="29">
      <c r="B29" s="65" t="s">
        <v>150</v>
      </c>
      <c r="C29" s="33" t="str">
        <f>IFERROR(IF(OR(ABS(Inputs!C156)&lt;0.5,C28*Inputs!C156&lt;0),"n/m",C28/Inputs!C156-1),"n/a")</f>
        <v>n/m</v>
      </c>
      <c r="D29" s="33">
        <f>IFERROR(IF(OR(ABS(Inputs!D156)&lt;0.5,D28*Inputs!D156&lt;0),"n/m",D28/Inputs!D156-1),"n/a")</f>
        <v>-0.7615332755465665</v>
      </c>
      <c r="E29" s="33">
        <f>IFERROR(IF(OR(ABS(Inputs!E156)&lt;0.5,E28*Inputs!E156&lt;0),"n/m",E28/Inputs!E156-1),"n/a")</f>
        <v>15.77899945024739</v>
      </c>
      <c r="F29" s="33" t="str">
        <f>IFERROR(IF(OR(ABS(Inputs!F156)&lt;0.5,F28*Inputs!F156&lt;0),"n/m",F28/Inputs!F156-1),"n/a")</f>
        <v>n/m</v>
      </c>
      <c r="G29" s="33">
        <f>IFERROR(IF(OR(ABS(Inputs!G156)&lt;0.5,G28*Inputs!G156&lt;0),"n/m",G28/Inputs!G156-1),"n/a")</f>
        <v>2.7469497182250926</v>
      </c>
      <c r="H29" s="19" t="str">
        <f>IFERROR(IF(OR(ABS(C28)&lt;0.5,H28*C28&lt;0),"n/m",H28/C28-1),"n/a")</f>
        <v>n/m</v>
      </c>
      <c r="I29" s="19">
        <f>IFERROR(IF(OR(ABS(D28)&lt;0.5,I28*D28&lt;0),"n/m",I28/D28-1),"n/a")</f>
        <v>-0.48303715670436187</v>
      </c>
      <c r="J29" s="46">
        <f>IFERROR(IF(OR(ABS(E28)&lt;0.5,J28*E28&lt;0),"n/m",J28/E28-1),"n/a")</f>
        <v>-1</v>
      </c>
      <c r="K29" s="45"/>
    </row>
    <row r="30">
      <c r="B30" s="54" t="s">
        <v>118</v>
      </c>
      <c r="C30" s="4">
        <f>IFERROR(C28-Inputs!F156,"n/a")</f>
        <v>39.12</v>
      </c>
      <c r="D30" s="20">
        <f>IFERROR(D28-C28,"n/a")</f>
        <v>0.3490000000000002</v>
      </c>
      <c r="E30" s="20">
        <f>IFERROR(E28-D28,"n/a")</f>
        <v>18.141</v>
      </c>
      <c r="F30" s="20">
        <f>IFERROR(F28-E28,"n/a")</f>
        <v>-16.97</v>
      </c>
      <c r="G30" s="20" t="s">
        <v>34</v>
      </c>
      <c r="H30" s="20">
        <f>IFERROR(H28-F28,"n/a")</f>
        <v>-99.45100000000001</v>
      </c>
      <c r="I30" s="20">
        <f>IFERROR(I28-H28,"n/a")</f>
        <v>92.30000000000001</v>
      </c>
      <c r="J30" s="48">
        <f>IFERROR(J28-I28,"n/a")</f>
        <v>-6.4</v>
      </c>
      <c r="K30" s="45"/>
    </row>
    <row r="31">
      <c r="B31" s="42" t="s">
        <v>418</v>
      </c>
      <c r="C31" s="12">
        <v>-93.447</v>
      </c>
      <c r="D31" s="12">
        <v>-58.401</v>
      </c>
      <c r="E31" s="12">
        <v>17.853</v>
      </c>
      <c r="F31" s="12">
        <v>109.972</v>
      </c>
      <c r="G31" s="20">
        <f>SUM(C31:F31)</f>
        <v>-24.02300000000001</v>
      </c>
      <c r="H31" s="12">
        <v>-115.6</v>
      </c>
      <c r="I31" s="12">
        <v>-60.5</v>
      </c>
      <c r="J31" s="61">
        <f>-('Balance Sheet'!J13-'Balance Sheet'!I13)-('Balance Sheet'!J16-'Balance Sheet'!I16)-('Balance Sheet'!J34-'Balance Sheet'!I34)+('Balance Sheet'!J41-'Balance Sheet'!I41)+('Balance Sheet'!J44-'Balance Sheet'!I44)+('Balance Sheet'!J53-'Balance Sheet'!I53)+('Balance Sheet'!J56-'Balance Sheet'!I56)</f>
        <v>52.99999999999994</v>
      </c>
      <c r="K31" s="45" t="s">
        <v>419</v>
      </c>
    </row>
    <row r="32">
      <c r="B32" s="65" t="s">
        <v>150</v>
      </c>
      <c r="C32" s="33">
        <f>IFERROR(IF(OR(ABS(Inputs!C157)&lt;0.5,C31*Inputs!C157&lt;0),"n/m",C31/Inputs!C157-1),"n/a")</f>
        <v>2.0857907076577615</v>
      </c>
      <c r="D32" s="33">
        <f>IFERROR(IF(OR(ABS(Inputs!D157)&lt;0.5,D31*Inputs!D157&lt;0),"n/m",D31/Inputs!D157-1),"n/a")</f>
        <v>0.46574139142656357</v>
      </c>
      <c r="E32" s="33">
        <f>IFERROR(IF(OR(ABS(Inputs!E157)&lt;0.5,E31*Inputs!E157&lt;0),"n/m",E31/Inputs!E157-1),"n/a")</f>
        <v>-0.7310079855356335</v>
      </c>
      <c r="F32" s="33">
        <f>IFERROR(IF(OR(ABS(Inputs!F157)&lt;0.5,F31*Inputs!F157&lt;0),"n/m",F31/Inputs!F157-1),"n/a")</f>
        <v>0.4375424836601307</v>
      </c>
      <c r="G32" s="33" t="str">
        <f>IFERROR(IF(OR(ABS(Inputs!G157)&lt;0.5,G31*Inputs!G157&lt;0),"n/m",G31/Inputs!G157-1),"n/a")</f>
        <v>n/m</v>
      </c>
      <c r="H32" s="19">
        <f>IFERROR(IF(OR(ABS(C31)&lt;0.5,H31*C31&lt;0),"n/m",H31/C31-1),"n/a")</f>
        <v>0.2370648602951404</v>
      </c>
      <c r="I32" s="19">
        <f>IFERROR(IF(OR(ABS(D31)&lt;0.5,I31*D31&lt;0),"n/m",I31/D31-1),"n/a")</f>
        <v>0.03594116539100356</v>
      </c>
      <c r="J32" s="46">
        <f>IFERROR(IF(OR(ABS(E31)&lt;0.5,J31*E31&lt;0),"n/m",J31/E31-1),"n/a")</f>
        <v>1.968688735786699</v>
      </c>
      <c r="K32" s="45"/>
    </row>
    <row r="33">
      <c r="B33" s="54" t="s">
        <v>118</v>
      </c>
      <c r="C33" s="4">
        <f>IFERROR(C31-Inputs!F157,"n/a")</f>
        <v>-169.947</v>
      </c>
      <c r="D33" s="20">
        <f>IFERROR(D31-C31,"n/a")</f>
        <v>35.046</v>
      </c>
      <c r="E33" s="20">
        <f>IFERROR(E31-D31,"n/a")</f>
        <v>76.254</v>
      </c>
      <c r="F33" s="20">
        <f>IFERROR(F31-E31,"n/a")</f>
        <v>92.119</v>
      </c>
      <c r="G33" s="20" t="s">
        <v>34</v>
      </c>
      <c r="H33" s="20">
        <f>IFERROR(H31-F31,"n/a")</f>
        <v>-225.572</v>
      </c>
      <c r="I33" s="20">
        <f>IFERROR(I31-H31,"n/a")</f>
        <v>55.099999999999994</v>
      </c>
      <c r="J33" s="48">
        <f>IFERROR(J31-I31,"n/a")</f>
        <v>113.49999999999994</v>
      </c>
      <c r="K33" s="45"/>
    </row>
    <row r="34">
      <c r="B34" s="24" t="s">
        <v>420</v>
      </c>
      <c r="C34" s="60">
        <f>C10+C13+C16+C19+C22+C25+C28+C31</f>
        <v>301.7369999999999</v>
      </c>
      <c r="D34" s="60">
        <f>D10+D13+D16+D19+D22+D25+D28+D31</f>
        <v>336.13800000000003</v>
      </c>
      <c r="E34" s="60">
        <f>E10+E13+E16+E19+E22+E25+E28+E31</f>
        <v>449.4409999999999</v>
      </c>
      <c r="F34" s="60">
        <f>F10+F13+F16+F19+F22+F25+F28+F31</f>
        <v>501.1299999999998</v>
      </c>
      <c r="G34" s="60">
        <f>G10+G13+G16+G19+G22+G25+G28+G31</f>
        <v>1588.4460000000004</v>
      </c>
      <c r="H34" s="60">
        <f>H10+H13+H16+H19+H22+H25+H28+H31</f>
        <v>306.79999999999995</v>
      </c>
      <c r="I34" s="60">
        <f>I10+I13+I16+I19+I22+I25+I28+I31</f>
        <v>370.79999999999995</v>
      </c>
      <c r="J34" s="50">
        <f>J10+J13+J16+J19+J22+J25+J28+J31</f>
        <v>483.3248646011178</v>
      </c>
      <c r="K34" s="45"/>
    </row>
    <row r="35">
      <c r="B35" s="49" t="s">
        <v>150</v>
      </c>
      <c r="C35" s="33">
        <f>IFERROR(IF(OR(ABS(Inputs!C170)&lt;0.5,C34*Inputs!C170&lt;0),"n/m",C34/Inputs!C170-1),"n/a")</f>
        <v>0.005330898889506663</v>
      </c>
      <c r="D35" s="33">
        <f>IFERROR(IF(OR(ABS(Inputs!D170)&lt;0.5,D34*Inputs!D170&lt;0),"n/m",D34/Inputs!D170-1),"n/a")</f>
        <v>-0.037537795492028514</v>
      </c>
      <c r="E35" s="33">
        <f>IFERROR(IF(OR(ABS(Inputs!E170)&lt;0.5,E34*Inputs!E170&lt;0),"n/m",E34/Inputs!E170-1),"n/a")</f>
        <v>0.066013771053274</v>
      </c>
      <c r="F35" s="33">
        <f>IFERROR(IF(OR(ABS(Inputs!F170)&lt;0.5,F34*Inputs!F170&lt;0),"n/m",F34/Inputs!F170-1),"n/a")</f>
        <v>0.16370552187129128</v>
      </c>
      <c r="G35" s="33">
        <f>IFERROR(IF(OR(ABS(Inputs!G170)&lt;0.5,G34*Inputs!G170&lt;0),"n/m",G34/Inputs!G170-1),"n/a")</f>
        <v>0.057816621571135984</v>
      </c>
      <c r="H35" s="19">
        <f>IFERROR(IF(OR(ABS(C34)&lt;0.5,H34*C34&lt;0),"n/m",H34/C34-1),"n/a")</f>
        <v>0.016779513284748138</v>
      </c>
      <c r="I35" s="19">
        <f>IFERROR(IF(OR(ABS(D34)&lt;0.5,I34*D34&lt;0),"n/m",I34/D34-1),"n/a")</f>
        <v>0.10311836210127967</v>
      </c>
      <c r="J35" s="46">
        <f>IFERROR(IF(OR(ABS(E34)&lt;0.5,J34*E34&lt;0),"n/m",J34/E34-1),"n/a")</f>
        <v>0.07539112942770654</v>
      </c>
      <c r="K35" s="45"/>
    </row>
    <row r="36">
      <c r="B36" s="42" t="s">
        <v>118</v>
      </c>
      <c r="C36" s="4">
        <f>IFERROR(C34-Inputs!F170,"n/a")</f>
        <v>-128.89600000000013</v>
      </c>
      <c r="D36" s="20">
        <f>IFERROR(D34-C34,"n/a")</f>
        <v>34.401000000000124</v>
      </c>
      <c r="E36" s="20">
        <f>IFERROR(E34-D34,"n/a")</f>
        <v>113.30299999999988</v>
      </c>
      <c r="F36" s="20">
        <f>IFERROR(F34-E34,"n/a")</f>
        <v>51.68899999999991</v>
      </c>
      <c r="G36" s="20" t="s">
        <v>34</v>
      </c>
      <c r="H36" s="20">
        <f>IFERROR(H34-F34,"n/a")</f>
        <v>-194.32999999999987</v>
      </c>
      <c r="I36" s="20">
        <f>IFERROR(I34-H34,"n/a")</f>
        <v>64</v>
      </c>
      <c r="J36" s="48">
        <f>IFERROR(J34-I34,"n/a")</f>
        <v>112.52486460111783</v>
      </c>
      <c r="K36" s="45"/>
    </row>
    <row r="37">
      <c r="B37" s="2" t="s">
        <v>421</v>
      </c>
      <c r="C37" s="12">
        <v>301.737</v>
      </c>
      <c r="D37" s="12">
        <v>336.138</v>
      </c>
      <c r="E37" s="12">
        <v>449.441</v>
      </c>
      <c r="F37" s="12">
        <v>501.13</v>
      </c>
      <c r="G37" s="20">
        <f>SUM(C37:F37)</f>
        <v>1588.446</v>
      </c>
      <c r="H37" s="12">
        <v>306.8</v>
      </c>
      <c r="I37" s="12">
        <v>370.8</v>
      </c>
      <c r="J37" s="48" t="s">
        <v>34</v>
      </c>
      <c r="K37" s="45" t="s">
        <v>422</v>
      </c>
    </row>
    <row r="38">
      <c r="B38" s="24" t="s">
        <v>423</v>
      </c>
      <c r="C38" s="10"/>
      <c r="D38" s="10"/>
      <c r="E38" s="10"/>
      <c r="F38" s="10"/>
      <c r="G38" s="10"/>
      <c r="H38" s="10"/>
      <c r="I38" s="10"/>
      <c r="J38" s="51"/>
      <c r="K38" s="45"/>
    </row>
    <row r="39">
      <c r="B39" s="42" t="s">
        <v>424</v>
      </c>
      <c r="C39" s="12">
        <v>-21.361</v>
      </c>
      <c r="D39" s="12">
        <v>-23.115</v>
      </c>
      <c r="E39" s="12">
        <v>-22.215</v>
      </c>
      <c r="F39" s="12">
        <v>-23.851</v>
      </c>
      <c r="G39" s="20">
        <f>SUM(C39:F39)</f>
        <v>-90.542</v>
      </c>
      <c r="H39" s="12">
        <v>-26</v>
      </c>
      <c r="I39" s="12">
        <v>-33.4</v>
      </c>
      <c r="J39" s="53">
        <v>-34</v>
      </c>
      <c r="K39" s="45" t="s">
        <v>425</v>
      </c>
    </row>
    <row r="40">
      <c r="B40" s="65" t="s">
        <v>150</v>
      </c>
      <c r="C40" s="33">
        <f>IFERROR(IF(OR(ABS(Inputs!C158)&lt;0.5,C39*Inputs!C158&lt;0),"n/m",C39/Inputs!C158-1),"n/a")</f>
        <v>0.06986877692076532</v>
      </c>
      <c r="D40" s="33">
        <f>IFERROR(IF(OR(ABS(Inputs!D158)&lt;0.5,D39*Inputs!D158&lt;0),"n/m",D39/Inputs!D158-1),"n/a")</f>
        <v>0.23563371999786153</v>
      </c>
      <c r="E40" s="33">
        <f>IFERROR(IF(OR(ABS(Inputs!E158)&lt;0.5,E39*Inputs!E158&lt;0),"n/m",E39/Inputs!E158-1),"n/a")</f>
        <v>0.05911799761620973</v>
      </c>
      <c r="F40" s="33">
        <f>IFERROR(IF(OR(ABS(Inputs!F158)&lt;0.5,F39*Inputs!F158&lt;0),"n/m",F39/Inputs!F158-1),"n/a")</f>
        <v>0.09871936613230159</v>
      </c>
      <c r="G40" s="33">
        <f>IFERROR(IF(OR(ABS(Inputs!G158)&lt;0.5,G39*Inputs!G158&lt;0),"n/m",G39/Inputs!G158-1),"n/a")</f>
        <v>0.11291115590737011</v>
      </c>
      <c r="H40" s="19">
        <f>IFERROR(IF(OR(ABS(C39)&lt;0.5,H39*C39&lt;0),"n/m",H39/C39-1),"n/a")</f>
        <v>0.21717148073592063</v>
      </c>
      <c r="I40" s="19">
        <f>IFERROR(IF(OR(ABS(D39)&lt;0.5,I39*D39&lt;0),"n/m",I39/D39-1),"n/a")</f>
        <v>0.44494916720744104</v>
      </c>
      <c r="J40" s="46">
        <f>IFERROR(IF(OR(ABS(E39)&lt;0.5,J39*E39&lt;0),"n/m",J39/E39-1),"n/a")</f>
        <v>0.530497411658789</v>
      </c>
      <c r="K40" s="45"/>
    </row>
    <row r="41">
      <c r="B41" s="54" t="s">
        <v>118</v>
      </c>
      <c r="C41" s="4">
        <f>IFERROR(C39-Inputs!F158,"n/a")</f>
        <v>0.34699999999999775</v>
      </c>
      <c r="D41" s="20">
        <f>IFERROR(D39-C39,"n/a")</f>
        <v>-1.7539999999999978</v>
      </c>
      <c r="E41" s="20">
        <f>IFERROR(E39-D39,"n/a")</f>
        <v>0.8999999999999986</v>
      </c>
      <c r="F41" s="20">
        <f>IFERROR(F39-E39,"n/a")</f>
        <v>-1.6359999999999992</v>
      </c>
      <c r="G41" s="20" t="s">
        <v>34</v>
      </c>
      <c r="H41" s="20">
        <f>IFERROR(H39-F39,"n/a")</f>
        <v>-2.149000000000001</v>
      </c>
      <c r="I41" s="20">
        <f>IFERROR(I39-H39,"n/a")</f>
        <v>-7.399999999999999</v>
      </c>
      <c r="J41" s="48">
        <f>IFERROR(J39-I39,"n/a")</f>
        <v>-0.6000000000000014</v>
      </c>
      <c r="K41" s="45"/>
    </row>
    <row r="42">
      <c r="B42" s="42" t="s">
        <v>426</v>
      </c>
      <c r="C42" s="12">
        <v>-11.5</v>
      </c>
      <c r="D42" s="12">
        <v>-11.448</v>
      </c>
      <c r="E42" s="12">
        <v>-3.932</v>
      </c>
      <c r="F42" s="12">
        <v>-12.439</v>
      </c>
      <c r="G42" s="20">
        <f>SUM(C42:F42)</f>
        <v>-39.319</v>
      </c>
      <c r="H42" s="12">
        <v>-2.8</v>
      </c>
      <c r="I42" s="12">
        <v>-11</v>
      </c>
      <c r="J42" s="53">
        <v>-11</v>
      </c>
      <c r="K42" s="45"/>
    </row>
    <row r="43">
      <c r="B43" s="65" t="s">
        <v>150</v>
      </c>
      <c r="C43" s="33">
        <f>IFERROR(IF(OR(ABS(Inputs!C159)&lt;0.5,C42*Inputs!C159&lt;0),"n/m",C42/Inputs!C159-1),"n/a")</f>
        <v>1.6925778506204638</v>
      </c>
      <c r="D43" s="33">
        <f>IFERROR(IF(OR(ABS(Inputs!D159)&lt;0.5,D42*Inputs!D159&lt;0),"n/m",D42/Inputs!D159-1),"n/a")</f>
        <v>0.3283824553260617</v>
      </c>
      <c r="E43" s="33">
        <f>IFERROR(IF(OR(ABS(Inputs!E159)&lt;0.5,E42*Inputs!E159&lt;0),"n/m",E42/Inputs!E159-1),"n/a")</f>
        <v>-0.40658013884696653</v>
      </c>
      <c r="F43" s="33">
        <f>IFERROR(IF(OR(ABS(Inputs!F159)&lt;0.5,F42*Inputs!F159&lt;0),"n/m",F42/Inputs!F159-1),"n/a")</f>
        <v>-0.12690390959500242</v>
      </c>
      <c r="G43" s="33">
        <f>IFERROR(IF(OR(ABS(Inputs!G159)&lt;0.5,G42*Inputs!G159&lt;0),"n/m",G42/Inputs!G159-1),"n/a")</f>
        <v>0.16459332977904162</v>
      </c>
      <c r="H43" s="19">
        <f>IFERROR(IF(OR(ABS(C42)&lt;0.5,H42*C42&lt;0),"n/m",H42/C42-1),"n/a")</f>
        <v>-0.7565217391304349</v>
      </c>
      <c r="I43" s="19">
        <f>IFERROR(IF(OR(ABS(D42)&lt;0.5,I42*D42&lt;0),"n/m",I42/D42-1),"n/a")</f>
        <v>-0.039133473095737226</v>
      </c>
      <c r="J43" s="46">
        <f>IFERROR(IF(OR(ABS(E42)&lt;0.5,J42*E42&lt;0),"n/m",J42/E42-1),"n/a")</f>
        <v>1.7975584944048832</v>
      </c>
      <c r="K43" s="45"/>
    </row>
    <row r="44">
      <c r="B44" s="54" t="s">
        <v>118</v>
      </c>
      <c r="C44" s="4">
        <f>IFERROR(C42-Inputs!F159,"n/a")</f>
        <v>2.747</v>
      </c>
      <c r="D44" s="20">
        <f>IFERROR(D42-C42,"n/a")</f>
        <v>0.0519999999999996</v>
      </c>
      <c r="E44" s="20">
        <f>IFERROR(E42-D42,"n/a")</f>
        <v>7.516</v>
      </c>
      <c r="F44" s="20">
        <f>IFERROR(F42-E42,"n/a")</f>
        <v>-8.507</v>
      </c>
      <c r="G44" s="20" t="s">
        <v>34</v>
      </c>
      <c r="H44" s="20">
        <f>IFERROR(H42-F42,"n/a")</f>
        <v>9.639</v>
      </c>
      <c r="I44" s="20">
        <f>IFERROR(I42-H42,"n/a")</f>
        <v>-8.2</v>
      </c>
      <c r="J44" s="48">
        <f>IFERROR(J42-I42,"n/a")</f>
        <v>0</v>
      </c>
      <c r="K44" s="45"/>
    </row>
    <row r="45">
      <c r="B45" s="42" t="s">
        <v>427</v>
      </c>
      <c r="C45" s="12">
        <v>0</v>
      </c>
      <c r="D45" s="12">
        <v>0</v>
      </c>
      <c r="E45" s="12">
        <v>0</v>
      </c>
      <c r="F45" s="12">
        <v>0</v>
      </c>
      <c r="G45" s="20">
        <f>SUM(C45:F45)</f>
        <v>0</v>
      </c>
      <c r="H45" s="12">
        <v>-41.7</v>
      </c>
      <c r="I45" s="12">
        <v>-17.1</v>
      </c>
      <c r="J45" s="53">
        <v>-120</v>
      </c>
      <c r="K45" s="45" t="s">
        <v>428</v>
      </c>
    </row>
    <row r="46">
      <c r="B46" s="65" t="s">
        <v>150</v>
      </c>
      <c r="C46" s="33">
        <f>IFERROR(IF(OR(ABS(Inputs!C160)&lt;0.5,C45*Inputs!C160&lt;0),"n/m",C45/Inputs!C160-1),"n/a")</f>
        <v>-1</v>
      </c>
      <c r="D46" s="33">
        <f>IFERROR(IF(OR(ABS(Inputs!D160)&lt;0.5,D45*Inputs!D160&lt;0),"n/m",D45/Inputs!D160-1),"n/a")</f>
        <v>-1</v>
      </c>
      <c r="E46" s="33" t="str">
        <f>IFERROR(IF(OR(ABS(Inputs!E160)&lt;0.5,E45*Inputs!E160&lt;0),"n/m",E45/Inputs!E160-1),"n/a")</f>
        <v>n/m</v>
      </c>
      <c r="F46" s="33" t="str">
        <f>IFERROR(IF(OR(ABS(Inputs!F160)&lt;0.5,F45*Inputs!F160&lt;0),"n/m",F45/Inputs!F160-1),"n/a")</f>
        <v>n/m</v>
      </c>
      <c r="G46" s="33">
        <f>IFERROR(IF(OR(ABS(Inputs!G160)&lt;0.5,G45*Inputs!G160&lt;0),"n/m",G45/Inputs!G160-1),"n/a")</f>
        <v>-1</v>
      </c>
      <c r="H46" s="19" t="str">
        <f>IFERROR(IF(OR(ABS(C45)&lt;0.5,H45*C45&lt;0),"n/m",H45/C45-1),"n/a")</f>
        <v>n/m</v>
      </c>
      <c r="I46" s="19" t="str">
        <f>IFERROR(IF(OR(ABS(D45)&lt;0.5,I45*D45&lt;0),"n/m",I45/D45-1),"n/a")</f>
        <v>n/m</v>
      </c>
      <c r="J46" s="46" t="str">
        <f>IFERROR(IF(OR(ABS(E45)&lt;0.5,J45*E45&lt;0),"n/m",J45/E45-1),"n/a")</f>
        <v>n/m</v>
      </c>
      <c r="K46" s="45"/>
    </row>
    <row r="47">
      <c r="B47" s="54" t="s">
        <v>118</v>
      </c>
      <c r="C47" s="4">
        <f>IFERROR(C45-Inputs!F160,"n/a")</f>
        <v>0</v>
      </c>
      <c r="D47" s="20">
        <f>IFERROR(D45-C45,"n/a")</f>
        <v>0</v>
      </c>
      <c r="E47" s="20">
        <f>IFERROR(E45-D45,"n/a")</f>
        <v>0</v>
      </c>
      <c r="F47" s="20">
        <f>IFERROR(F45-E45,"n/a")</f>
        <v>0</v>
      </c>
      <c r="G47" s="20" t="s">
        <v>34</v>
      </c>
      <c r="H47" s="20">
        <f>IFERROR(H45-F45,"n/a")</f>
        <v>-41.7</v>
      </c>
      <c r="I47" s="20">
        <f>IFERROR(I45-H45,"n/a")</f>
        <v>24.6</v>
      </c>
      <c r="J47" s="48">
        <f>IFERROR(J45-I45,"n/a")</f>
        <v>-102.9</v>
      </c>
      <c r="K47" s="45"/>
    </row>
    <row r="48">
      <c r="B48" s="42" t="s">
        <v>429</v>
      </c>
      <c r="C48" s="12">
        <v>-0.043</v>
      </c>
      <c r="D48" s="12">
        <v>0</v>
      </c>
      <c r="E48" s="12">
        <v>0</v>
      </c>
      <c r="F48" s="12">
        <v>-0.16</v>
      </c>
      <c r="G48" s="20">
        <f>SUM(C48:F48)</f>
        <v>-0.203</v>
      </c>
      <c r="H48" s="12">
        <v>0</v>
      </c>
      <c r="I48" s="12">
        <v>0</v>
      </c>
      <c r="J48" s="53">
        <v>0</v>
      </c>
      <c r="K48" s="45"/>
    </row>
    <row r="49">
      <c r="B49" s="65" t="s">
        <v>150</v>
      </c>
      <c r="C49" s="33" t="str">
        <f>IFERROR(IF(OR(ABS(Inputs!C161)&lt;0.5,C48*Inputs!C161&lt;0),"n/m",C48/Inputs!C161-1),"n/a")</f>
        <v>n/m</v>
      </c>
      <c r="D49" s="33" t="str">
        <f>IFERROR(IF(OR(ABS(Inputs!D161)&lt;0.5,D48*Inputs!D161&lt;0),"n/m",D48/Inputs!D161-1),"n/a")</f>
        <v>n/m</v>
      </c>
      <c r="E49" s="33" t="str">
        <f>IFERROR(IF(OR(ABS(Inputs!E161)&lt;0.5,E48*Inputs!E161&lt;0),"n/m",E48/Inputs!E161-1),"n/a")</f>
        <v>n/m</v>
      </c>
      <c r="F49" s="33">
        <f>IFERROR(IF(OR(ABS(Inputs!F161)&lt;0.5,F48*Inputs!F161&lt;0),"n/m",F48/Inputs!F161-1),"n/a")</f>
        <v>-0.794344473007712</v>
      </c>
      <c r="G49" s="33">
        <f>IFERROR(IF(OR(ABS(Inputs!G161)&lt;0.5,G48*Inputs!G161&lt;0),"n/m",G48/Inputs!G161-1),"n/a")</f>
        <v>-0.8784431137724551</v>
      </c>
      <c r="H49" s="19" t="str">
        <f>IFERROR(IF(OR(ABS(C48)&lt;0.5,H48*C48&lt;0),"n/m",H48/C48-1),"n/a")</f>
        <v>n/m</v>
      </c>
      <c r="I49" s="19" t="str">
        <f>IFERROR(IF(OR(ABS(D48)&lt;0.5,I48*D48&lt;0),"n/m",I48/D48-1),"n/a")</f>
        <v>n/m</v>
      </c>
      <c r="J49" s="46" t="str">
        <f>IFERROR(IF(OR(ABS(E48)&lt;0.5,J48*E48&lt;0),"n/m",J48/E48-1),"n/a")</f>
        <v>n/m</v>
      </c>
      <c r="K49" s="45"/>
    </row>
    <row r="50">
      <c r="B50" s="54" t="s">
        <v>118</v>
      </c>
      <c r="C50" s="4">
        <f>IFERROR(C48-Inputs!F161,"n/a")</f>
        <v>0.735</v>
      </c>
      <c r="D50" s="20">
        <f>IFERROR(D48-C48,"n/a")</f>
        <v>0.043</v>
      </c>
      <c r="E50" s="20">
        <f>IFERROR(E48-D48,"n/a")</f>
        <v>0</v>
      </c>
      <c r="F50" s="20">
        <f>IFERROR(F48-E48,"n/a")</f>
        <v>-0.16</v>
      </c>
      <c r="G50" s="20" t="s">
        <v>34</v>
      </c>
      <c r="H50" s="20">
        <f>IFERROR(H48-F48,"n/a")</f>
        <v>0.16</v>
      </c>
      <c r="I50" s="20">
        <f>IFERROR(I48-H48,"n/a")</f>
        <v>0</v>
      </c>
      <c r="J50" s="48">
        <f>IFERROR(J48-I48,"n/a")</f>
        <v>0</v>
      </c>
      <c r="K50" s="45"/>
    </row>
    <row r="51">
      <c r="B51" s="24" t="s">
        <v>430</v>
      </c>
      <c r="C51" s="60">
        <f>C39+C42+C45+C48</f>
        <v>-32.904</v>
      </c>
      <c r="D51" s="60">
        <f>D39+D42+D45+D48</f>
        <v>-34.563</v>
      </c>
      <c r="E51" s="60">
        <f>E39+E42+E45+E48</f>
        <v>-26.147</v>
      </c>
      <c r="F51" s="60">
        <f>F39+F42+F45+F48</f>
        <v>-36.449999999999996</v>
      </c>
      <c r="G51" s="60">
        <f>G39+G42+G45+G48</f>
        <v>-130.064</v>
      </c>
      <c r="H51" s="60">
        <f>H39+H42+H45+H48</f>
        <v>-70.5</v>
      </c>
      <c r="I51" s="60">
        <f>I39+I42+I45+I48</f>
        <v>-61.5</v>
      </c>
      <c r="J51" s="50">
        <f>J39+J42+J45+J48</f>
        <v>-165</v>
      </c>
      <c r="K51" s="45"/>
    </row>
    <row r="52">
      <c r="B52" s="49" t="s">
        <v>150</v>
      </c>
      <c r="C52" s="33">
        <f>IFERROR(IF(OR(ABS(Inputs!C171)&lt;0.5,C51*Inputs!C171&lt;0),"n/m",C51/Inputs!C171-1),"n/a")</f>
        <v>0.017659975876039846</v>
      </c>
      <c r="D52" s="33">
        <f>IFERROR(IF(OR(ABS(Inputs!D171)&lt;0.5,D51*Inputs!D171&lt;0),"n/m",D51/Inputs!D171-1),"n/a")</f>
        <v>-0.26656763925729443</v>
      </c>
      <c r="E52" s="33">
        <f>IFERROR(IF(OR(ABS(Inputs!E171)&lt;0.5,E51*Inputs!E171&lt;0),"n/m",E51/Inputs!E171-1),"n/a")</f>
        <v>-0.0683081527936148</v>
      </c>
      <c r="F52" s="33">
        <f>IFERROR(IF(OR(ABS(Inputs!F171)&lt;0.5,F51*Inputs!F171&lt;0),"n/m",F51/Inputs!F171-1),"n/a")</f>
        <v>-0.007704244140146477</v>
      </c>
      <c r="G52" s="33">
        <f>IFERROR(IF(OR(ABS(Inputs!G171)&lt;0.5,G51*Inputs!G171&lt;0),"n/m",G51/Inputs!G171-1),"n/a")</f>
        <v>-0.0983744064330524</v>
      </c>
      <c r="H52" s="19">
        <f>IFERROR(IF(OR(ABS(C51)&lt;0.5,H51*C51&lt;0),"n/m",H51/C51-1),"n/a")</f>
        <v>1.1425966447848284</v>
      </c>
      <c r="I52" s="19">
        <f>IFERROR(IF(OR(ABS(D51)&lt;0.5,I51*D51&lt;0),"n/m",I51/D51-1),"n/a")</f>
        <v>0.779359430604982</v>
      </c>
      <c r="J52" s="46">
        <f>IFERROR(IF(OR(ABS(E51)&lt;0.5,J51*E51&lt;0),"n/m",J51/E51-1),"n/a")</f>
        <v>5.310475389145982</v>
      </c>
      <c r="K52" s="45"/>
    </row>
    <row r="53">
      <c r="B53" s="42" t="s">
        <v>118</v>
      </c>
      <c r="C53" s="4">
        <f>IFERROR(C51-Inputs!F171,"n/a")</f>
        <v>3.8289999999999935</v>
      </c>
      <c r="D53" s="20">
        <f>IFERROR(D51-C51,"n/a")</f>
        <v>-1.658999999999999</v>
      </c>
      <c r="E53" s="20">
        <f>IFERROR(E51-D51,"n/a")</f>
        <v>8.416000000000004</v>
      </c>
      <c r="F53" s="20">
        <f>IFERROR(F51-E51,"n/a")</f>
        <v>-10.302999999999997</v>
      </c>
      <c r="G53" s="20" t="s">
        <v>34</v>
      </c>
      <c r="H53" s="20">
        <f>IFERROR(H51-F51,"n/a")</f>
        <v>-34.050000000000004</v>
      </c>
      <c r="I53" s="20">
        <f>IFERROR(I51-H51,"n/a")</f>
        <v>9</v>
      </c>
      <c r="J53" s="48">
        <f>IFERROR(J51-I51,"n/a")</f>
        <v>-103.5</v>
      </c>
      <c r="K53" s="45"/>
    </row>
    <row r="54">
      <c r="B54" s="24" t="s">
        <v>431</v>
      </c>
      <c r="C54" s="10"/>
      <c r="D54" s="10"/>
      <c r="E54" s="10"/>
      <c r="F54" s="10"/>
      <c r="G54" s="10"/>
      <c r="H54" s="10"/>
      <c r="I54" s="10"/>
      <c r="J54" s="51"/>
      <c r="K54" s="45"/>
    </row>
    <row r="55">
      <c r="B55" s="42" t="s">
        <v>432</v>
      </c>
      <c r="C55" s="12">
        <v>-213.093</v>
      </c>
      <c r="D55" s="12">
        <v>-138.491</v>
      </c>
      <c r="E55" s="12">
        <v>-1225.899</v>
      </c>
      <c r="F55" s="12">
        <v>-906.822</v>
      </c>
      <c r="G55" s="20">
        <f>SUM(C55:F55)</f>
        <v>-2484.305</v>
      </c>
      <c r="H55" s="12">
        <v>-414.8</v>
      </c>
      <c r="I55" s="12">
        <v>-168.4</v>
      </c>
      <c r="J55" s="61">
        <f>-'Share Count'!J21</f>
        <v>-250</v>
      </c>
      <c r="K55" s="45" t="s">
        <v>433</v>
      </c>
    </row>
    <row r="56">
      <c r="B56" s="65" t="s">
        <v>150</v>
      </c>
      <c r="C56" s="33">
        <f>IFERROR(IF(OR(ABS(Inputs!C162)&lt;0.5,C55*Inputs!C162&lt;0),"n/m",C55/Inputs!C162-1),"n/a")</f>
        <v>2.044577159920561</v>
      </c>
      <c r="D56" s="33">
        <f>IFERROR(IF(OR(ABS(Inputs!D162)&lt;0.5,D55*Inputs!D162&lt;0),"n/m",D55/Inputs!D162-1),"n/a")</f>
        <v>-0.4270554944191164</v>
      </c>
      <c r="E56" s="33">
        <f>IFERROR(IF(OR(ABS(Inputs!E162)&lt;0.5,E55*Inputs!E162&lt;0),"n/m",E55/Inputs!E162-1),"n/a")</f>
        <v>5.1445799437619355</v>
      </c>
      <c r="F56" s="33">
        <f>IFERROR(IF(OR(ABS(Inputs!F162)&lt;0.5,F55*Inputs!F162&lt;0),"n/m",F55/Inputs!F162-1),"n/a")</f>
        <v>1.424346607921978</v>
      </c>
      <c r="G56" s="33">
        <f>IFERROR(IF(OR(ABS(Inputs!G162)&lt;0.5,G55*Inputs!G162&lt;0),"n/m",G55/Inputs!G162-1),"n/a")</f>
        <v>1.8062808240686978</v>
      </c>
      <c r="H56" s="19">
        <f>IFERROR(IF(OR(ABS(C55)&lt;0.5,H55*C55&lt;0),"n/m",H55/C55-1),"n/a")</f>
        <v>0.9465679304341299</v>
      </c>
      <c r="I56" s="19">
        <f>IFERROR(IF(OR(ABS(D55)&lt;0.5,I55*D55&lt;0),"n/m",I55/D55-1),"n/a")</f>
        <v>0.21596349221249023</v>
      </c>
      <c r="J56" s="46">
        <f>IFERROR(IF(OR(ABS(E55)&lt;0.5,J55*E55&lt;0),"n/m",J55/E55-1),"n/a")</f>
        <v>-0.7960680284427999</v>
      </c>
      <c r="K56" s="45"/>
    </row>
    <row r="57">
      <c r="B57" s="54" t="s">
        <v>118</v>
      </c>
      <c r="C57" s="4">
        <f>IFERROR(C55-Inputs!F162,"n/a")</f>
        <v>160.955</v>
      </c>
      <c r="D57" s="20">
        <f>IFERROR(D55-C55,"n/a")</f>
        <v>74.60199999999998</v>
      </c>
      <c r="E57" s="20">
        <f>IFERROR(E55-D55,"n/a")</f>
        <v>-1087.408</v>
      </c>
      <c r="F57" s="20">
        <f>IFERROR(F55-E55,"n/a")</f>
        <v>319.0769999999999</v>
      </c>
      <c r="G57" s="20" t="s">
        <v>34</v>
      </c>
      <c r="H57" s="20">
        <f>IFERROR(H55-F55,"n/a")</f>
        <v>492.022</v>
      </c>
      <c r="I57" s="20">
        <f>IFERROR(I55-H55,"n/a")</f>
        <v>246.4</v>
      </c>
      <c r="J57" s="48">
        <f>IFERROR(J55-I55,"n/a")</f>
        <v>-81.6</v>
      </c>
      <c r="K57" s="45"/>
    </row>
    <row r="58">
      <c r="B58" s="42" t="s">
        <v>434</v>
      </c>
      <c r="C58" s="12">
        <v>-143.784</v>
      </c>
      <c r="D58" s="12">
        <v>-139.744</v>
      </c>
      <c r="E58" s="12">
        <v>-137.858</v>
      </c>
      <c r="F58" s="12">
        <v>-135.135</v>
      </c>
      <c r="G58" s="20">
        <f>SUM(C58:F58)</f>
        <v>-556.521</v>
      </c>
      <c r="H58" s="12">
        <v>-150.5</v>
      </c>
      <c r="I58" s="12">
        <v>-149.5</v>
      </c>
      <c r="J58" s="61">
        <f>-'Share Count'!J36*'Share Count'!I32</f>
        <v>-149.035</v>
      </c>
      <c r="K58" s="45" t="s">
        <v>435</v>
      </c>
    </row>
    <row r="59">
      <c r="B59" s="65" t="s">
        <v>150</v>
      </c>
      <c r="C59" s="33">
        <f>IFERROR(IF(OR(ABS(Inputs!C163)&lt;0.5,C58*Inputs!C163&lt;0),"n/m",C58/Inputs!C163-1),"n/a")</f>
        <v>0.09503826967746831</v>
      </c>
      <c r="D59" s="33">
        <f>IFERROR(IF(OR(ABS(Inputs!D163)&lt;0.5,D58*Inputs!D163&lt;0),"n/m",D58/Inputs!D163-1),"n/a")</f>
        <v>0.10105737562835837</v>
      </c>
      <c r="E59" s="33">
        <f>IFERROR(IF(OR(ABS(Inputs!E163)&lt;0.5,E58*Inputs!E163&lt;0),"n/m",E58/Inputs!E163-1),"n/a")</f>
        <v>0.09622525982649077</v>
      </c>
      <c r="F59" s="33">
        <f>IFERROR(IF(OR(ABS(Inputs!F163)&lt;0.5,F58*Inputs!F163&lt;0),"n/m",F58/Inputs!F163-1),"n/a")</f>
        <v>0.07996547562915057</v>
      </c>
      <c r="G59" s="33">
        <f>IFERROR(IF(OR(ABS(Inputs!G163)&lt;0.5,G58*Inputs!G163&lt;0),"n/m",G58/Inputs!G163-1),"n/a")</f>
        <v>0.09312740493686023</v>
      </c>
      <c r="H59" s="19">
        <f>IFERROR(IF(OR(ABS(C58)&lt;0.5,H58*C58&lt;0),"n/m",H58/C58-1),"n/a")</f>
        <v>0.04670895231736494</v>
      </c>
      <c r="I59" s="19">
        <f>IFERROR(IF(OR(ABS(D58)&lt;0.5,I58*D58&lt;0),"n/m",I58/D58-1),"n/a")</f>
        <v>0.06981337302495993</v>
      </c>
      <c r="J59" s="46">
        <f>IFERROR(IF(OR(ABS(E58)&lt;0.5,J58*E58&lt;0),"n/m",J58/E58-1),"n/a")</f>
        <v>0.0810761798372237</v>
      </c>
      <c r="K59" s="45"/>
    </row>
    <row r="60">
      <c r="B60" s="54" t="s">
        <v>118</v>
      </c>
      <c r="C60" s="4">
        <f>IFERROR(C58-Inputs!F163,"n/a")</f>
        <v>-18.654999999999987</v>
      </c>
      <c r="D60" s="20">
        <f>IFERROR(D58-C58,"n/a")</f>
        <v>4.039999999999992</v>
      </c>
      <c r="E60" s="20">
        <f>IFERROR(E58-D58,"n/a")</f>
        <v>1.8859999999999957</v>
      </c>
      <c r="F60" s="20">
        <f>IFERROR(F58-E58,"n/a")</f>
        <v>2.723000000000013</v>
      </c>
      <c r="G60" s="20" t="s">
        <v>34</v>
      </c>
      <c r="H60" s="20">
        <f>IFERROR(H58-F58,"n/a")</f>
        <v>-15.365000000000009</v>
      </c>
      <c r="I60" s="20">
        <f>IFERROR(I58-H58,"n/a")</f>
        <v>1</v>
      </c>
      <c r="J60" s="48">
        <f>IFERROR(J58-I58,"n/a")</f>
        <v>0.4650000000000034</v>
      </c>
      <c r="K60" s="45"/>
    </row>
    <row r="61">
      <c r="B61" s="42" t="s">
        <v>436</v>
      </c>
      <c r="C61" s="12">
        <v>-65</v>
      </c>
      <c r="D61" s="12">
        <v>-149.875</v>
      </c>
      <c r="E61" s="12">
        <v>-712</v>
      </c>
      <c r="F61" s="12">
        <v>-175</v>
      </c>
      <c r="G61" s="20">
        <f>SUM(C61:F61)</f>
        <v>-1101.875</v>
      </c>
      <c r="H61" s="12">
        <v>-175</v>
      </c>
      <c r="I61" s="12">
        <v>-225</v>
      </c>
      <c r="J61" s="53">
        <v>-150</v>
      </c>
      <c r="K61" s="45" t="s">
        <v>437</v>
      </c>
    </row>
    <row r="62">
      <c r="B62" s="65" t="s">
        <v>150</v>
      </c>
      <c r="C62" s="33">
        <f>IFERROR(IF(OR(ABS(Inputs!C164)&lt;0.5,C61*Inputs!C164&lt;0),"n/m",C61/Inputs!C164-1),"n/a")</f>
        <v>-0.8082952135738786</v>
      </c>
      <c r="D62" s="33" t="str">
        <f>IFERROR(IF(OR(ABS(Inputs!D164)&lt;0.5,D61*Inputs!D164&lt;0),"n/m",D61/Inputs!D164-1),"n/a")</f>
        <v>n/m</v>
      </c>
      <c r="E62" s="33">
        <f>IFERROR(IF(OR(ABS(Inputs!E164)&lt;0.5,E61*Inputs!E164&lt;0),"n/m",E61/Inputs!E164-1),"n/a")</f>
        <v>27.48</v>
      </c>
      <c r="F62" s="33">
        <f>IFERROR(IF(OR(ABS(Inputs!F164)&lt;0.5,F61*Inputs!F164&lt;0),"n/m",F61/Inputs!F164-1),"n/a")</f>
        <v>-0.10256410256410253</v>
      </c>
      <c r="G62" s="33">
        <f>IFERROR(IF(OR(ABS(Inputs!G164)&lt;0.5,G61*Inputs!G164&lt;0),"n/m",G61/Inputs!G164-1),"n/a")</f>
        <v>0.9709317196809661</v>
      </c>
      <c r="H62" s="19">
        <f>IFERROR(IF(OR(ABS(C61)&lt;0.5,H61*C61&lt;0),"n/m",H61/C61-1),"n/a")</f>
        <v>1.6923076923076925</v>
      </c>
      <c r="I62" s="19">
        <f>IFERROR(IF(OR(ABS(D61)&lt;0.5,I61*D61&lt;0),"n/m",I61/D61-1),"n/a")</f>
        <v>0.5012510425354462</v>
      </c>
      <c r="J62" s="46">
        <f>IFERROR(IF(OR(ABS(E61)&lt;0.5,J61*E61&lt;0),"n/m",J61/E61-1),"n/a")</f>
        <v>-0.7893258426966292</v>
      </c>
      <c r="K62" s="45"/>
    </row>
    <row r="63">
      <c r="B63" s="54" t="s">
        <v>118</v>
      </c>
      <c r="C63" s="4">
        <f>IFERROR(C61-Inputs!F164,"n/a")</f>
        <v>130</v>
      </c>
      <c r="D63" s="20">
        <f>IFERROR(D61-C61,"n/a")</f>
        <v>-84.875</v>
      </c>
      <c r="E63" s="20">
        <f>IFERROR(E61-D61,"n/a")</f>
        <v>-562.125</v>
      </c>
      <c r="F63" s="20">
        <f>IFERROR(F61-E61,"n/a")</f>
        <v>537</v>
      </c>
      <c r="G63" s="20" t="s">
        <v>34</v>
      </c>
      <c r="H63" s="20">
        <f>IFERROR(H61-F61,"n/a")</f>
        <v>0</v>
      </c>
      <c r="I63" s="20">
        <f>IFERROR(I61-H61,"n/a")</f>
        <v>-50</v>
      </c>
      <c r="J63" s="48">
        <f>IFERROR(J61-I61,"n/a")</f>
        <v>75</v>
      </c>
      <c r="K63" s="45"/>
    </row>
    <row r="64">
      <c r="B64" s="42" t="s">
        <v>438</v>
      </c>
      <c r="C64" s="12">
        <v>100</v>
      </c>
      <c r="D64" s="12">
        <v>115</v>
      </c>
      <c r="E64" s="12">
        <v>1716.875</v>
      </c>
      <c r="F64" s="12">
        <v>874.088</v>
      </c>
      <c r="G64" s="20">
        <f>SUM(C64:F64)</f>
        <v>2805.9629999999997</v>
      </c>
      <c r="H64" s="12">
        <v>375</v>
      </c>
      <c r="I64" s="12">
        <v>200</v>
      </c>
      <c r="J64" s="53">
        <v>300</v>
      </c>
      <c r="K64" s="45" t="s">
        <v>439</v>
      </c>
    </row>
    <row r="65">
      <c r="B65" s="65" t="s">
        <v>150</v>
      </c>
      <c r="C65" s="33">
        <f>IFERROR(IF(OR(ABS(Inputs!C165)&lt;0.5,C64*Inputs!C165&lt;0),"n/m",C64/Inputs!C165-1),"n/a")</f>
        <v>-0.7031539888682745</v>
      </c>
      <c r="D65" s="33" t="str">
        <f>IFERROR(IF(OR(ABS(Inputs!D165)&lt;0.5,D64*Inputs!D165&lt;0),"n/m",D64/Inputs!D165-1),"n/a")</f>
        <v>n/m</v>
      </c>
      <c r="E65" s="33" t="str">
        <f>IFERROR(IF(OR(ABS(Inputs!E165)&lt;0.5,E64*Inputs!E165&lt;0),"n/m",E64/Inputs!E165-1),"n/a")</f>
        <v>n/m</v>
      </c>
      <c r="F65" s="33">
        <f>IFERROR(IF(OR(ABS(Inputs!F165)&lt;0.5,F64*Inputs!F165&lt;0),"n/m",F64/Inputs!F165-1),"n/a")</f>
        <v>2.9731272727272726</v>
      </c>
      <c r="G65" s="33">
        <f>IFERROR(IF(OR(ABS(Inputs!G165)&lt;0.5,G64*Inputs!G165&lt;0),"n/m",G64/Inputs!G165-1),"n/a")</f>
        <v>4.03876632996633</v>
      </c>
      <c r="H65" s="19">
        <f>IFERROR(IF(OR(ABS(C64)&lt;0.5,H64*C64&lt;0),"n/m",H64/C64-1),"n/a")</f>
        <v>2.75</v>
      </c>
      <c r="I65" s="19">
        <f>IFERROR(IF(OR(ABS(D64)&lt;0.5,I64*D64&lt;0),"n/m",I64/D64-1),"n/a")</f>
        <v>0.7391304347826086</v>
      </c>
      <c r="J65" s="46">
        <f>IFERROR(IF(OR(ABS(E64)&lt;0.5,J64*E64&lt;0),"n/m",J64/E64-1),"n/a")</f>
        <v>-0.8252639242810338</v>
      </c>
      <c r="K65" s="45"/>
    </row>
    <row r="66">
      <c r="B66" s="54" t="s">
        <v>118</v>
      </c>
      <c r="C66" s="4">
        <f>IFERROR(C64-Inputs!F165,"n/a")</f>
        <v>-120</v>
      </c>
      <c r="D66" s="20">
        <f>IFERROR(D64-C64,"n/a")</f>
        <v>15</v>
      </c>
      <c r="E66" s="20">
        <f>IFERROR(E64-D64,"n/a")</f>
        <v>1601.875</v>
      </c>
      <c r="F66" s="20">
        <f>IFERROR(F64-E64,"n/a")</f>
        <v>-842.787</v>
      </c>
      <c r="G66" s="20" t="s">
        <v>34</v>
      </c>
      <c r="H66" s="20">
        <f>IFERROR(H64-F64,"n/a")</f>
        <v>-499.08799999999997</v>
      </c>
      <c r="I66" s="20">
        <f>IFERROR(I64-H64,"n/a")</f>
        <v>-175</v>
      </c>
      <c r="J66" s="48">
        <f>IFERROR(J64-I64,"n/a")</f>
        <v>100</v>
      </c>
      <c r="K66" s="45"/>
    </row>
    <row r="67">
      <c r="B67" s="42" t="s">
        <v>440</v>
      </c>
      <c r="C67" s="12">
        <v>0</v>
      </c>
      <c r="D67" s="12">
        <v>0</v>
      </c>
      <c r="E67" s="12">
        <v>-12.771</v>
      </c>
      <c r="F67" s="12">
        <v>-7.311</v>
      </c>
      <c r="G67" s="20">
        <f>SUM(C67:F67)</f>
        <v>-20.082</v>
      </c>
      <c r="H67" s="12">
        <v>0</v>
      </c>
      <c r="I67" s="12">
        <v>0</v>
      </c>
      <c r="J67" s="53">
        <v>0</v>
      </c>
      <c r="K67" s="45"/>
    </row>
    <row r="68">
      <c r="B68" s="65" t="s">
        <v>150</v>
      </c>
      <c r="C68" s="33">
        <f>IFERROR(IF(OR(ABS(Inputs!C166)&lt;0.5,C67*Inputs!C166&lt;0),"n/m",C67/Inputs!C166-1),"n/a")</f>
        <v>-1</v>
      </c>
      <c r="D68" s="33" t="str">
        <f>IFERROR(IF(OR(ABS(Inputs!D166)&lt;0.5,D67*Inputs!D166&lt;0),"n/m",D67/Inputs!D166-1),"n/a")</f>
        <v>n/m</v>
      </c>
      <c r="E68" s="33" t="str">
        <f>IFERROR(IF(OR(ABS(Inputs!E166)&lt;0.5,E67*Inputs!E166&lt;0),"n/m",E67/Inputs!E166-1),"n/a")</f>
        <v>n/m</v>
      </c>
      <c r="F68" s="33" t="str">
        <f>IFERROR(IF(OR(ABS(Inputs!F166)&lt;0.5,F67*Inputs!F166&lt;0),"n/m",F67/Inputs!F166-1),"n/a")</f>
        <v>n/m</v>
      </c>
      <c r="G68" s="33">
        <f>IFERROR(IF(OR(ABS(Inputs!G166)&lt;0.5,G67*Inputs!G166&lt;0),"n/m",G67/Inputs!G166-1),"n/a")</f>
        <v>4.370954800748864</v>
      </c>
      <c r="H68" s="19" t="str">
        <f>IFERROR(IF(OR(ABS(C67)&lt;0.5,H67*C67&lt;0),"n/m",H67/C67-1),"n/a")</f>
        <v>n/m</v>
      </c>
      <c r="I68" s="19" t="str">
        <f>IFERROR(IF(OR(ABS(D67)&lt;0.5,I67*D67&lt;0),"n/m",I67/D67-1),"n/a")</f>
        <v>n/m</v>
      </c>
      <c r="J68" s="46">
        <f>IFERROR(IF(OR(ABS(E67)&lt;0.5,J67*E67&lt;0),"n/m",J67/E67-1),"n/a")</f>
        <v>-1</v>
      </c>
      <c r="K68" s="45"/>
    </row>
    <row r="69">
      <c r="B69" s="54" t="s">
        <v>118</v>
      </c>
      <c r="C69" s="4">
        <f>IFERROR(C67-Inputs!F166,"n/a")</f>
        <v>0</v>
      </c>
      <c r="D69" s="20">
        <f>IFERROR(D67-C67,"n/a")</f>
        <v>0</v>
      </c>
      <c r="E69" s="20">
        <f>IFERROR(E67-D67,"n/a")</f>
        <v>-12.771</v>
      </c>
      <c r="F69" s="20">
        <f>IFERROR(F67-E67,"n/a")</f>
        <v>5.460000000000001</v>
      </c>
      <c r="G69" s="20" t="s">
        <v>34</v>
      </c>
      <c r="H69" s="20">
        <f>IFERROR(H67-F67,"n/a")</f>
        <v>7.311</v>
      </c>
      <c r="I69" s="20">
        <f>IFERROR(I67-H67,"n/a")</f>
        <v>0</v>
      </c>
      <c r="J69" s="48">
        <f>IFERROR(J67-I67,"n/a")</f>
        <v>0</v>
      </c>
      <c r="K69" s="45"/>
    </row>
    <row r="70">
      <c r="B70" s="42" t="s">
        <v>441</v>
      </c>
      <c r="C70" s="12">
        <v>0.394</v>
      </c>
      <c r="D70" s="12">
        <v>3.914</v>
      </c>
      <c r="E70" s="12">
        <v>2.277</v>
      </c>
      <c r="F70" s="12">
        <v>0.39</v>
      </c>
      <c r="G70" s="20">
        <f>SUM(C70:F70)</f>
        <v>6.9750000000000005</v>
      </c>
      <c r="H70" s="12">
        <v>1.3</v>
      </c>
      <c r="I70" s="12">
        <v>12.5</v>
      </c>
      <c r="J70" s="53">
        <v>1</v>
      </c>
      <c r="K70" s="45"/>
    </row>
    <row r="71">
      <c r="B71" s="65" t="s">
        <v>150</v>
      </c>
      <c r="C71" s="33" t="str">
        <f>IFERROR(IF(OR(ABS(Inputs!C167)&lt;0.5,C70*Inputs!C167&lt;0),"n/m",C70/Inputs!C167-1),"n/a")</f>
        <v>n/m</v>
      </c>
      <c r="D71" s="33" t="str">
        <f>IFERROR(IF(OR(ABS(Inputs!D167)&lt;0.5,D70*Inputs!D167&lt;0),"n/m",D70/Inputs!D167-1),"n/a")</f>
        <v>n/m</v>
      </c>
      <c r="E71" s="33" t="str">
        <f>IFERROR(IF(OR(ABS(Inputs!E167)&lt;0.5,E70*Inputs!E167&lt;0),"n/m",E70/Inputs!E167-1),"n/a")</f>
        <v>n/m</v>
      </c>
      <c r="F71" s="33" t="str">
        <f>IFERROR(IF(OR(ABS(Inputs!F167)&lt;0.5,F70*Inputs!F167&lt;0),"n/m",F70/Inputs!F167-1),"n/a")</f>
        <v>n/m</v>
      </c>
      <c r="G71" s="33" t="str">
        <f>IFERROR(IF(OR(ABS(Inputs!G167)&lt;0.5,G70*Inputs!G167&lt;0),"n/m",G70/Inputs!G167-1),"n/a")</f>
        <v>n/m</v>
      </c>
      <c r="H71" s="19" t="str">
        <f>IFERROR(IF(OR(ABS(C70)&lt;0.5,H70*C70&lt;0),"n/m",H70/C70-1),"n/a")</f>
        <v>n/m</v>
      </c>
      <c r="I71" s="19">
        <f>IFERROR(IF(OR(ABS(D70)&lt;0.5,I70*D70&lt;0),"n/m",I70/D70-1),"n/a")</f>
        <v>2.193663771078181</v>
      </c>
      <c r="J71" s="46">
        <f>IFERROR(IF(OR(ABS(E70)&lt;0.5,J70*E70&lt;0),"n/m",J70/E70-1),"n/a")</f>
        <v>-0.5608256477821696</v>
      </c>
      <c r="K71" s="45"/>
    </row>
    <row r="72">
      <c r="B72" s="54" t="s">
        <v>118</v>
      </c>
      <c r="C72" s="4">
        <f>IFERROR(C70-Inputs!F167,"n/a")</f>
        <v>0.394</v>
      </c>
      <c r="D72" s="20">
        <f>IFERROR(D70-C70,"n/a")</f>
        <v>3.52</v>
      </c>
      <c r="E72" s="20">
        <f>IFERROR(E70-D70,"n/a")</f>
        <v>-1.637</v>
      </c>
      <c r="F72" s="20">
        <f>IFERROR(F70-E70,"n/a")</f>
        <v>-1.887</v>
      </c>
      <c r="G72" s="20" t="s">
        <v>34</v>
      </c>
      <c r="H72" s="20">
        <f>IFERROR(H70-F70,"n/a")</f>
        <v>0.91</v>
      </c>
      <c r="I72" s="20">
        <f>IFERROR(I70-H70,"n/a")</f>
        <v>11.2</v>
      </c>
      <c r="J72" s="48">
        <f>IFERROR(J70-I70,"n/a")</f>
        <v>-11.5</v>
      </c>
      <c r="K72" s="45"/>
    </row>
    <row r="73">
      <c r="B73" s="42" t="s">
        <v>442</v>
      </c>
      <c r="C73" s="12">
        <v>-0.239</v>
      </c>
      <c r="D73" s="12">
        <v>-11.906</v>
      </c>
      <c r="E73" s="12">
        <v>0</v>
      </c>
      <c r="F73" s="12">
        <v>0</v>
      </c>
      <c r="G73" s="20">
        <f>SUM(C73:F73)</f>
        <v>-12.145000000000001</v>
      </c>
      <c r="H73" s="12">
        <v>-0.5</v>
      </c>
      <c r="I73" s="12">
        <v>-9</v>
      </c>
      <c r="J73" s="53">
        <v>0</v>
      </c>
      <c r="K73" s="45"/>
    </row>
    <row r="74">
      <c r="B74" s="65" t="s">
        <v>150</v>
      </c>
      <c r="C74" s="33" t="str">
        <f>IFERROR(IF(OR(ABS(Inputs!C168)&lt;0.5,C73*Inputs!C168&lt;0),"n/m",C73/Inputs!C168-1),"n/a")</f>
        <v>n/m</v>
      </c>
      <c r="D74" s="33" t="str">
        <f>IFERROR(IF(OR(ABS(Inputs!D168)&lt;0.5,D73*Inputs!D168&lt;0),"n/m",D73/Inputs!D168-1),"n/a")</f>
        <v>n/m</v>
      </c>
      <c r="E74" s="33" t="str">
        <f>IFERROR(IF(OR(ABS(Inputs!E168)&lt;0.5,E73*Inputs!E168&lt;0),"n/m",E73/Inputs!E168-1),"n/a")</f>
        <v>n/m</v>
      </c>
      <c r="F74" s="33">
        <f>IFERROR(IF(OR(ABS(Inputs!F168)&lt;0.5,F73*Inputs!F168&lt;0),"n/m",F73/Inputs!F168-1),"n/a")</f>
        <v>-1</v>
      </c>
      <c r="G74" s="33">
        <f>IFERROR(IF(OR(ABS(Inputs!G168)&lt;0.5,G73*Inputs!G168&lt;0),"n/m",G73/Inputs!G168-1),"n/a")</f>
        <v>5.054336989032903</v>
      </c>
      <c r="H74" s="19" t="str">
        <f>IFERROR(IF(OR(ABS(C73)&lt;0.5,H73*C73&lt;0),"n/m",H73/C73-1),"n/a")</f>
        <v>n/m</v>
      </c>
      <c r="I74" s="19">
        <f>IFERROR(IF(OR(ABS(D73)&lt;0.5,I73*D73&lt;0),"n/m",I73/D73-1),"n/a")</f>
        <v>-0.2440786158239543</v>
      </c>
      <c r="J74" s="46" t="str">
        <f>IFERROR(IF(OR(ABS(E73)&lt;0.5,J73*E73&lt;0),"n/m",J73/E73-1),"n/a")</f>
        <v>n/m</v>
      </c>
      <c r="K74" s="45"/>
    </row>
    <row r="75">
      <c r="B75" s="54" t="s">
        <v>118</v>
      </c>
      <c r="C75" s="4">
        <f>IFERROR(C73-Inputs!F168,"n/a")</f>
        <v>1.767</v>
      </c>
      <c r="D75" s="20">
        <f>IFERROR(D73-C73,"n/a")</f>
        <v>-11.667</v>
      </c>
      <c r="E75" s="20">
        <f>IFERROR(E73-D73,"n/a")</f>
        <v>11.906</v>
      </c>
      <c r="F75" s="20">
        <f>IFERROR(F73-E73,"n/a")</f>
        <v>0</v>
      </c>
      <c r="G75" s="20" t="s">
        <v>34</v>
      </c>
      <c r="H75" s="20">
        <f>IFERROR(H73-F73,"n/a")</f>
        <v>-0.5</v>
      </c>
      <c r="I75" s="20">
        <f>IFERROR(I73-H73,"n/a")</f>
        <v>-8.5</v>
      </c>
      <c r="J75" s="48">
        <f>IFERROR(J73-I73,"n/a")</f>
        <v>9</v>
      </c>
      <c r="K75" s="45"/>
    </row>
    <row r="76">
      <c r="B76" s="24" t="s">
        <v>443</v>
      </c>
      <c r="C76" s="60">
        <f>C55+C58+C61+C64+C67+C70+C73</f>
        <v>-321.7219999999999</v>
      </c>
      <c r="D76" s="60">
        <f>D55+D58+D61+D64+D67+D70+D73</f>
        <v>-321.10200000000003</v>
      </c>
      <c r="E76" s="60">
        <f>E55+E58+E61+E64+E67+E70+E73</f>
        <v>-369.37599999999964</v>
      </c>
      <c r="F76" s="60">
        <f>F55+F58+F61+F64+F67+F70+F73</f>
        <v>-349.7899999999999</v>
      </c>
      <c r="G76" s="60">
        <f>G55+G58+G61+G64+G67+G70+G73</f>
        <v>-1361.9900000000005</v>
      </c>
      <c r="H76" s="60">
        <f>H55+H58+H61+H64+H67+H70+H73</f>
        <v>-364.49999999999994</v>
      </c>
      <c r="I76" s="60">
        <f>I55+I58+I61+I64+I67+I70+I73</f>
        <v>-339.4</v>
      </c>
      <c r="J76" s="50">
        <f>J55+J58+J61+J64+J67+J70+J73</f>
        <v>-248.03499999999997</v>
      </c>
      <c r="K76" s="45"/>
    </row>
    <row r="77">
      <c r="B77" s="49" t="s">
        <v>150</v>
      </c>
      <c r="C77" s="33">
        <f>IFERROR(IF(OR(ABS(Inputs!C172)&lt;0.5,C76*Inputs!C172&lt;0),"n/m",C76/Inputs!C172-1),"n/a")</f>
        <v>0.5525400172760748</v>
      </c>
      <c r="D77" s="33">
        <f>IFERROR(IF(OR(ABS(Inputs!D172)&lt;0.5,D76*Inputs!D172&lt;0),"n/m",D76/Inputs!D172-1),"n/a")</f>
        <v>-0.1289456265801494</v>
      </c>
      <c r="E77" s="33">
        <f>IFERROR(IF(OR(ABS(Inputs!E172)&lt;0.5,E76*Inputs!E172&lt;0),"n/m",E76/Inputs!E172-1),"n/a")</f>
        <v>0.054558535513009154</v>
      </c>
      <c r="F77" s="33">
        <f>IFERROR(IF(OR(ABS(Inputs!F172)&lt;0.5,F76*Inputs!F172&lt;0),"n/m",F76/Inputs!F172-1),"n/a")</f>
        <v>-0.26542946724263594</v>
      </c>
      <c r="G77" s="33">
        <f>IFERROR(IF(OR(ABS(Inputs!G172)&lt;0.5,G76*Inputs!G172&lt;0),"n/m",G76/Inputs!G172-1),"n/a")</f>
        <v>-0.02875117306611652</v>
      </c>
      <c r="H77" s="19">
        <f>IFERROR(IF(OR(ABS(C76)&lt;0.5,H76*C76&lt;0),"n/m",H76/C76-1),"n/a")</f>
        <v>0.13296572817525698</v>
      </c>
      <c r="I77" s="19">
        <f>IFERROR(IF(OR(ABS(D76)&lt;0.5,I76*D76&lt;0),"n/m",I76/D76-1),"n/a")</f>
        <v>0.05698500787911609</v>
      </c>
      <c r="J77" s="46">
        <f>IFERROR(IF(OR(ABS(E76)&lt;0.5,J76*E76&lt;0),"n/m",J76/E76-1),"n/a")</f>
        <v>-0.3285026639521782</v>
      </c>
      <c r="K77" s="45"/>
    </row>
    <row r="78">
      <c r="B78" s="42" t="s">
        <v>118</v>
      </c>
      <c r="C78" s="4">
        <f>IFERROR(C76-Inputs!F172,"n/a")</f>
        <v>154.46100000000007</v>
      </c>
      <c r="D78" s="20">
        <f>IFERROR(D76-C76,"n/a")</f>
        <v>0.6199999999998909</v>
      </c>
      <c r="E78" s="20">
        <f>IFERROR(E76-D76,"n/a")</f>
        <v>-48.2739999999996</v>
      </c>
      <c r="F78" s="20">
        <f>IFERROR(F76-E76,"n/a")</f>
        <v>19.58599999999973</v>
      </c>
      <c r="G78" s="20" t="s">
        <v>34</v>
      </c>
      <c r="H78" s="20">
        <f>IFERROR(H76-F76,"n/a")</f>
        <v>-14.710000000000036</v>
      </c>
      <c r="I78" s="20">
        <f>IFERROR(I76-H76,"n/a")</f>
        <v>25.099999999999966</v>
      </c>
      <c r="J78" s="48">
        <f>IFERROR(J76-I76,"n/a")</f>
        <v>91.36500000000001</v>
      </c>
      <c r="K78" s="45"/>
    </row>
    <row r="79">
      <c r="B79" s="42" t="s">
        <v>444</v>
      </c>
      <c r="C79" s="12">
        <v>4.209</v>
      </c>
      <c r="D79" s="12">
        <v>6.174</v>
      </c>
      <c r="E79" s="12">
        <v>-1.147</v>
      </c>
      <c r="F79" s="12">
        <v>0.353</v>
      </c>
      <c r="G79" s="20">
        <f>SUM(C79:F79)</f>
        <v>9.589</v>
      </c>
      <c r="H79" s="12">
        <v>-1.8</v>
      </c>
      <c r="I79" s="12">
        <v>1.2</v>
      </c>
      <c r="J79" s="53">
        <v>0</v>
      </c>
      <c r="K79" s="45"/>
    </row>
    <row r="80">
      <c r="B80" s="65" t="s">
        <v>150</v>
      </c>
      <c r="C80" s="33" t="str">
        <f>IFERROR(IF(OR(ABS(Inputs!C169)&lt;0.5,C79*Inputs!C169&lt;0),"n/m",C79/Inputs!C169-1),"n/a")</f>
        <v>n/m</v>
      </c>
      <c r="D80" s="33" t="str">
        <f>IFERROR(IF(OR(ABS(Inputs!D169)&lt;0.5,D79*Inputs!D169&lt;0),"n/m",D79/Inputs!D169-1),"n/a")</f>
        <v>n/m</v>
      </c>
      <c r="E80" s="33" t="str">
        <f>IFERROR(IF(OR(ABS(Inputs!E169)&lt;0.5,E79*Inputs!E169&lt;0),"n/m",E79/Inputs!E169-1),"n/a")</f>
        <v>n/m</v>
      </c>
      <c r="F80" s="33" t="str">
        <f>IFERROR(IF(OR(ABS(Inputs!F169)&lt;0.5,F79*Inputs!F169&lt;0),"n/m",F79/Inputs!F169-1),"n/a")</f>
        <v>n/m</v>
      </c>
      <c r="G80" s="33" t="str">
        <f>IFERROR(IF(OR(ABS(Inputs!G169)&lt;0.5,G79*Inputs!G169&lt;0),"n/m",G79/Inputs!G169-1),"n/a")</f>
        <v>n/m</v>
      </c>
      <c r="H80" s="19" t="str">
        <f>IFERROR(IF(OR(ABS(C79)&lt;0.5,H79*C79&lt;0),"n/m",H79/C79-1),"n/a")</f>
        <v>n/m</v>
      </c>
      <c r="I80" s="19">
        <f>IFERROR(IF(OR(ABS(D79)&lt;0.5,I79*D79&lt;0),"n/m",I79/D79-1),"n/a")</f>
        <v>-0.8056365403304179</v>
      </c>
      <c r="J80" s="46">
        <f>IFERROR(IF(OR(ABS(E79)&lt;0.5,J79*E79&lt;0),"n/m",J79/E79-1),"n/a")</f>
        <v>-1</v>
      </c>
      <c r="K80" s="45"/>
    </row>
    <row r="81">
      <c r="B81" s="54" t="s">
        <v>118</v>
      </c>
      <c r="C81" s="4">
        <f>IFERROR(C79-Inputs!F169,"n/a")</f>
        <v>13.554</v>
      </c>
      <c r="D81" s="20">
        <f>IFERROR(D79-C79,"n/a")</f>
        <v>1.9650000000000007</v>
      </c>
      <c r="E81" s="20">
        <f>IFERROR(E79-D79,"n/a")</f>
        <v>-7.321000000000001</v>
      </c>
      <c r="F81" s="20">
        <f>IFERROR(F79-E79,"n/a")</f>
        <v>1.5</v>
      </c>
      <c r="G81" s="20" t="s">
        <v>34</v>
      </c>
      <c r="H81" s="20">
        <f>IFERROR(H79-F79,"n/a")</f>
        <v>-2.153</v>
      </c>
      <c r="I81" s="20">
        <f>IFERROR(I79-H79,"n/a")</f>
        <v>3</v>
      </c>
      <c r="J81" s="48">
        <f>IFERROR(J79-I79,"n/a")</f>
        <v>-1.2</v>
      </c>
      <c r="K81" s="45"/>
    </row>
    <row r="82">
      <c r="B82" s="24" t="s">
        <v>445</v>
      </c>
      <c r="C82" s="60">
        <f>C34+C51+C76+C79</f>
        <v>-48.68000000000001</v>
      </c>
      <c r="D82" s="60">
        <f>D34+D51+D76+D79</f>
        <v>-13.352999999999987</v>
      </c>
      <c r="E82" s="60">
        <f>E34+E51+E76+E79</f>
        <v>52.77100000000029</v>
      </c>
      <c r="F82" s="60">
        <f>F34+F51+F76+F79</f>
        <v>115.24299999999992</v>
      </c>
      <c r="G82" s="60">
        <f>G34+G51+G76+G79</f>
        <v>105.98099999999982</v>
      </c>
      <c r="H82" s="60">
        <f>H34+H51+H76+H79</f>
        <v>-130</v>
      </c>
      <c r="I82" s="60">
        <f>I34+I51+I76+I79</f>
        <v>-28.900000000000023</v>
      </c>
      <c r="J82" s="50">
        <f>J34+J51+J76+J79</f>
        <v>70.28986460111781</v>
      </c>
      <c r="K82" s="45"/>
    </row>
    <row r="83">
      <c r="B83" s="49" t="s">
        <v>150</v>
      </c>
      <c r="C83" s="33" t="str">
        <f>IFERROR(IF(OR(ABS(Inputs!C173)&lt;0.5,C82*Inputs!C173&lt;0),"n/m",C82/Inputs!C173-1),"n/a")</f>
        <v>n/m</v>
      </c>
      <c r="D83" s="33">
        <f>IFERROR(IF(OR(ABS(Inputs!D173)&lt;0.5,D82*Inputs!D173&lt;0),"n/m",D82/Inputs!D173-1),"n/a")</f>
        <v>-0.8033836911387933</v>
      </c>
      <c r="E83" s="33">
        <f>IFERROR(IF(OR(ABS(Inputs!E173)&lt;0.5,E82*Inputs!E173&lt;0),"n/m",E82/Inputs!E173-1),"n/a")</f>
        <v>0.06440356609786946</v>
      </c>
      <c r="F83" s="33" t="str">
        <f>IFERROR(IF(OR(ABS(Inputs!F173)&lt;0.5,F82*Inputs!F173&lt;0),"n/m",F82/Inputs!F173-1),"n/a")</f>
        <v>n/m</v>
      </c>
      <c r="G83" s="33" t="str">
        <f>IFERROR(IF(OR(ABS(Inputs!G173)&lt;0.5,G82*Inputs!G173&lt;0),"n/m",G82/Inputs!G173-1),"n/a")</f>
        <v>n/m</v>
      </c>
      <c r="H83" s="19">
        <f>IFERROR(IF(OR(ABS(C82)&lt;0.5,H82*C82&lt;0),"n/m",H82/C82-1),"n/a")</f>
        <v>1.67050123253903</v>
      </c>
      <c r="I83" s="19">
        <f>IFERROR(IF(OR(ABS(D82)&lt;0.5,I82*D82&lt;0),"n/m",I82/D82-1),"n/a")</f>
        <v>1.1643076462218267</v>
      </c>
      <c r="J83" s="46">
        <f>IFERROR(IF(OR(ABS(E82)&lt;0.5,J82*E82&lt;0),"n/m",J82/E82-1),"n/a")</f>
        <v>0.3319790150104682</v>
      </c>
      <c r="K83" s="45"/>
    </row>
    <row r="84">
      <c r="B84" s="42" t="s">
        <v>118</v>
      </c>
      <c r="C84" s="4">
        <f>IFERROR(C82-Inputs!F173,"n/a")</f>
        <v>42.94799999999995</v>
      </c>
      <c r="D84" s="20">
        <f>IFERROR(D82-C82,"n/a")</f>
        <v>35.32700000000002</v>
      </c>
      <c r="E84" s="20">
        <f>IFERROR(E82-D82,"n/a")</f>
        <v>66.12400000000028</v>
      </c>
      <c r="F84" s="20">
        <f>IFERROR(F82-E82,"n/a")</f>
        <v>62.47199999999963</v>
      </c>
      <c r="G84" s="20" t="s">
        <v>34</v>
      </c>
      <c r="H84" s="20">
        <f>IFERROR(H82-F82,"n/a")</f>
        <v>-245.24299999999994</v>
      </c>
      <c r="I84" s="20">
        <f>IFERROR(I82-H82,"n/a")</f>
        <v>101.09999999999998</v>
      </c>
      <c r="J84" s="48">
        <f>IFERROR(J82-I82,"n/a")</f>
        <v>99.18986460111783</v>
      </c>
      <c r="K84" s="45"/>
    </row>
    <row r="85">
      <c r="B85" s="2" t="s">
        <v>446</v>
      </c>
      <c r="C85" s="4">
        <f>Inputs!F181</f>
        <v>409.351</v>
      </c>
      <c r="D85" s="20">
        <f>C86</f>
        <v>360.671</v>
      </c>
      <c r="E85" s="20">
        <f>D86</f>
        <v>347.318</v>
      </c>
      <c r="F85" s="20">
        <f>E86</f>
        <v>400.0890000000003</v>
      </c>
      <c r="G85" s="20">
        <f>C85</f>
        <v>409.351</v>
      </c>
      <c r="H85" s="20">
        <f>F86</f>
        <v>515.3320000000002</v>
      </c>
      <c r="I85" s="20">
        <f>H86</f>
        <v>385.3320000000002</v>
      </c>
      <c r="J85" s="61">
        <f>'Balance Sheet'!I10</f>
        <v>356.4</v>
      </c>
      <c r="K85" s="45" t="s">
        <v>447</v>
      </c>
    </row>
    <row r="86">
      <c r="B86" s="24" t="s">
        <v>448</v>
      </c>
      <c r="C86" s="60">
        <f>C85+C82</f>
        <v>360.671</v>
      </c>
      <c r="D86" s="60">
        <f>D85+D82</f>
        <v>347.318</v>
      </c>
      <c r="E86" s="60">
        <f>E85+E82</f>
        <v>400.0890000000003</v>
      </c>
      <c r="F86" s="60">
        <f>F85+F82</f>
        <v>515.3320000000002</v>
      </c>
      <c r="G86" s="60">
        <f>G85+G82</f>
        <v>515.3319999999999</v>
      </c>
      <c r="H86" s="60">
        <f>H85+H82</f>
        <v>385.3320000000002</v>
      </c>
      <c r="I86" s="60">
        <f>I85+I82</f>
        <v>356.4320000000002</v>
      </c>
      <c r="J86" s="50">
        <f>J85+J82</f>
        <v>426.6898646011178</v>
      </c>
      <c r="K86" s="45"/>
    </row>
    <row r="87">
      <c r="B87" s="49" t="s">
        <v>150</v>
      </c>
      <c r="C87" s="33">
        <f>IFERROR(IF(OR(ABS(Inputs!C175)&lt;0.5,C86*Inputs!C175&lt;0),"n/m",C86/Inputs!C175-1),"n/a")</f>
        <v>-0.30548703580678405</v>
      </c>
      <c r="D87" s="33">
        <f>IFERROR(IF(OR(ABS(Inputs!D175)&lt;0.5,D86*Inputs!D175&lt;0),"n/m",D86/Inputs!D175-1),"n/a")</f>
        <v>-0.23057769034627762</v>
      </c>
      <c r="E87" s="33">
        <f>IFERROR(IF(OR(ABS(Inputs!E175)&lt;0.5,E86*Inputs!E175&lt;0),"n/m",E86/Inputs!E175-1),"n/a")</f>
        <v>-0.20138568682519598</v>
      </c>
      <c r="F87" s="33">
        <f>IFERROR(IF(OR(ABS(Inputs!F175)&lt;0.5,F86*Inputs!F175&lt;0),"n/m",F86/Inputs!F175-1),"n/a")</f>
        <v>0.25890006375946295</v>
      </c>
      <c r="G87" s="33">
        <f>IFERROR(IF(OR(ABS(Inputs!G175)&lt;0.5,G86*Inputs!G175&lt;0),"n/m",G86/Inputs!G175-1),"n/a")</f>
        <v>0.25890006375946273</v>
      </c>
      <c r="H87" s="19">
        <f>IFERROR(IF(OR(ABS(C86)&lt;0.5,H86*C86&lt;0),"n/m",H86/C86-1),"n/a")</f>
        <v>0.06837533375292226</v>
      </c>
      <c r="I87" s="19">
        <f>IFERROR(IF(OR(ABS(D86)&lt;0.5,I86*D86&lt;0),"n/m",I86/D86-1),"n/a")</f>
        <v>0.02624108166003558</v>
      </c>
      <c r="J87" s="46">
        <f>IFERROR(IF(OR(ABS(E86)&lt;0.5,J86*E86&lt;0),"n/m",J86/E86-1),"n/a")</f>
        <v>0.06648736806339972</v>
      </c>
      <c r="K87" s="45"/>
    </row>
    <row r="88">
      <c r="B88" s="42" t="s">
        <v>118</v>
      </c>
      <c r="C88" s="4">
        <f>IFERROR(C86-Inputs!F175,"n/a")</f>
        <v>-48.680000000000234</v>
      </c>
      <c r="D88" s="20">
        <f>IFERROR(D86-C86,"n/a")</f>
        <v>-13.353000000000009</v>
      </c>
      <c r="E88" s="20">
        <f>IFERROR(E86-D86,"n/a")</f>
        <v>52.7710000000003</v>
      </c>
      <c r="F88" s="20">
        <f>IFERROR(F86-E86,"n/a")</f>
        <v>115.24299999999994</v>
      </c>
      <c r="G88" s="20" t="s">
        <v>34</v>
      </c>
      <c r="H88" s="20">
        <f>IFERROR(H86-F86,"n/a")</f>
        <v>-130</v>
      </c>
      <c r="I88" s="20">
        <f>IFERROR(I86-H86,"n/a")</f>
        <v>-28.900000000000034</v>
      </c>
      <c r="J88" s="48">
        <f>IFERROR(J86-I86,"n/a")</f>
        <v>70.2578646011176</v>
      </c>
      <c r="K88" s="45"/>
    </row>
    <row r="89">
      <c r="B89" s="42" t="s">
        <v>449</v>
      </c>
      <c r="C89" s="4">
        <f>C86-'Balance Sheet'!C10</f>
        <v>0</v>
      </c>
      <c r="D89" s="4">
        <f>D86-'Balance Sheet'!D10</f>
        <v>0</v>
      </c>
      <c r="E89" s="4">
        <f>E86-'Balance Sheet'!E10</f>
        <v>0</v>
      </c>
      <c r="F89" s="4">
        <f>F86-'Balance Sheet'!F10</f>
        <v>0</v>
      </c>
      <c r="G89" s="4">
        <f>G86-'Balance Sheet'!G10</f>
        <v>0</v>
      </c>
      <c r="H89" s="4">
        <f>H86-'Balance Sheet'!H10</f>
        <v>0.03200000000020964</v>
      </c>
      <c r="I89" s="4">
        <f>I86-'Balance Sheet'!I10</f>
        <v>0.03200000000020964</v>
      </c>
      <c r="J89" s="61">
        <f>J86-'Balance Sheet'!J10</f>
        <v>0</v>
      </c>
      <c r="K89" s="45"/>
    </row>
    <row r="90">
      <c r="B90" s="24" t="s">
        <v>450</v>
      </c>
      <c r="C90" s="10"/>
      <c r="D90" s="10"/>
      <c r="E90" s="10"/>
      <c r="F90" s="10"/>
      <c r="G90" s="10"/>
      <c r="H90" s="10"/>
      <c r="I90" s="10"/>
      <c r="J90" s="51"/>
      <c r="K90" s="45" t="s">
        <v>451</v>
      </c>
    </row>
    <row r="91">
      <c r="B91" s="2" t="s">
        <v>452</v>
      </c>
      <c r="C91" s="20">
        <f>-(C39+C42)</f>
        <v>32.861000000000004</v>
      </c>
      <c r="D91" s="20">
        <f>-(D39+D42)</f>
        <v>34.563</v>
      </c>
      <c r="E91" s="20">
        <f>-(E39+E42)</f>
        <v>26.147</v>
      </c>
      <c r="F91" s="20">
        <f>-(F39+F42)</f>
        <v>36.29</v>
      </c>
      <c r="G91" s="20">
        <f>-(G39+G42)</f>
        <v>129.861</v>
      </c>
      <c r="H91" s="20">
        <f>-(H39+H42)</f>
        <v>28.8</v>
      </c>
      <c r="I91" s="20">
        <f>-(I39+I42)</f>
        <v>44.4</v>
      </c>
      <c r="J91" s="48">
        <f>-(J39+J42)</f>
        <v>45</v>
      </c>
      <c r="K91" s="45"/>
    </row>
    <row r="92">
      <c r="B92" s="49" t="s">
        <v>150</v>
      </c>
      <c r="C92" s="33">
        <f>IFERROR(IF(OR(ABS(Inputs!C176)&lt;0.5,C91*Inputs!C176&lt;0),"n/m",C91/Inputs!C176-1),"n/a")</f>
        <v>0.35581961463877554</v>
      </c>
      <c r="D92" s="33">
        <f>IFERROR(IF(OR(ABS(Inputs!D176)&lt;0.5,D91*Inputs!D176&lt;0),"n/m",D91/Inputs!D176-1),"n/a")</f>
        <v>0.2648856358645928</v>
      </c>
      <c r="E92" s="33">
        <f>IFERROR(IF(OR(ABS(Inputs!E176)&lt;0.5,E91*Inputs!E176&lt;0),"n/m",E91/Inputs!E176-1),"n/a")</f>
        <v>-0.05267925075178448</v>
      </c>
      <c r="F92" s="33">
        <f>IFERROR(IF(OR(ABS(Inputs!F176)&lt;0.5,F91*Inputs!F176&lt;0),"n/m",F91/Inputs!F176-1),"n/a")</f>
        <v>0.009317202058128249</v>
      </c>
      <c r="G92" s="33">
        <f>IFERROR(IF(OR(ABS(Inputs!G176)&lt;0.5,G91*Inputs!G176&lt;0),"n/m",G91/Inputs!G176-1),"n/a")</f>
        <v>0.12806859048975827</v>
      </c>
      <c r="H92" s="19">
        <f>IFERROR(IF(OR(ABS(C91)&lt;0.5,H91*C91&lt;0),"n/m",H91/C91-1),"n/a")</f>
        <v>-0.12358114482212967</v>
      </c>
      <c r="I92" s="19">
        <f>IFERROR(IF(OR(ABS(D91)&lt;0.5,I91*D91&lt;0),"n/m",I91/D91-1),"n/a")</f>
        <v>0.2846107108757918</v>
      </c>
      <c r="J92" s="46">
        <f>IFERROR(IF(OR(ABS(E91)&lt;0.5,J91*E91&lt;0),"n/m",J91/E91-1),"n/a")</f>
        <v>0.721038742494359</v>
      </c>
      <c r="K92" s="45"/>
    </row>
    <row r="93">
      <c r="B93" s="42" t="s">
        <v>118</v>
      </c>
      <c r="C93" s="4">
        <f>IFERROR(C91-Inputs!F176,"n/a")</f>
        <v>-3.093999999999994</v>
      </c>
      <c r="D93" s="20">
        <f>IFERROR(D91-C91,"n/a")</f>
        <v>1.7019999999999982</v>
      </c>
      <c r="E93" s="20">
        <f>IFERROR(E91-D91,"n/a")</f>
        <v>-8.416000000000004</v>
      </c>
      <c r="F93" s="20">
        <f>IFERROR(F91-E91,"n/a")</f>
        <v>10.143</v>
      </c>
      <c r="G93" s="20" t="s">
        <v>34</v>
      </c>
      <c r="H93" s="20">
        <f>IFERROR(H91-F91,"n/a")</f>
        <v>-7.489999999999998</v>
      </c>
      <c r="I93" s="20">
        <f>IFERROR(I91-H91,"n/a")</f>
        <v>15.599999999999998</v>
      </c>
      <c r="J93" s="48">
        <f>IFERROR(J91-I91,"n/a")</f>
        <v>0.6000000000000014</v>
      </c>
      <c r="K93" s="45"/>
    </row>
    <row r="94">
      <c r="B94" s="24" t="s">
        <v>453</v>
      </c>
      <c r="C94" s="60">
        <f>C34-C91</f>
        <v>268.8759999999999</v>
      </c>
      <c r="D94" s="60">
        <f>D34-D91</f>
        <v>301.57500000000005</v>
      </c>
      <c r="E94" s="60">
        <f>E34-E91</f>
        <v>423.2939999999999</v>
      </c>
      <c r="F94" s="60">
        <f>F34-F91</f>
        <v>464.8399999999998</v>
      </c>
      <c r="G94" s="60">
        <f>G34-G91</f>
        <v>1458.5850000000005</v>
      </c>
      <c r="H94" s="60">
        <f>H34-H91</f>
        <v>277.99999999999994</v>
      </c>
      <c r="I94" s="60">
        <f>I34-I91</f>
        <v>326.4</v>
      </c>
      <c r="J94" s="50">
        <f>J34-J91</f>
        <v>438.3248646011178</v>
      </c>
      <c r="K94" s="45"/>
    </row>
    <row r="95">
      <c r="B95" s="49" t="s">
        <v>150</v>
      </c>
      <c r="C95" s="33">
        <f>IFERROR(IF(OR(ABS(Inputs!C177)&lt;0.5,C94*Inputs!C177&lt;0),"n/m",C94/Inputs!C177-1),"n/a")</f>
        <v>-0.025458499456325168</v>
      </c>
      <c r="D95" s="33">
        <f>IFERROR(IF(OR(ABS(Inputs!D177)&lt;0.5,D94*Inputs!D177&lt;0),"n/m",D94/Inputs!D177-1),"n/a")</f>
        <v>-0.06320766145941714</v>
      </c>
      <c r="E95" s="33">
        <f>IFERROR(IF(OR(ABS(Inputs!E177)&lt;0.5,E94*Inputs!E177&lt;0),"n/m",E94/Inputs!E177-1),"n/a")</f>
        <v>0.07432844003167394</v>
      </c>
      <c r="F95" s="33">
        <f>IFERROR(IF(OR(ABS(Inputs!F177)&lt;0.5,F94*Inputs!F177&lt;0),"n/m",F94/Inputs!F177-1),"n/a")</f>
        <v>0.1777702329493911</v>
      </c>
      <c r="G95" s="33">
        <f>IFERROR(IF(OR(ABS(Inputs!G177)&lt;0.5,G94*Inputs!G177&lt;0),"n/m",G94/Inputs!G177-1),"n/a")</f>
        <v>0.05198379527287611</v>
      </c>
      <c r="H95" s="19">
        <f>IFERROR(IF(OR(ABS(C94)&lt;0.5,H94*C94&lt;0),"n/m",H94/C94-1),"n/a")</f>
        <v>0.03393385798658133</v>
      </c>
      <c r="I95" s="19">
        <f>IFERROR(IF(OR(ABS(D94)&lt;0.5,I94*D94&lt;0),"n/m",I94/D94-1),"n/a")</f>
        <v>0.0823178313852273</v>
      </c>
      <c r="J95" s="46">
        <f>IFERROR(IF(OR(ABS(E94)&lt;0.5,J94*E94&lt;0),"n/m",J94/E94-1),"n/a")</f>
        <v>0.035509278660027954</v>
      </c>
      <c r="K95" s="45"/>
    </row>
    <row r="96">
      <c r="B96" s="42" t="s">
        <v>118</v>
      </c>
      <c r="C96" s="4">
        <f>IFERROR(C94-Inputs!F177,"n/a")</f>
        <v>-125.80200000000013</v>
      </c>
      <c r="D96" s="20">
        <f>IFERROR(D94-C94,"n/a")</f>
        <v>32.699000000000126</v>
      </c>
      <c r="E96" s="20">
        <f>IFERROR(E94-D94,"n/a")</f>
        <v>121.71899999999988</v>
      </c>
      <c r="F96" s="20">
        <f>IFERROR(F94-E94,"n/a")</f>
        <v>41.54599999999988</v>
      </c>
      <c r="G96" s="20" t="s">
        <v>34</v>
      </c>
      <c r="H96" s="20">
        <f>IFERROR(H94-F94,"n/a")</f>
        <v>-186.83999999999986</v>
      </c>
      <c r="I96" s="20">
        <f>IFERROR(I94-H94,"n/a")</f>
        <v>48.400000000000034</v>
      </c>
      <c r="J96" s="48">
        <f>IFERROR(J94-I94,"n/a")</f>
        <v>111.9248646011178</v>
      </c>
      <c r="K96" s="45"/>
    </row>
    <row r="97">
      <c r="B97" s="30" t="s">
        <v>454</v>
      </c>
      <c r="C97" s="33">
        <f>C94/'Income Statement'!C80</f>
        <v>0.9316562716562716</v>
      </c>
      <c r="D97" s="33">
        <f>D94/'Income Statement'!D80</f>
        <v>0.9931664745595257</v>
      </c>
      <c r="E97" s="33">
        <f>E94/'Income Statement'!E80</f>
        <v>1.3008980103630765</v>
      </c>
      <c r="F97" s="33">
        <f>F94/'Income Statement'!F80</f>
        <v>1.63291401592727</v>
      </c>
      <c r="G97" s="33">
        <f>G94/'Income Statement'!G80</f>
        <v>1.213157227159498</v>
      </c>
      <c r="H97" s="33">
        <f>H94/'Income Statement'!H80</f>
        <v>0.6847290640394087</v>
      </c>
      <c r="I97" s="33">
        <f>I94/'Income Statement'!I80</f>
        <v>0.9543859649122807</v>
      </c>
      <c r="J97" s="69">
        <f>J94/'Income Statement'!J80</f>
        <v>1.2660120904548766</v>
      </c>
      <c r="K97" s="45"/>
    </row>
    <row r="98">
      <c r="B98" s="49" t="s">
        <v>120</v>
      </c>
      <c r="C98" s="47">
        <f>IFERROR((C97-Inputs!C178)*10000,"n/a")</f>
        <v>-1462.7179354294374</v>
      </c>
      <c r="D98" s="47">
        <f>IFERROR((D97-Inputs!D178)*10000,"n/a")</f>
        <v>-2136.3144715228846</v>
      </c>
      <c r="E98" s="47">
        <f>IFERROR((E97-Inputs!E178)*10000,"n/a")</f>
        <v>-1017.5986554338157</v>
      </c>
      <c r="F98" s="47">
        <f>IFERROR((F97-Inputs!F178)*10000,"n/a")</f>
        <v>3410.69098329116</v>
      </c>
      <c r="G98" s="47">
        <f>IFERROR((G97-Inputs!G178)*10000,"n/a")</f>
        <v>-369.32032150518654</v>
      </c>
      <c r="H98" s="62">
        <f>IFERROR((H97-C97)*10000,"n/a")</f>
        <v>-2469.272076168629</v>
      </c>
      <c r="I98" s="62">
        <f>IFERROR((I97-D97)*10000,"n/a")</f>
        <v>-387.80509647245</v>
      </c>
      <c r="J98" s="64">
        <f>IFERROR((J97-E97)*10000,"n/a")</f>
        <v>-348.8591990819989</v>
      </c>
      <c r="K98" s="45"/>
    </row>
    <row r="99">
      <c r="B99" s="49" t="s">
        <v>121</v>
      </c>
      <c r="C99" s="47">
        <f>IFERROR((C97-Inputs!F178)*10000,"n/a")</f>
        <v>-3601.8864594188226</v>
      </c>
      <c r="D99" s="62">
        <f>IFERROR((D97-C97)*10000,"n/a")</f>
        <v>615.1020290325404</v>
      </c>
      <c r="E99" s="62">
        <f>IFERROR((E97-D97)*10000,"n/a")</f>
        <v>3077.3153580355083</v>
      </c>
      <c r="F99" s="62">
        <f>IFERROR((F97-E97)*10000,"n/a")</f>
        <v>3320.1600556419344</v>
      </c>
      <c r="G99" s="62" t="s">
        <v>34</v>
      </c>
      <c r="H99" s="62">
        <f>IFERROR((H97-F97)*10000,"n/a")</f>
        <v>-9481.849518878613</v>
      </c>
      <c r="I99" s="62">
        <f>IFERROR((I97-H97)*10000,"n/a")</f>
        <v>2696.56900872872</v>
      </c>
      <c r="J99" s="64">
        <f>IFERROR((J97-I97)*10000,"n/a")</f>
        <v>3116.2612554259595</v>
      </c>
      <c r="K99" s="45"/>
    </row>
    <row r="100">
      <c r="B100" s="24" t="s">
        <v>359</v>
      </c>
      <c r="C100" s="10"/>
      <c r="D100" s="10"/>
      <c r="E100" s="10"/>
      <c r="F100" s="10"/>
      <c r="G100" s="10"/>
      <c r="H100" s="10"/>
      <c r="I100" s="10"/>
      <c r="J100" s="51"/>
      <c r="K100" s="45"/>
    </row>
    <row r="101">
      <c r="B101" s="24" t="s">
        <v>455</v>
      </c>
      <c r="C101" s="55" t="b">
        <f>AND(ABS(C89)&lt;0.1,ABS(C34-C37)&lt;0.01)</f>
        <v>1</v>
      </c>
      <c r="D101" s="55" t="b">
        <f>AND(ABS(D89)&lt;0.1,ABS(D34-D37)&lt;0.01)</f>
        <v>1</v>
      </c>
      <c r="E101" s="55" t="b">
        <f>AND(ABS(E89)&lt;0.1,ABS(E34-E37)&lt;0.01)</f>
        <v>1</v>
      </c>
      <c r="F101" s="55" t="b">
        <f>AND(ABS(F89)&lt;0.1,ABS(F34-F37)&lt;0.01)</f>
        <v>1</v>
      </c>
      <c r="G101" s="55" t="b">
        <f>AND(ABS(G89)&lt;0.1,ABS(G34-G37)&lt;0.01)</f>
        <v>1</v>
      </c>
      <c r="H101" s="55" t="b">
        <f>AND(ABS(H89)&lt;0.1,ABS(H34-H37)&lt;0.01)</f>
        <v>1</v>
      </c>
      <c r="I101" s="55" t="b">
        <f>AND(ABS(I89)&lt;0.1,ABS(I34-I37)&lt;0.01)</f>
        <v>1</v>
      </c>
      <c r="J101" s="66" t="b">
        <f>ABS(J89)&lt;0.1</f>
        <v>1</v>
      </c>
      <c r="K101" s="45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1:K10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456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457</v>
      </c>
      <c r="C9" s="10"/>
      <c r="D9" s="10"/>
      <c r="E9" s="10"/>
      <c r="F9" s="10"/>
      <c r="G9" s="10"/>
      <c r="H9" s="10"/>
      <c r="I9" s="10"/>
      <c r="J9" s="51"/>
      <c r="K9" s="45" t="s">
        <v>458</v>
      </c>
    </row>
    <row r="10">
      <c r="B10" s="42" t="s">
        <v>459</v>
      </c>
      <c r="C10" s="12">
        <v>302.4</v>
      </c>
      <c r="D10" s="12">
        <v>309.9</v>
      </c>
      <c r="E10" s="12">
        <v>324.172</v>
      </c>
      <c r="F10" s="20">
        <f>G10-C10-D10-E10</f>
        <v>330.93399999999997</v>
      </c>
      <c r="G10" s="12">
        <v>1267.406</v>
      </c>
      <c r="H10" s="12">
        <v>340.5</v>
      </c>
      <c r="I10" s="12">
        <v>343.7</v>
      </c>
      <c r="J10" s="61">
        <f>'Revenue summary'!J40*I10/I100</f>
        <v>351.7774828202375</v>
      </c>
      <c r="K10" s="45" t="s">
        <v>460</v>
      </c>
    </row>
    <row r="11">
      <c r="B11" s="65" t="s">
        <v>116</v>
      </c>
      <c r="C11" s="33">
        <f>IFERROR(IF(OR(ABS(Inputs!C272)&lt;0.5,C10*Inputs!C272&lt;0),"n/m",C10/Inputs!C272-1),"n/a")</f>
        <v>0.07740268994388488</v>
      </c>
      <c r="D11" s="33">
        <f>IFERROR(IF(OR(ABS(Inputs!D272)&lt;0.5,D10*Inputs!D272&lt;0),"n/m",D10/Inputs!D272-1),"n/a")</f>
        <v>0.06699076927314485</v>
      </c>
      <c r="E11" s="33">
        <f>IFERROR(IF(OR(ABS(Inputs!E272)&lt;0.5,E10*Inputs!E272&lt;0),"n/m",E10/Inputs!E272-1),"n/a")</f>
        <v>0.08937182645164121</v>
      </c>
      <c r="F11" s="33">
        <f>IFERROR(IF(OR(ABS(Inputs!F272)&lt;0.5,F10*Inputs!F272&lt;0),"n/m",F10/Inputs!F272-1),"n/a")</f>
        <v>0.10200031301718582</v>
      </c>
      <c r="G11" s="33">
        <f>IFERROR(IF(OR(ABS(Inputs!G272)&lt;0.5,G10*Inputs!G272&lt;0),"n/m",G10/Inputs!G272-1),"n/a")</f>
        <v>0.08418149560563815</v>
      </c>
      <c r="H11" s="19">
        <f>IFERROR(IF(OR(ABS(C10)&lt;0.5,H10*C10&lt;0),"n/m",H10/C10-1),"n/a")</f>
        <v>0.1259920634920635</v>
      </c>
      <c r="I11" s="19">
        <f>IFERROR(IF(OR(ABS(D10)&lt;0.5,I10*D10&lt;0),"n/m",I10/D10-1),"n/a")</f>
        <v>0.10906744111003563</v>
      </c>
      <c r="J11" s="46">
        <f>IFERROR(IF(OR(ABS(E10)&lt;0.5,J10*E10&lt;0),"n/m",J10/E10-1),"n/a")</f>
        <v>0.08515690072010362</v>
      </c>
      <c r="K11" s="45"/>
    </row>
    <row r="12">
      <c r="B12" s="65" t="s">
        <v>117</v>
      </c>
      <c r="C12" s="33">
        <f>IFERROR(IF(OR(ABS(Inputs!F272)&lt;0.5,C10*Inputs!F272&lt;0),"n/m",C10/Inputs!F272-1),"n/a")</f>
        <v>0.006982947223304503</v>
      </c>
      <c r="D12" s="19">
        <f>IFERROR(IF(OR(ABS(C10)&lt;0.5,D10*C10&lt;0),"n/m",D10/C10-1),"n/a")</f>
        <v>0.024801587301587213</v>
      </c>
      <c r="E12" s="19">
        <f>IFERROR(IF(OR(ABS(D10)&lt;0.5,E10*D10&lt;0),"n/m",E10/D10-1),"n/a")</f>
        <v>0.04605356566634411</v>
      </c>
      <c r="F12" s="19">
        <f>IFERROR(IF(OR(ABS(E10)&lt;0.5,F10*E10&lt;0),"n/m",F10/E10-1),"n/a")</f>
        <v>0.02085929691645161</v>
      </c>
      <c r="G12" s="19" t="s">
        <v>34</v>
      </c>
      <c r="H12" s="19">
        <f>IFERROR(IF(OR(ABS(F10)&lt;0.5,H10*F10&lt;0),"n/m",H10/F10-1),"n/a")</f>
        <v>0.028906065862075225</v>
      </c>
      <c r="I12" s="19">
        <f>IFERROR(IF(OR(ABS(H10)&lt;0.5,I10*H10&lt;0),"n/m",I10/H10-1),"n/a")</f>
        <v>0.009397944199706298</v>
      </c>
      <c r="J12" s="46">
        <f>IFERROR(IF(OR(ABS(I10)&lt;0.5,J10*I10&lt;0),"n/m",J10/I10-1),"n/a")</f>
        <v>0.023501550247999603</v>
      </c>
      <c r="K12" s="45"/>
    </row>
    <row r="13">
      <c r="B13" s="54" t="s">
        <v>118</v>
      </c>
      <c r="C13" s="4">
        <f>IFERROR(C10-Inputs!F272,"n/a")</f>
        <v>2.09699999999998</v>
      </c>
      <c r="D13" s="20">
        <f>IFERROR(D10-C10,"n/a")</f>
        <v>7.5</v>
      </c>
      <c r="E13" s="20">
        <f>IFERROR(E10-D10,"n/a")</f>
        <v>14.272000000000048</v>
      </c>
      <c r="F13" s="20">
        <f>IFERROR(F10-E10,"n/a")</f>
        <v>6.761999999999944</v>
      </c>
      <c r="G13" s="20" t="s">
        <v>34</v>
      </c>
      <c r="H13" s="20">
        <f>IFERROR(H10-F10,"n/a")</f>
        <v>9.566000000000031</v>
      </c>
      <c r="I13" s="20">
        <f>IFERROR(I10-H10,"n/a")</f>
        <v>3.1999999999999886</v>
      </c>
      <c r="J13" s="48">
        <f>IFERROR(J10-I10,"n/a")</f>
        <v>8.077482820237492</v>
      </c>
      <c r="K13" s="45"/>
    </row>
    <row r="14">
      <c r="B14" s="65" t="s">
        <v>119</v>
      </c>
      <c r="C14" s="19">
        <f>IFERROR(C10/C100,"n/a")</f>
        <v>0.40547063555913115</v>
      </c>
      <c r="D14" s="19">
        <f>IFERROR(D10/D100,"n/a")</f>
        <v>0.4010612139251973</v>
      </c>
      <c r="E14" s="19">
        <f>IFERROR(E10/E100,"n/a")</f>
        <v>0.4085724440590553</v>
      </c>
      <c r="F14" s="19">
        <f>IFERROR(F10/F100,"n/a")</f>
        <v>0.402335225456</v>
      </c>
      <c r="G14" s="19">
        <f>IFERROR(G10/G100,"n/a")</f>
        <v>0.40434601313974755</v>
      </c>
      <c r="H14" s="19">
        <f>IFERROR(H10/H100,"n/a")</f>
        <v>0.4002115655853315</v>
      </c>
      <c r="I14" s="19">
        <f>IFERROR(I10/I100,"n/a")</f>
        <v>0.39642445213379474</v>
      </c>
      <c r="J14" s="46">
        <f>IFERROR(J10/J100,"n/a")</f>
        <v>0.39642445213379474</v>
      </c>
      <c r="K14" s="45"/>
    </row>
    <row r="15">
      <c r="B15" s="71" t="s">
        <v>120</v>
      </c>
      <c r="C15" s="47">
        <f>IFERROR((C14-Inputs!C273)*10000,"n/a")</f>
        <v>-73.07963339341694</v>
      </c>
      <c r="D15" s="47">
        <f>IFERROR((D14-Inputs!D273)*10000,"n/a")</f>
        <v>-91.98564674673615</v>
      </c>
      <c r="E15" s="47">
        <f>IFERROR((E14-Inputs!E273)*10000,"n/a")</f>
        <v>-20.456695181934048</v>
      </c>
      <c r="F15" s="47">
        <f>IFERROR((F14-Inputs!F273)*10000,"n/a")</f>
        <v>-15.643910920175585</v>
      </c>
      <c r="G15" s="47">
        <f>IFERROR((G14-Inputs!G273)*10000,"n/a")</f>
        <v>-49.48668331110906</v>
      </c>
      <c r="H15" s="62">
        <f>IFERROR((H14-C14)*10000,"n/a")</f>
        <v>-52.59069973799657</v>
      </c>
      <c r="I15" s="62">
        <f>IFERROR((I14-D14)*10000,"n/a")</f>
        <v>-46.36761791402544</v>
      </c>
      <c r="J15" s="64">
        <f>IFERROR((J14-E14)*10000,"n/a")</f>
        <v>-121.4799192526056</v>
      </c>
      <c r="K15" s="45"/>
    </row>
    <row r="16">
      <c r="B16" s="71" t="s">
        <v>121</v>
      </c>
      <c r="C16" s="47">
        <f>IFERROR((C14-Inputs!F273)*10000,"n/a")</f>
        <v>15.710190111136168</v>
      </c>
      <c r="D16" s="62">
        <f>IFERROR((D14-C14)*10000,"n/a")</f>
        <v>-44.09421633933874</v>
      </c>
      <c r="E16" s="62">
        <f>IFERROR((E14-D14)*10000,"n/a")</f>
        <v>75.11230133858015</v>
      </c>
      <c r="F16" s="62">
        <f>IFERROR((F14-E14)*10000,"n/a")</f>
        <v>-62.372186030553166</v>
      </c>
      <c r="G16" s="62" t="s">
        <v>34</v>
      </c>
      <c r="H16" s="62">
        <f>IFERROR((H14-F14)*10000,"n/a")</f>
        <v>-21.236598706684816</v>
      </c>
      <c r="I16" s="62">
        <f>IFERROR((I14-H14)*10000,"n/a")</f>
        <v>-37.87113451536761</v>
      </c>
      <c r="J16" s="64">
        <f>IFERROR((J14-I14)*10000,"n/a")</f>
        <v>0</v>
      </c>
      <c r="K16" s="45"/>
    </row>
    <row r="17">
      <c r="B17" s="65" t="s">
        <v>122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J17" s="46" t="s">
        <v>34</v>
      </c>
      <c r="K17" s="45" t="s">
        <v>222</v>
      </c>
    </row>
    <row r="18">
      <c r="B18" s="65" t="s">
        <v>124</v>
      </c>
      <c r="C18" s="19" t="s">
        <v>34</v>
      </c>
      <c r="D18" s="19" t="s">
        <v>34</v>
      </c>
      <c r="E18" s="19" t="s">
        <v>34</v>
      </c>
      <c r="F18" s="19" t="s">
        <v>34</v>
      </c>
      <c r="G18" s="19" t="s">
        <v>34</v>
      </c>
      <c r="H18" s="19" t="s">
        <v>34</v>
      </c>
      <c r="I18" s="19" t="s">
        <v>34</v>
      </c>
      <c r="J18" s="46" t="s">
        <v>34</v>
      </c>
      <c r="K18" s="45" t="s">
        <v>223</v>
      </c>
    </row>
    <row r="19">
      <c r="B19" s="65" t="s">
        <v>125</v>
      </c>
      <c r="C19" s="19" t="s">
        <v>34</v>
      </c>
      <c r="D19" s="19" t="s">
        <v>34</v>
      </c>
      <c r="E19" s="19" t="s">
        <v>34</v>
      </c>
      <c r="F19" s="19" t="s">
        <v>34</v>
      </c>
      <c r="G19" s="19" t="s">
        <v>34</v>
      </c>
      <c r="H19" s="19" t="s">
        <v>34</v>
      </c>
      <c r="I19" s="19" t="s">
        <v>34</v>
      </c>
      <c r="J19" s="46" t="s">
        <v>34</v>
      </c>
      <c r="K19" s="45" t="s">
        <v>224</v>
      </c>
    </row>
    <row r="20">
      <c r="B20" s="42" t="s">
        <v>461</v>
      </c>
      <c r="C20" s="12">
        <v>33.7</v>
      </c>
      <c r="D20" s="12">
        <v>36.6</v>
      </c>
      <c r="E20" s="12">
        <v>34.847</v>
      </c>
      <c r="F20" s="20">
        <f>G20-C20-D20-E20</f>
        <v>35.554999999999986</v>
      </c>
      <c r="G20" s="12">
        <v>140.702</v>
      </c>
      <c r="H20" s="12">
        <v>36.9</v>
      </c>
      <c r="I20" s="12">
        <v>39.1</v>
      </c>
      <c r="J20" s="61">
        <f>'Revenue summary'!J40*I20/I100</f>
        <v>40.01891061469679</v>
      </c>
      <c r="K20" s="45" t="s">
        <v>460</v>
      </c>
    </row>
    <row r="21">
      <c r="B21" s="65" t="s">
        <v>116</v>
      </c>
      <c r="C21" s="33">
        <f>IFERROR(IF(OR(ABS(Inputs!C276)&lt;0.5,C20*Inputs!C276&lt;0),"n/m",C20/Inputs!C276-1),"n/a")</f>
        <v>0.11004973813366714</v>
      </c>
      <c r="D21" s="33">
        <f>IFERROR(IF(OR(ABS(Inputs!D276)&lt;0.5,D20*Inputs!D276&lt;0),"n/m",D20/Inputs!D276-1),"n/a")</f>
        <v>0.1095616322076034</v>
      </c>
      <c r="E21" s="33">
        <f>IFERROR(IF(OR(ABS(Inputs!E276)&lt;0.5,E20*Inputs!E276&lt;0),"n/m",E20/Inputs!E276-1),"n/a")</f>
        <v>0.0679108822898471</v>
      </c>
      <c r="F21" s="33">
        <f>IFERROR(IF(OR(ABS(Inputs!F276)&lt;0.5,F20*Inputs!F276&lt;0),"n/m",F20/Inputs!F276-1),"n/a")</f>
        <v>0.07827379147206881</v>
      </c>
      <c r="G21" s="33">
        <f>IFERROR(IF(OR(ABS(Inputs!G276)&lt;0.5,G20*Inputs!G276&lt;0),"n/m",G20/Inputs!G276-1),"n/a")</f>
        <v>0.09113609926328037</v>
      </c>
      <c r="H21" s="19">
        <f>IFERROR(IF(OR(ABS(C20)&lt;0.5,H20*C20&lt;0),"n/m",H20/C20-1),"n/a")</f>
        <v>0.09495548961424327</v>
      </c>
      <c r="I21" s="19">
        <f>IFERROR(IF(OR(ABS(D20)&lt;0.5,I20*D20&lt;0),"n/m",I20/D20-1),"n/a")</f>
        <v>0.06830601092896171</v>
      </c>
      <c r="J21" s="46">
        <f>IFERROR(IF(OR(ABS(E20)&lt;0.5,J20*E20&lt;0),"n/m",J20/E20-1),"n/a")</f>
        <v>0.1484176719573218</v>
      </c>
      <c r="K21" s="45"/>
    </row>
    <row r="22">
      <c r="B22" s="65" t="s">
        <v>117</v>
      </c>
      <c r="C22" s="33">
        <f>IFERROR(IF(OR(ABS(Inputs!F276)&lt;0.5,C20*Inputs!F276&lt;0),"n/m",C20/Inputs!F276-1),"n/a")</f>
        <v>0.02201734700066771</v>
      </c>
      <c r="D22" s="19">
        <f>IFERROR(IF(OR(ABS(C20)&lt;0.5,D20*C20&lt;0),"n/m",D20/C20-1),"n/a")</f>
        <v>0.08605341246290799</v>
      </c>
      <c r="E22" s="19">
        <f>IFERROR(IF(OR(ABS(D20)&lt;0.5,E20*D20&lt;0),"n/m",E20/D20-1),"n/a")</f>
        <v>-0.04789617486338793</v>
      </c>
      <c r="F22" s="19">
        <f>IFERROR(IF(OR(ABS(E20)&lt;0.5,F20*E20&lt;0),"n/m",F20/E20-1),"n/a")</f>
        <v>0.020317387436507683</v>
      </c>
      <c r="G22" s="19" t="s">
        <v>34</v>
      </c>
      <c r="H22" s="19">
        <f>IFERROR(IF(OR(ABS(F20)&lt;0.5,H20*F20&lt;0),"n/m",H20/F20-1),"n/a")</f>
        <v>0.037828716073688984</v>
      </c>
      <c r="I22" s="19">
        <f>IFERROR(IF(OR(ABS(H20)&lt;0.5,I20*H20&lt;0),"n/m",I20/H20-1),"n/a")</f>
        <v>0.05962059620596216</v>
      </c>
      <c r="J22" s="46">
        <f>IFERROR(IF(OR(ABS(I20)&lt;0.5,J20*I20&lt;0),"n/m",J20/I20-1),"n/a")</f>
        <v>0.023501550247999825</v>
      </c>
      <c r="K22" s="45"/>
    </row>
    <row r="23">
      <c r="B23" s="54" t="s">
        <v>118</v>
      </c>
      <c r="C23" s="4">
        <f>IFERROR(C20-Inputs!F276,"n/a")</f>
        <v>0.7260000000000133</v>
      </c>
      <c r="D23" s="20">
        <f>IFERROR(D20-C20,"n/a")</f>
        <v>2.8999999999999986</v>
      </c>
      <c r="E23" s="20">
        <f>IFERROR(E20-D20,"n/a")</f>
        <v>-1.7530000000000001</v>
      </c>
      <c r="F23" s="20">
        <f>IFERROR(F20-E20,"n/a")</f>
        <v>0.7079999999999842</v>
      </c>
      <c r="G23" s="20" t="s">
        <v>34</v>
      </c>
      <c r="H23" s="20">
        <f>IFERROR(H20-F20,"n/a")</f>
        <v>1.345000000000013</v>
      </c>
      <c r="I23" s="20">
        <f>IFERROR(I20-H20,"n/a")</f>
        <v>2.200000000000003</v>
      </c>
      <c r="J23" s="48">
        <f>IFERROR(J20-I20,"n/a")</f>
        <v>0.9189106146967916</v>
      </c>
      <c r="K23" s="45"/>
    </row>
    <row r="24">
      <c r="B24" s="65" t="s">
        <v>119</v>
      </c>
      <c r="C24" s="19">
        <f>IFERROR(C20/C100,"n/a")</f>
        <v>0.04518637704478413</v>
      </c>
      <c r="D24" s="19">
        <f>IFERROR(D20/D100,"n/a")</f>
        <v>0.04736637763685777</v>
      </c>
      <c r="E24" s="19">
        <f>IFERROR(E20/E100,"n/a")</f>
        <v>0.04391965980444301</v>
      </c>
      <c r="F24" s="19">
        <f>IFERROR(F20/F100,"n/a")</f>
        <v>0.043226229221198405</v>
      </c>
      <c r="G24" s="19">
        <f>IFERROR(G20/G100,"n/a")</f>
        <v>0.04488876708867463</v>
      </c>
      <c r="H24" s="19">
        <f>IFERROR(H20/H100,"n/a")</f>
        <v>0.043370944992947816</v>
      </c>
      <c r="I24" s="19">
        <f>IFERROR(I20/I100,"n/a")</f>
        <v>0.04509803921568628</v>
      </c>
      <c r="J24" s="46">
        <f>IFERROR(J20/J100,"n/a")</f>
        <v>0.04509803921568629</v>
      </c>
      <c r="K24" s="45"/>
    </row>
    <row r="25">
      <c r="B25" s="71" t="s">
        <v>120</v>
      </c>
      <c r="C25" s="47">
        <f>IFERROR((C24-Inputs!C277)*10000,"n/a")</f>
        <v>5.384907565192804</v>
      </c>
      <c r="D25" s="47">
        <f>IFERROR((D24-Inputs!D277)*10000,"n/a")</f>
        <v>7.726258270522591</v>
      </c>
      <c r="E25" s="47">
        <f>IFERROR((E24-Inputs!E277)*10000,"n/a")</f>
        <v>-11.069372246929888</v>
      </c>
      <c r="F25" s="47">
        <f>IFERROR((F24-Inputs!F277)*10000,"n/a")</f>
        <v>-11.229313135092955</v>
      </c>
      <c r="G25" s="47">
        <f>IFERROR((G24-Inputs!G277)*10000,"n/a")</f>
        <v>-2.59769671582602</v>
      </c>
      <c r="H25" s="62">
        <f>IFERROR((H24-C24)*10000,"n/a")</f>
        <v>-18.154320518363118</v>
      </c>
      <c r="I25" s="62">
        <f>IFERROR((I24-D24)*10000,"n/a")</f>
        <v>-22.683384211714884</v>
      </c>
      <c r="J25" s="64">
        <f>IFERROR((J24-E24)*10000,"n/a")</f>
        <v>11.783794112432759</v>
      </c>
      <c r="K25" s="45"/>
    </row>
    <row r="26">
      <c r="B26" s="71" t="s">
        <v>121</v>
      </c>
      <c r="C26" s="47">
        <f>IFERROR((C24-Inputs!F277)*10000,"n/a")</f>
        <v>8.372165100764272</v>
      </c>
      <c r="D26" s="62">
        <f>IFERROR((D24-C24)*10000,"n/a")</f>
        <v>21.800005920736414</v>
      </c>
      <c r="E26" s="62">
        <f>IFERROR((E24-D24)*10000,"n/a")</f>
        <v>-34.46717832414757</v>
      </c>
      <c r="F26" s="62">
        <f>IFERROR((F24-E24)*10000,"n/a")</f>
        <v>-6.934305832446072</v>
      </c>
      <c r="G26" s="62" t="s">
        <v>34</v>
      </c>
      <c r="H26" s="62">
        <f>IFERROR((H24-F24)*10000,"n/a")</f>
        <v>1.4471577174941102</v>
      </c>
      <c r="I26" s="62">
        <f>IFERROR((I24-H24)*10000,"n/a")</f>
        <v>17.27094222738465</v>
      </c>
      <c r="J26" s="64">
        <f>IFERROR((J24-I24)*10000,"n/a")</f>
        <v>0</v>
      </c>
      <c r="K26" s="45"/>
    </row>
    <row r="27">
      <c r="B27" s="65" t="s">
        <v>122</v>
      </c>
      <c r="C27" s="19" t="s">
        <v>34</v>
      </c>
      <c r="D27" s="19" t="s">
        <v>34</v>
      </c>
      <c r="E27" s="19" t="s">
        <v>34</v>
      </c>
      <c r="F27" s="19" t="s">
        <v>34</v>
      </c>
      <c r="G27" s="19" t="s">
        <v>34</v>
      </c>
      <c r="H27" s="19" t="s">
        <v>34</v>
      </c>
      <c r="I27" s="19" t="s">
        <v>34</v>
      </c>
      <c r="J27" s="46" t="s">
        <v>34</v>
      </c>
      <c r="K27" s="45" t="s">
        <v>222</v>
      </c>
    </row>
    <row r="28">
      <c r="B28" s="65" t="s">
        <v>124</v>
      </c>
      <c r="C28" s="19" t="s">
        <v>34</v>
      </c>
      <c r="D28" s="19" t="s">
        <v>34</v>
      </c>
      <c r="E28" s="19" t="s">
        <v>34</v>
      </c>
      <c r="F28" s="19" t="s">
        <v>34</v>
      </c>
      <c r="G28" s="19" t="s">
        <v>34</v>
      </c>
      <c r="H28" s="19" t="s">
        <v>34</v>
      </c>
      <c r="I28" s="19" t="s">
        <v>34</v>
      </c>
      <c r="J28" s="46" t="s">
        <v>34</v>
      </c>
      <c r="K28" s="45" t="s">
        <v>223</v>
      </c>
    </row>
    <row r="29">
      <c r="B29" s="65" t="s">
        <v>125</v>
      </c>
      <c r="C29" s="19" t="s">
        <v>34</v>
      </c>
      <c r="D29" s="19" t="s">
        <v>34</v>
      </c>
      <c r="E29" s="19" t="s">
        <v>34</v>
      </c>
      <c r="F29" s="19" t="s">
        <v>34</v>
      </c>
      <c r="G29" s="19" t="s">
        <v>34</v>
      </c>
      <c r="H29" s="19" t="s">
        <v>34</v>
      </c>
      <c r="I29" s="19" t="s">
        <v>34</v>
      </c>
      <c r="J29" s="46" t="s">
        <v>34</v>
      </c>
      <c r="K29" s="45" t="s">
        <v>224</v>
      </c>
    </row>
    <row r="30">
      <c r="B30" s="24" t="s">
        <v>462</v>
      </c>
      <c r="C30" s="60">
        <f>C10+C20</f>
        <v>336.09999999999997</v>
      </c>
      <c r="D30" s="60">
        <f>D10+D20</f>
        <v>346.5</v>
      </c>
      <c r="E30" s="60">
        <f>E10+E20</f>
        <v>359.019</v>
      </c>
      <c r="F30" s="60">
        <f>F10+F20</f>
        <v>366.489</v>
      </c>
      <c r="G30" s="60">
        <f>G10+G20</f>
        <v>1408.108</v>
      </c>
      <c r="H30" s="60">
        <f>H10+H20</f>
        <v>377.4</v>
      </c>
      <c r="I30" s="60">
        <f>I10+I20</f>
        <v>382.8</v>
      </c>
      <c r="J30" s="50">
        <f>J10+J20</f>
        <v>391.79639343493426</v>
      </c>
      <c r="K30" s="45"/>
    </row>
    <row r="31">
      <c r="B31" s="49" t="s">
        <v>116</v>
      </c>
      <c r="C31" s="33">
        <f>IFERROR(IF(OR(ABS(Inputs!C294)&lt;0.5,C30*Inputs!C294&lt;0),"n/m",C30/Inputs!C294-1),"n/a")</f>
        <v>0.08058926033809777</v>
      </c>
      <c r="D31" s="33">
        <f>IFERROR(IF(OR(ABS(Inputs!D294)&lt;0.5,D30*Inputs!D294&lt;0),"n/m",D30/Inputs!D294-1),"n/a")</f>
        <v>0.07133250265127744</v>
      </c>
      <c r="E31" s="33">
        <f>IFERROR(IF(OR(ABS(Inputs!E294)&lt;0.5,E30*Inputs!E294&lt;0),"n/m",E30/Inputs!E294-1),"n/a")</f>
        <v>0.08725106599476695</v>
      </c>
      <c r="F31" s="33">
        <f>IFERROR(IF(OR(ABS(Inputs!F294)&lt;0.5,F30*Inputs!F294&lt;0),"n/m",F30/Inputs!F294-1),"n/a")</f>
        <v>0.0996528413301847</v>
      </c>
      <c r="G31" s="33">
        <f>IFERROR(IF(OR(ABS(Inputs!G294)&lt;0.5,G30*Inputs!G294&lt;0),"n/m",G30/Inputs!G294-1),"n/a")</f>
        <v>0.08487242940395134</v>
      </c>
      <c r="H31" s="19">
        <f>IFERROR(IF(OR(ABS(C30)&lt;0.5,H30*C30&lt;0),"n/m",H30/C30-1),"n/a")</f>
        <v>0.12288009520975907</v>
      </c>
      <c r="I31" s="19">
        <f>IFERROR(IF(OR(ABS(D30)&lt;0.5,I30*D30&lt;0),"n/m",I30/D30-1),"n/a")</f>
        <v>0.10476190476190483</v>
      </c>
      <c r="J31" s="46">
        <f>IFERROR(IF(OR(ABS(E30)&lt;0.5,J30*E30&lt;0),"n/m",J30/E30-1),"n/a")</f>
        <v>0.09129709969370503</v>
      </c>
      <c r="K31" s="45"/>
    </row>
    <row r="32">
      <c r="B32" s="49" t="s">
        <v>117</v>
      </c>
      <c r="C32" s="33">
        <f>IFERROR(IF(OR(ABS(Inputs!F294)&lt;0.5,C30*Inputs!F294&lt;0),"n/m",C30/Inputs!F294-1),"n/a")</f>
        <v>0.008470431502924036</v>
      </c>
      <c r="D32" s="19">
        <f>IFERROR(IF(OR(ABS(C30)&lt;0.5,D30*C30&lt;0),"n/m",D30/C30-1),"n/a")</f>
        <v>0.030943171675096748</v>
      </c>
      <c r="E32" s="19">
        <f>IFERROR(IF(OR(ABS(D30)&lt;0.5,E30*D30&lt;0),"n/m",E30/D30-1),"n/a")</f>
        <v>0.036129870129870234</v>
      </c>
      <c r="F32" s="19">
        <f>IFERROR(IF(OR(ABS(E30)&lt;0.5,F30*E30&lt;0),"n/m",F30/E30-1),"n/a")</f>
        <v>0.02080669825273862</v>
      </c>
      <c r="G32" s="19" t="s">
        <v>34</v>
      </c>
      <c r="H32" s="19">
        <f>IFERROR(IF(OR(ABS(F30)&lt;0.5,H30*F30&lt;0),"n/m",H30/F30-1),"n/a")</f>
        <v>0.029771698468439745</v>
      </c>
      <c r="I32" s="19">
        <f>IFERROR(IF(OR(ABS(H30)&lt;0.5,I30*H30&lt;0),"n/m",I30/H30-1),"n/a")</f>
        <v>0.014308426073132097</v>
      </c>
      <c r="J32" s="46">
        <f>IFERROR(IF(OR(ABS(I30)&lt;0.5,J30*I30&lt;0),"n/m",J30/I30-1),"n/a")</f>
        <v>0.023501550247999603</v>
      </c>
      <c r="K32" s="45"/>
    </row>
    <row r="33">
      <c r="B33" s="42" t="s">
        <v>118</v>
      </c>
      <c r="C33" s="4">
        <f>IFERROR(C30-Inputs!F294,"n/a")</f>
        <v>2.822999999999979</v>
      </c>
      <c r="D33" s="20">
        <f>IFERROR(D30-C30,"n/a")</f>
        <v>10.400000000000034</v>
      </c>
      <c r="E33" s="20">
        <f>IFERROR(E30-D30,"n/a")</f>
        <v>12.519000000000005</v>
      </c>
      <c r="F33" s="20">
        <f>IFERROR(F30-E30,"n/a")</f>
        <v>7.46999999999997</v>
      </c>
      <c r="G33" s="20" t="s">
        <v>34</v>
      </c>
      <c r="H33" s="20">
        <f>IFERROR(H30-F30,"n/a")</f>
        <v>10.911000000000001</v>
      </c>
      <c r="I33" s="20">
        <f>IFERROR(I30-H30,"n/a")</f>
        <v>5.400000000000034</v>
      </c>
      <c r="J33" s="48">
        <f>IFERROR(J30-I30,"n/a")</f>
        <v>8.996393434934248</v>
      </c>
      <c r="K33" s="45"/>
    </row>
    <row r="34">
      <c r="B34" s="49" t="s">
        <v>119</v>
      </c>
      <c r="C34" s="19">
        <f>IFERROR(C30/C100,"n/a")</f>
        <v>0.4506570126039152</v>
      </c>
      <c r="D34" s="19">
        <f>IFERROR(D30/D100,"n/a")</f>
        <v>0.4484275915620551</v>
      </c>
      <c r="E34" s="19">
        <f>IFERROR(E30/E100,"n/a")</f>
        <v>0.45249210386349825</v>
      </c>
      <c r="F34" s="19">
        <f>IFERROR(F30/F100,"n/a")</f>
        <v>0.4455614546771984</v>
      </c>
      <c r="G34" s="19">
        <f>IFERROR(G30/G100,"n/a")</f>
        <v>0.4492347802284222</v>
      </c>
      <c r="H34" s="19">
        <f>IFERROR(H30/H100,"n/a")</f>
        <v>0.44358251057827924</v>
      </c>
      <c r="I34" s="19">
        <f>IFERROR(I30/I100,"n/a")</f>
        <v>0.441522491349481</v>
      </c>
      <c r="J34" s="46">
        <f>IFERROR(J30/J100,"n/a")</f>
        <v>0.441522491349481</v>
      </c>
      <c r="K34" s="45"/>
    </row>
    <row r="35">
      <c r="B35" s="65" t="s">
        <v>120</v>
      </c>
      <c r="C35" s="47">
        <f>IFERROR((C34-Inputs!C295)*10000,"n/a")</f>
        <v>-67.69472582822456</v>
      </c>
      <c r="D35" s="47">
        <f>IFERROR((D34-Inputs!D295)*10000,"n/a")</f>
        <v>-84.25938847621327</v>
      </c>
      <c r="E35" s="47">
        <f>IFERROR((E34-Inputs!E295)*10000,"n/a")</f>
        <v>-31.526067428864213</v>
      </c>
      <c r="F35" s="47">
        <f>IFERROR((F34-Inputs!F295)*10000,"n/a")</f>
        <v>-26.873224055268818</v>
      </c>
      <c r="G35" s="47">
        <f>IFERROR((G34-Inputs!G295)*10000,"n/a")</f>
        <v>-52.08438002693494</v>
      </c>
      <c r="H35" s="62">
        <f>IFERROR((H34-C34)*10000,"n/a")</f>
        <v>-70.74502025635977</v>
      </c>
      <c r="I35" s="62">
        <f>IFERROR((I34-D34)*10000,"n/a")</f>
        <v>-69.05100212574067</v>
      </c>
      <c r="J35" s="64">
        <f>IFERROR((J34-E34)*10000,"n/a")</f>
        <v>-109.69612514017236</v>
      </c>
      <c r="K35" s="45"/>
    </row>
    <row r="36">
      <c r="B36" s="65" t="s">
        <v>121</v>
      </c>
      <c r="C36" s="47">
        <f>IFERROR((C34-Inputs!F295)*10000,"n/a")</f>
        <v>24.08235521189961</v>
      </c>
      <c r="D36" s="62">
        <f>IFERROR((D34-C34)*10000,"n/a")</f>
        <v>-22.294210418601356</v>
      </c>
      <c r="E36" s="62">
        <f>IFERROR((E34-D34)*10000,"n/a")</f>
        <v>40.64512301443168</v>
      </c>
      <c r="F36" s="62">
        <f>IFERROR((F34-E34)*10000,"n/a")</f>
        <v>-69.30649186299875</v>
      </c>
      <c r="G36" s="62" t="s">
        <v>34</v>
      </c>
      <c r="H36" s="62">
        <f>IFERROR((H34-F34)*10000,"n/a")</f>
        <v>-19.78944098919133</v>
      </c>
      <c r="I36" s="62">
        <f>IFERROR((I34-H34)*10000,"n/a")</f>
        <v>-20.600192287982267</v>
      </c>
      <c r="J36" s="64">
        <f>IFERROR((J34-I34)*10000,"n/a")</f>
        <v>0</v>
      </c>
      <c r="K36" s="45"/>
    </row>
    <row r="37">
      <c r="B37" s="49" t="s">
        <v>122</v>
      </c>
      <c r="C37" s="19" t="s">
        <v>34</v>
      </c>
      <c r="D37" s="19" t="s">
        <v>34</v>
      </c>
      <c r="E37" s="19" t="s">
        <v>34</v>
      </c>
      <c r="F37" s="19" t="s">
        <v>34</v>
      </c>
      <c r="G37" s="19" t="s">
        <v>34</v>
      </c>
      <c r="H37" s="19" t="s">
        <v>34</v>
      </c>
      <c r="I37" s="19" t="s">
        <v>34</v>
      </c>
      <c r="J37" s="46" t="s">
        <v>34</v>
      </c>
      <c r="K37" s="45" t="s">
        <v>222</v>
      </c>
    </row>
    <row r="38">
      <c r="B38" s="49" t="s">
        <v>124</v>
      </c>
      <c r="C38" s="19" t="s">
        <v>34</v>
      </c>
      <c r="D38" s="19" t="s">
        <v>34</v>
      </c>
      <c r="E38" s="19" t="s">
        <v>34</v>
      </c>
      <c r="F38" s="19" t="s">
        <v>34</v>
      </c>
      <c r="G38" s="19" t="s">
        <v>34</v>
      </c>
      <c r="H38" s="19" t="s">
        <v>34</v>
      </c>
      <c r="I38" s="19" t="s">
        <v>34</v>
      </c>
      <c r="J38" s="46" t="s">
        <v>34</v>
      </c>
      <c r="K38" s="45" t="s">
        <v>223</v>
      </c>
    </row>
    <row r="39">
      <c r="B39" s="49" t="s">
        <v>125</v>
      </c>
      <c r="C39" s="19" t="s">
        <v>34</v>
      </c>
      <c r="D39" s="19" t="s">
        <v>34</v>
      </c>
      <c r="E39" s="19" t="s">
        <v>34</v>
      </c>
      <c r="F39" s="19" t="s">
        <v>34</v>
      </c>
      <c r="G39" s="19" t="s">
        <v>34</v>
      </c>
      <c r="H39" s="19" t="s">
        <v>34</v>
      </c>
      <c r="I39" s="19" t="s">
        <v>34</v>
      </c>
      <c r="J39" s="46" t="s">
        <v>34</v>
      </c>
      <c r="K39" s="45" t="s">
        <v>224</v>
      </c>
    </row>
    <row r="40">
      <c r="B40" s="42" t="s">
        <v>463</v>
      </c>
      <c r="C40" s="12">
        <v>123.7</v>
      </c>
      <c r="D40" s="12">
        <v>134.3</v>
      </c>
      <c r="E40" s="12">
        <v>138.123</v>
      </c>
      <c r="F40" s="20">
        <f>G40-C40-D40-E40</f>
        <v>147.358</v>
      </c>
      <c r="G40" s="12">
        <v>543.481</v>
      </c>
      <c r="H40" s="12">
        <v>149.7</v>
      </c>
      <c r="I40" s="12">
        <v>156.6</v>
      </c>
      <c r="J40" s="61">
        <f>'Revenue summary'!J40*I40/I100</f>
        <v>160.2803427688368</v>
      </c>
      <c r="K40" s="45" t="s">
        <v>460</v>
      </c>
    </row>
    <row r="41">
      <c r="B41" s="65" t="s">
        <v>116</v>
      </c>
      <c r="C41" s="33">
        <f>IFERROR(IF(OR(ABS(Inputs!C280)&lt;0.5,C40*Inputs!C280&lt;0),"n/m",C40/Inputs!C280-1),"n/a")</f>
        <v>0.09185916164281993</v>
      </c>
      <c r="D41" s="33">
        <f>IFERROR(IF(OR(ABS(Inputs!D280)&lt;0.5,D40*Inputs!D280&lt;0),"n/m",D40/Inputs!D280-1),"n/a")</f>
        <v>0.1553185083229387</v>
      </c>
      <c r="E41" s="33">
        <f>IFERROR(IF(OR(ABS(Inputs!E280)&lt;0.5,E40*Inputs!E280&lt;0),"n/m",E40/Inputs!E280-1),"n/a")</f>
        <v>0.12860341221074645</v>
      </c>
      <c r="F41" s="33">
        <f>IFERROR(IF(OR(ABS(Inputs!F280)&lt;0.5,F40*Inputs!F280&lt;0),"n/m",F40/Inputs!F280-1),"n/a")</f>
        <v>0.15346922161688314</v>
      </c>
      <c r="G41" s="33">
        <f>IFERROR(IF(OR(ABS(Inputs!G280)&lt;0.5,G40*Inputs!G280&lt;0),"n/m",G40/Inputs!G280-1),"n/a")</f>
        <v>0.1330215938324779</v>
      </c>
      <c r="H41" s="19">
        <f>IFERROR(IF(OR(ABS(C40)&lt;0.5,H40*C40&lt;0),"n/m",H40/C40-1),"n/a")</f>
        <v>0.21018593371059002</v>
      </c>
      <c r="I41" s="19">
        <f>IFERROR(IF(OR(ABS(D40)&lt;0.5,I40*D40&lt;0),"n/m",I40/D40-1),"n/a")</f>
        <v>0.16604616530156346</v>
      </c>
      <c r="J41" s="46">
        <f>IFERROR(IF(OR(ABS(E40)&lt;0.5,J40*E40&lt;0),"n/m",J40/E40-1),"n/a")</f>
        <v>0.16041747405455142</v>
      </c>
      <c r="K41" s="45"/>
    </row>
    <row r="42">
      <c r="B42" s="65" t="s">
        <v>117</v>
      </c>
      <c r="C42" s="33">
        <f>IFERROR(IF(OR(ABS(Inputs!F280)&lt;0.5,C40*Inputs!F280&lt;0),"n/m",C40/Inputs!F280-1),"n/a")</f>
        <v>-0.031717703049658375</v>
      </c>
      <c r="D42" s="19">
        <f>IFERROR(IF(OR(ABS(C40)&lt;0.5,D40*C40&lt;0),"n/m",D40/C40-1),"n/a")</f>
        <v>0.08569118835893308</v>
      </c>
      <c r="E42" s="19">
        <f>IFERROR(IF(OR(ABS(D40)&lt;0.5,E40*D40&lt;0),"n/m",E40/D40-1),"n/a")</f>
        <v>0.028466120625465274</v>
      </c>
      <c r="F42" s="19">
        <f>IFERROR(IF(OR(ABS(E40)&lt;0.5,F40*E40&lt;0),"n/m",F40/E40-1),"n/a")</f>
        <v>0.06686069662547167</v>
      </c>
      <c r="G42" s="19" t="s">
        <v>34</v>
      </c>
      <c r="H42" s="19">
        <f>IFERROR(IF(OR(ABS(F40)&lt;0.5,H40*F40&lt;0),"n/m",H40/F40-1),"n/a")</f>
        <v>0.015893266738147727</v>
      </c>
      <c r="I42" s="19">
        <f>IFERROR(IF(OR(ABS(H40)&lt;0.5,I40*H40&lt;0),"n/m",I40/H40-1),"n/a")</f>
        <v>0.04609218436873741</v>
      </c>
      <c r="J42" s="46">
        <f>IFERROR(IF(OR(ABS(I40)&lt;0.5,J40*I40&lt;0),"n/m",J40/I40-1),"n/a")</f>
        <v>0.023501550248000047</v>
      </c>
      <c r="K42" s="45"/>
    </row>
    <row r="43">
      <c r="B43" s="54" t="s">
        <v>118</v>
      </c>
      <c r="C43" s="4">
        <f>IFERROR(C40-Inputs!F280,"n/a")</f>
        <v>-4.05199999999995</v>
      </c>
      <c r="D43" s="20">
        <f>IFERROR(D40-C40,"n/a")</f>
        <v>10.600000000000009</v>
      </c>
      <c r="E43" s="20">
        <f>IFERROR(E40-D40,"n/a")</f>
        <v>3.822999999999979</v>
      </c>
      <c r="F43" s="20">
        <f>IFERROR(F40-E40,"n/a")</f>
        <v>9.235000000000014</v>
      </c>
      <c r="G43" s="20" t="s">
        <v>34</v>
      </c>
      <c r="H43" s="20">
        <f>IFERROR(H40-F40,"n/a")</f>
        <v>2.3419999999999845</v>
      </c>
      <c r="I43" s="20">
        <f>IFERROR(I40-H40,"n/a")</f>
        <v>6.900000000000006</v>
      </c>
      <c r="J43" s="48">
        <f>IFERROR(J40-I40,"n/a")</f>
        <v>3.6803427688367947</v>
      </c>
      <c r="K43" s="45"/>
    </row>
    <row r="44">
      <c r="B44" s="65" t="s">
        <v>119</v>
      </c>
      <c r="C44" s="19">
        <f>IFERROR(C40/C100,"n/a")</f>
        <v>0.1658621614373827</v>
      </c>
      <c r="D44" s="19">
        <f>IFERROR(D40/D100,"n/a")</f>
        <v>0.17380613433415298</v>
      </c>
      <c r="E44" s="19">
        <f>IFERROR(E40/E100,"n/a")</f>
        <v>0.17408428763362932</v>
      </c>
      <c r="F44" s="19">
        <f>IFERROR(F40/F100,"n/a")</f>
        <v>0.17915147477365653</v>
      </c>
      <c r="G44" s="19">
        <f>IFERROR(G40/G100,"n/a")</f>
        <v>0.17338909202513098</v>
      </c>
      <c r="H44" s="19">
        <f>IFERROR(H40/H100,"n/a")</f>
        <v>0.17595204513399154</v>
      </c>
      <c r="I44" s="19">
        <f>IFERROR(I40/I100,"n/a")</f>
        <v>0.18062283737024223</v>
      </c>
      <c r="J44" s="46">
        <f>IFERROR(J40/J100,"n/a")</f>
        <v>0.1806228373702423</v>
      </c>
      <c r="K44" s="45"/>
    </row>
    <row r="45">
      <c r="B45" s="71" t="s">
        <v>120</v>
      </c>
      <c r="C45" s="47">
        <f>IFERROR((C44-Inputs!C281)*10000,"n/a")</f>
        <v>-7.537673236565068</v>
      </c>
      <c r="D45" s="47">
        <f>IFERROR((D44-Inputs!D281)*10000,"n/a")</f>
        <v>96.06453283681815</v>
      </c>
      <c r="E45" s="47">
        <f>IFERROR((E44-Inputs!E281)*10000,"n/a")</f>
        <v>52.1005604974345</v>
      </c>
      <c r="F45" s="47">
        <f>IFERROR((F44-Inputs!F281)*10000,"n/a")</f>
        <v>73.28403364971564</v>
      </c>
      <c r="G45" s="47">
        <f>IFERROR((G44-Inputs!G281)*10000,"n/a")</f>
        <v>54.43537764257517</v>
      </c>
      <c r="H45" s="62">
        <f>IFERROR((H44-C44)*10000,"n/a")</f>
        <v>100.89883696608848</v>
      </c>
      <c r="I45" s="62">
        <f>IFERROR((I44-D44)*10000,"n/a")</f>
        <v>68.1670303608925</v>
      </c>
      <c r="J45" s="64">
        <f>IFERROR((J44-E44)*10000,"n/a")</f>
        <v>65.3854973661297</v>
      </c>
      <c r="K45" s="45"/>
    </row>
    <row r="46">
      <c r="B46" s="71" t="s">
        <v>121</v>
      </c>
      <c r="C46" s="47">
        <f>IFERROR((C44-Inputs!F281)*10000,"n/a")</f>
        <v>-59.60909971302275</v>
      </c>
      <c r="D46" s="62">
        <f>IFERROR((D44-C44)*10000,"n/a")</f>
        <v>79.4397289677029</v>
      </c>
      <c r="E46" s="62">
        <f>IFERROR((E44-D44)*10000,"n/a")</f>
        <v>2.7815329947633582</v>
      </c>
      <c r="F46" s="62">
        <f>IFERROR((F44-E44)*10000,"n/a")</f>
        <v>50.67187140027213</v>
      </c>
      <c r="G46" s="62" t="s">
        <v>34</v>
      </c>
      <c r="H46" s="62">
        <f>IFERROR((H44-F44)*10000,"n/a")</f>
        <v>-31.99429639664991</v>
      </c>
      <c r="I46" s="62">
        <f>IFERROR((I44-H44)*10000,"n/a")</f>
        <v>46.70792236250693</v>
      </c>
      <c r="J46" s="64">
        <f>IFERROR((J44-I44)*10000,"n/a")</f>
        <v>0</v>
      </c>
      <c r="K46" s="45"/>
    </row>
    <row r="47">
      <c r="B47" s="65" t="s">
        <v>122</v>
      </c>
      <c r="C47" s="19" t="s">
        <v>34</v>
      </c>
      <c r="D47" s="19" t="s">
        <v>34</v>
      </c>
      <c r="E47" s="19" t="s">
        <v>34</v>
      </c>
      <c r="F47" s="19" t="s">
        <v>34</v>
      </c>
      <c r="G47" s="19" t="s">
        <v>34</v>
      </c>
      <c r="H47" s="19" t="s">
        <v>34</v>
      </c>
      <c r="I47" s="19" t="s">
        <v>34</v>
      </c>
      <c r="J47" s="46" t="s">
        <v>34</v>
      </c>
      <c r="K47" s="45" t="s">
        <v>222</v>
      </c>
    </row>
    <row r="48">
      <c r="B48" s="65" t="s">
        <v>124</v>
      </c>
      <c r="C48" s="19" t="s">
        <v>34</v>
      </c>
      <c r="D48" s="19" t="s">
        <v>34</v>
      </c>
      <c r="E48" s="19" t="s">
        <v>34</v>
      </c>
      <c r="F48" s="19" t="s">
        <v>34</v>
      </c>
      <c r="G48" s="19" t="s">
        <v>34</v>
      </c>
      <c r="H48" s="19" t="s">
        <v>34</v>
      </c>
      <c r="I48" s="19" t="s">
        <v>34</v>
      </c>
      <c r="J48" s="46" t="s">
        <v>34</v>
      </c>
      <c r="K48" s="45" t="s">
        <v>223</v>
      </c>
    </row>
    <row r="49">
      <c r="B49" s="65" t="s">
        <v>125</v>
      </c>
      <c r="C49" s="19" t="s">
        <v>34</v>
      </c>
      <c r="D49" s="19" t="s">
        <v>34</v>
      </c>
      <c r="E49" s="19" t="s">
        <v>34</v>
      </c>
      <c r="F49" s="19" t="s">
        <v>34</v>
      </c>
      <c r="G49" s="19" t="s">
        <v>34</v>
      </c>
      <c r="H49" s="19" t="s">
        <v>34</v>
      </c>
      <c r="I49" s="19" t="s">
        <v>34</v>
      </c>
      <c r="J49" s="46" t="s">
        <v>34</v>
      </c>
      <c r="K49" s="45" t="s">
        <v>224</v>
      </c>
    </row>
    <row r="50">
      <c r="B50" s="42" t="s">
        <v>464</v>
      </c>
      <c r="C50" s="12">
        <v>169.1</v>
      </c>
      <c r="D50" s="12">
        <v>171.3</v>
      </c>
      <c r="E50" s="12">
        <v>175.413</v>
      </c>
      <c r="F50" s="20">
        <f>G50-C50-D50-E50</f>
        <v>182.685</v>
      </c>
      <c r="G50" s="12">
        <v>698.498</v>
      </c>
      <c r="H50" s="12">
        <v>188.2</v>
      </c>
      <c r="I50" s="12">
        <v>195.7</v>
      </c>
      <c r="J50" s="61">
        <f>'Revenue summary'!J40*I50/I100</f>
        <v>200.29925338353354</v>
      </c>
      <c r="K50" s="45" t="s">
        <v>460</v>
      </c>
    </row>
    <row r="51">
      <c r="B51" s="65" t="s">
        <v>116</v>
      </c>
      <c r="C51" s="33">
        <f>IFERROR(IF(OR(ABS(Inputs!C284)&lt;0.5,C50*Inputs!C284&lt;0),"n/m",C50/Inputs!C284-1),"n/a")</f>
        <v>0.11481764721394483</v>
      </c>
      <c r="D51" s="33">
        <f>IFERROR(IF(OR(ABS(Inputs!D284)&lt;0.5,D50*Inputs!D284&lt;0),"n/m",D50/Inputs!D284-1),"n/a")</f>
        <v>0.08915423644756437</v>
      </c>
      <c r="E51" s="33">
        <f>IFERROR(IF(OR(ABS(Inputs!E284)&lt;0.5,E50*Inputs!E284&lt;0),"n/m",E50/Inputs!E284-1),"n/a")</f>
        <v>0.1120458478879669</v>
      </c>
      <c r="F51" s="33">
        <f>IFERROR(IF(OR(ABS(Inputs!F284)&lt;0.5,F50*Inputs!F284&lt;0),"n/m",F50/Inputs!F284-1),"n/a")</f>
        <v>0.10429058465109531</v>
      </c>
      <c r="G51" s="33">
        <f>IFERROR(IF(OR(ABS(Inputs!G284)&lt;0.5,G50*Inputs!G284&lt;0),"n/m",G50/Inputs!G284-1),"n/a")</f>
        <v>0.1049858178579508</v>
      </c>
      <c r="H51" s="19">
        <f>IFERROR(IF(OR(ABS(C50)&lt;0.5,H50*C50&lt;0),"n/m",H50/C50-1),"n/a")</f>
        <v>0.1129509166173861</v>
      </c>
      <c r="I51" s="19">
        <f>IFERROR(IF(OR(ABS(D50)&lt;0.5,I50*D50&lt;0),"n/m",I50/D50-1),"n/a")</f>
        <v>0.14244016345592514</v>
      </c>
      <c r="J51" s="46">
        <f>IFERROR(IF(OR(ABS(E50)&lt;0.5,J50*E50&lt;0),"n/m",J50/E50-1),"n/a")</f>
        <v>0.14187234346105204</v>
      </c>
      <c r="K51" s="45"/>
    </row>
    <row r="52">
      <c r="B52" s="65" t="s">
        <v>117</v>
      </c>
      <c r="C52" s="33">
        <f>IFERROR(IF(OR(ABS(Inputs!F284)&lt;0.5,C50*Inputs!F284&lt;0),"n/m",C50/Inputs!F284-1),"n/a")</f>
        <v>0.022172252043135332</v>
      </c>
      <c r="D52" s="19">
        <f>IFERROR(IF(OR(ABS(C50)&lt;0.5,D50*C50&lt;0),"n/m",D50/C50-1),"n/a")</f>
        <v>0.013010053222945128</v>
      </c>
      <c r="E52" s="19">
        <f>IFERROR(IF(OR(ABS(D50)&lt;0.5,E50*D50&lt;0),"n/m",E50/D50-1),"n/a")</f>
        <v>0.024010507880910748</v>
      </c>
      <c r="F52" s="19">
        <f>IFERROR(IF(OR(ABS(E50)&lt;0.5,F50*E50&lt;0),"n/m",F50/E50-1),"n/a")</f>
        <v>0.04145644849583552</v>
      </c>
      <c r="G52" s="19" t="s">
        <v>34</v>
      </c>
      <c r="H52" s="19">
        <f>IFERROR(IF(OR(ABS(F50)&lt;0.5,H50*F50&lt;0),"n/m",H50/F50-1),"n/a")</f>
        <v>0.03018857596409119</v>
      </c>
      <c r="I52" s="19">
        <f>IFERROR(IF(OR(ABS(H50)&lt;0.5,I50*H50&lt;0),"n/m",I50/H50-1),"n/a")</f>
        <v>0.03985122210414449</v>
      </c>
      <c r="J52" s="46">
        <f>IFERROR(IF(OR(ABS(I50)&lt;0.5,J50*I50&lt;0),"n/m",J50/I50-1),"n/a")</f>
        <v>0.023501550247999825</v>
      </c>
      <c r="K52" s="45"/>
    </row>
    <row r="53">
      <c r="B53" s="54" t="s">
        <v>118</v>
      </c>
      <c r="C53" s="4">
        <f>IFERROR(C50-Inputs!F284,"n/a")</f>
        <v>3.667999999999978</v>
      </c>
      <c r="D53" s="20">
        <f>IFERROR(D50-C50,"n/a")</f>
        <v>2.200000000000017</v>
      </c>
      <c r="E53" s="20">
        <f>IFERROR(E50-D50,"n/a")</f>
        <v>4.1129999999999995</v>
      </c>
      <c r="F53" s="20">
        <f>IFERROR(F50-E50,"n/a")</f>
        <v>7.271999999999991</v>
      </c>
      <c r="G53" s="20" t="s">
        <v>34</v>
      </c>
      <c r="H53" s="20">
        <f>IFERROR(H50-F50,"n/a")</f>
        <v>5.514999999999986</v>
      </c>
      <c r="I53" s="20">
        <f>IFERROR(I50-H50,"n/a")</f>
        <v>7.5</v>
      </c>
      <c r="J53" s="48">
        <f>IFERROR(J50-I50,"n/a")</f>
        <v>4.599253383533551</v>
      </c>
      <c r="K53" s="45"/>
    </row>
    <row r="54">
      <c r="B54" s="65" t="s">
        <v>119</v>
      </c>
      <c r="C54" s="19">
        <f>IFERROR(C50/C100,"n/a")</f>
        <v>0.22673639045320462</v>
      </c>
      <c r="D54" s="19">
        <f>IFERROR(D50/D100,"n/a")</f>
        <v>0.2216901773003753</v>
      </c>
      <c r="E54" s="19">
        <f>IFERROR(E50/E100,"n/a")</f>
        <v>0.2210829995487922</v>
      </c>
      <c r="F54" s="19">
        <f>IFERROR(F50/F100,"n/a")</f>
        <v>0.2221005114688408</v>
      </c>
      <c r="G54" s="19">
        <f>IFERROR(G50/G100,"n/a")</f>
        <v>0.22284483542455016</v>
      </c>
      <c r="H54" s="19">
        <f>IFERROR(H50/H100,"n/a")</f>
        <v>0.22120357310766336</v>
      </c>
      <c r="I54" s="19">
        <f>IFERROR(I50/I100,"n/a")</f>
        <v>0.22572087658592851</v>
      </c>
      <c r="J54" s="46">
        <f>IFERROR(J50/J100,"n/a")</f>
        <v>0.22572087658592851</v>
      </c>
      <c r="K54" s="45"/>
    </row>
    <row r="55">
      <c r="B55" s="71" t="s">
        <v>120</v>
      </c>
      <c r="C55" s="47">
        <f>IFERROR((C54-Inputs!C285)*10000,"n/a")</f>
        <v>36.60202708247129</v>
      </c>
      <c r="D55" s="47">
        <f>IFERROR((D54-Inputs!D285)*10000,"n/a")</f>
        <v>-4.698935521861292</v>
      </c>
      <c r="E55" s="47">
        <f>IFERROR((E54-Inputs!E285)*10000,"n/a")</f>
        <v>34.23400125578596</v>
      </c>
      <c r="F55" s="47">
        <f>IFERROR((F54-Inputs!F285)*10000,"n/a")</f>
        <v>-4.0116638576487285</v>
      </c>
      <c r="G55" s="47">
        <f>IFERROR((G54-Inputs!G285)*10000,"n/a")</f>
        <v>15.196707260492492</v>
      </c>
      <c r="H55" s="62">
        <f>IFERROR((H54-C54)*10000,"n/a")</f>
        <v>-55.328173455412575</v>
      </c>
      <c r="I55" s="62">
        <f>IFERROR((I54-D54)*10000,"n/a")</f>
        <v>40.30699285553219</v>
      </c>
      <c r="J55" s="64">
        <f>IFERROR((J54-E54)*10000,"n/a")</f>
        <v>46.37877037136307</v>
      </c>
      <c r="K55" s="45"/>
    </row>
    <row r="56">
      <c r="B56" s="71" t="s">
        <v>121</v>
      </c>
      <c r="C56" s="47">
        <f>IFERROR((C54-Inputs!F285)*10000,"n/a")</f>
        <v>42.3471259859895</v>
      </c>
      <c r="D56" s="62">
        <f>IFERROR((D54-C54)*10000,"n/a")</f>
        <v>-50.46213152829326</v>
      </c>
      <c r="E56" s="62">
        <f>IFERROR((E54-D54)*10000,"n/a")</f>
        <v>-6.071777515830878</v>
      </c>
      <c r="F56" s="62">
        <f>IFERROR((F54-E54)*10000,"n/a")</f>
        <v>10.175119200485916</v>
      </c>
      <c r="G56" s="62" t="s">
        <v>34</v>
      </c>
      <c r="H56" s="62">
        <f>IFERROR((H54-F54)*10000,"n/a")</f>
        <v>-8.96938361177435</v>
      </c>
      <c r="I56" s="62">
        <f>IFERROR((I54-H54)*10000,"n/a")</f>
        <v>45.1730347826515</v>
      </c>
      <c r="J56" s="64">
        <f>IFERROR((J54-I54)*10000,"n/a")</f>
        <v>0</v>
      </c>
      <c r="K56" s="45"/>
    </row>
    <row r="57">
      <c r="B57" s="65" t="s">
        <v>122</v>
      </c>
      <c r="C57" s="19" t="s">
        <v>34</v>
      </c>
      <c r="D57" s="19" t="s">
        <v>34</v>
      </c>
      <c r="E57" s="19" t="s">
        <v>34</v>
      </c>
      <c r="F57" s="19" t="s">
        <v>34</v>
      </c>
      <c r="G57" s="19" t="s">
        <v>34</v>
      </c>
      <c r="H57" s="19" t="s">
        <v>34</v>
      </c>
      <c r="I57" s="19" t="s">
        <v>34</v>
      </c>
      <c r="J57" s="46" t="s">
        <v>34</v>
      </c>
      <c r="K57" s="45" t="s">
        <v>222</v>
      </c>
    </row>
    <row r="58">
      <c r="B58" s="65" t="s">
        <v>124</v>
      </c>
      <c r="C58" s="19" t="s">
        <v>34</v>
      </c>
      <c r="D58" s="19" t="s">
        <v>34</v>
      </c>
      <c r="E58" s="19" t="s">
        <v>34</v>
      </c>
      <c r="F58" s="19" t="s">
        <v>34</v>
      </c>
      <c r="G58" s="19" t="s">
        <v>34</v>
      </c>
      <c r="H58" s="19" t="s">
        <v>34</v>
      </c>
      <c r="I58" s="19" t="s">
        <v>34</v>
      </c>
      <c r="J58" s="46" t="s">
        <v>34</v>
      </c>
      <c r="K58" s="45" t="s">
        <v>223</v>
      </c>
    </row>
    <row r="59">
      <c r="B59" s="65" t="s">
        <v>125</v>
      </c>
      <c r="C59" s="19" t="s">
        <v>34</v>
      </c>
      <c r="D59" s="19" t="s">
        <v>34</v>
      </c>
      <c r="E59" s="19" t="s">
        <v>34</v>
      </c>
      <c r="F59" s="19" t="s">
        <v>34</v>
      </c>
      <c r="G59" s="19" t="s">
        <v>34</v>
      </c>
      <c r="H59" s="19" t="s">
        <v>34</v>
      </c>
      <c r="I59" s="19" t="s">
        <v>34</v>
      </c>
      <c r="J59" s="46" t="s">
        <v>34</v>
      </c>
      <c r="K59" s="45" t="s">
        <v>224</v>
      </c>
    </row>
    <row r="60">
      <c r="B60" s="24" t="s">
        <v>465</v>
      </c>
      <c r="C60" s="60">
        <f>C40+C50</f>
        <v>292.8</v>
      </c>
      <c r="D60" s="60">
        <f>D40+D50</f>
        <v>305.6</v>
      </c>
      <c r="E60" s="60">
        <f>E40+E50</f>
        <v>313.536</v>
      </c>
      <c r="F60" s="60">
        <f>F40+F50</f>
        <v>330.043</v>
      </c>
      <c r="G60" s="60">
        <f>G40+G50</f>
        <v>1241.979</v>
      </c>
      <c r="H60" s="60">
        <f>H40+H50</f>
        <v>337.9</v>
      </c>
      <c r="I60" s="60">
        <f>I40+I50</f>
        <v>352.29999999999995</v>
      </c>
      <c r="J60" s="50">
        <f>J40+J50</f>
        <v>360.5795961523703</v>
      </c>
      <c r="K60" s="45"/>
    </row>
    <row r="61">
      <c r="B61" s="49" t="s">
        <v>116</v>
      </c>
      <c r="C61" s="33">
        <f>IFERROR(IF(OR(ABS(Inputs!C296)&lt;0.5,C60*Inputs!C296&lt;0),"n/m",C60/Inputs!C296-1),"n/a")</f>
        <v>0.10500156617366807</v>
      </c>
      <c r="D61" s="33">
        <f>IFERROR(IF(OR(ABS(Inputs!D296)&lt;0.5,D60*Inputs!D296&lt;0),"n/m",D60/Inputs!D296-1),"n/a")</f>
        <v>0.11727350167993178</v>
      </c>
      <c r="E61" s="33">
        <f>IFERROR(IF(OR(ABS(Inputs!E296)&lt;0.5,E60*Inputs!E296&lt;0),"n/m",E60/Inputs!E296-1),"n/a")</f>
        <v>0.11927974496917426</v>
      </c>
      <c r="F61" s="33">
        <f>IFERROR(IF(OR(ABS(Inputs!F296)&lt;0.5,F60*Inputs!F296&lt;0),"n/m",F60/Inputs!F296-1),"n/a")</f>
        <v>0.12571968456668858</v>
      </c>
      <c r="G61" s="33">
        <f>IFERROR(IF(OR(ABS(Inputs!G296)&lt;0.5,G60*Inputs!G296&lt;0),"n/m",G60/Inputs!G296-1),"n/a")</f>
        <v>0.11708147187416529</v>
      </c>
      <c r="H61" s="19">
        <f>IFERROR(IF(OR(ABS(C60)&lt;0.5,H60*C60&lt;0),"n/m",H60/C60-1),"n/a")</f>
        <v>0.15403005464480857</v>
      </c>
      <c r="I61" s="19">
        <f>IFERROR(IF(OR(ABS(D60)&lt;0.5,I60*D60&lt;0),"n/m",I60/D60-1),"n/a")</f>
        <v>0.1528141361256543</v>
      </c>
      <c r="J61" s="46">
        <f>IFERROR(IF(OR(ABS(E60)&lt;0.5,J60*E60&lt;0),"n/m",J60/E60-1),"n/a")</f>
        <v>0.1500420881569271</v>
      </c>
      <c r="K61" s="45"/>
    </row>
    <row r="62">
      <c r="B62" s="49" t="s">
        <v>117</v>
      </c>
      <c r="C62" s="33">
        <f>IFERROR(IF(OR(ABS(Inputs!F296)&lt;0.5,C60*Inputs!F296&lt;0),"n/m",C60/Inputs!F296-1),"n/a")</f>
        <v>-0.00130975769482633</v>
      </c>
      <c r="D62" s="19">
        <f>IFERROR(IF(OR(ABS(C60)&lt;0.5,D60*C60&lt;0),"n/m",D60/C60-1),"n/a")</f>
        <v>0.04371584699453557</v>
      </c>
      <c r="E62" s="19">
        <f>IFERROR(IF(OR(ABS(D60)&lt;0.5,E60*D60&lt;0),"n/m",E60/D60-1),"n/a")</f>
        <v>0.025968586387434378</v>
      </c>
      <c r="F62" s="19">
        <f>IFERROR(IF(OR(ABS(E60)&lt;0.5,F60*E60&lt;0),"n/m",F60/E60-1),"n/a")</f>
        <v>0.052647861808532426</v>
      </c>
      <c r="G62" s="19" t="s">
        <v>34</v>
      </c>
      <c r="H62" s="19">
        <f>IFERROR(IF(OR(ABS(F60)&lt;0.5,H60*F60&lt;0),"n/m",H60/F60-1),"n/a")</f>
        <v>0.023805988916595577</v>
      </c>
      <c r="I62" s="19">
        <f>IFERROR(IF(OR(ABS(H60)&lt;0.5,I60*H60&lt;0),"n/m",I60/H60-1),"n/a")</f>
        <v>0.04261615862681256</v>
      </c>
      <c r="J62" s="46">
        <f>IFERROR(IF(OR(ABS(I60)&lt;0.5,J60*I60&lt;0),"n/m",J60/I60-1),"n/a")</f>
        <v>0.023501550247999825</v>
      </c>
      <c r="K62" s="45"/>
    </row>
    <row r="63">
      <c r="B63" s="42" t="s">
        <v>118</v>
      </c>
      <c r="C63" s="4">
        <f>IFERROR(C60-Inputs!F296,"n/a")</f>
        <v>-0.3839999999999577</v>
      </c>
      <c r="D63" s="20">
        <f>IFERROR(D60-C60,"n/a")</f>
        <v>12.800000000000011</v>
      </c>
      <c r="E63" s="20">
        <f>IFERROR(E60-D60,"n/a")</f>
        <v>7.935999999999979</v>
      </c>
      <c r="F63" s="20">
        <f>IFERROR(F60-E60,"n/a")</f>
        <v>16.507000000000005</v>
      </c>
      <c r="G63" s="20" t="s">
        <v>34</v>
      </c>
      <c r="H63" s="20">
        <f>IFERROR(H60-F60,"n/a")</f>
        <v>7.856999999999971</v>
      </c>
      <c r="I63" s="20">
        <f>IFERROR(I60-H60,"n/a")</f>
        <v>14.399999999999977</v>
      </c>
      <c r="J63" s="48">
        <f>IFERROR(J60-I60,"n/a")</f>
        <v>8.279596152370345</v>
      </c>
      <c r="K63" s="45"/>
    </row>
    <row r="64">
      <c r="B64" s="49" t="s">
        <v>119</v>
      </c>
      <c r="C64" s="19">
        <f>IFERROR(C60/C100,"n/a")</f>
        <v>0.39259855189058734</v>
      </c>
      <c r="D64" s="19">
        <f>IFERROR(D60/D100,"n/a")</f>
        <v>0.3954963116345283</v>
      </c>
      <c r="E64" s="19">
        <f>IFERROR(E60/E100,"n/a")</f>
        <v>0.39516728718242156</v>
      </c>
      <c r="F64" s="19">
        <f>IFERROR(F60/F100,"n/a")</f>
        <v>0.4012519862424973</v>
      </c>
      <c r="G64" s="19">
        <f>IFERROR(G60/G100,"n/a")</f>
        <v>0.39623392744968117</v>
      </c>
      <c r="H64" s="19">
        <f>IFERROR(H60/H100,"n/a")</f>
        <v>0.3971556182416549</v>
      </c>
      <c r="I64" s="19">
        <f>IFERROR(I60/I100,"n/a")</f>
        <v>0.4063437139561707</v>
      </c>
      <c r="J64" s="46">
        <f>IFERROR(J60/J100,"n/a")</f>
        <v>0.40634371395617075</v>
      </c>
      <c r="K64" s="45"/>
    </row>
    <row r="65">
      <c r="B65" s="65" t="s">
        <v>120</v>
      </c>
      <c r="C65" s="47">
        <f>IFERROR((C64-Inputs!C297)*10000,"n/a")</f>
        <v>29.064353845906776</v>
      </c>
      <c r="D65" s="47">
        <f>IFERROR((D64-Inputs!D297)*10000,"n/a")</f>
        <v>91.36559731495686</v>
      </c>
      <c r="E65" s="47">
        <f>IFERROR((E64-Inputs!E297)*10000,"n/a")</f>
        <v>86.33456175322074</v>
      </c>
      <c r="F65" s="47">
        <f>IFERROR((F64-Inputs!F297)*10000,"n/a")</f>
        <v>69.27236979206664</v>
      </c>
      <c r="G65" s="47">
        <f>IFERROR((G64-Inputs!G297)*10000,"n/a")</f>
        <v>69.63208490306793</v>
      </c>
      <c r="H65" s="62">
        <f>IFERROR((H64-C64)*10000,"n/a")</f>
        <v>45.57066351067562</v>
      </c>
      <c r="I65" s="62">
        <f>IFERROR((I64-D64)*10000,"n/a")</f>
        <v>108.47402321642386</v>
      </c>
      <c r="J65" s="64">
        <f>IFERROR((J64-E64)*10000,"n/a")</f>
        <v>111.76426773749193</v>
      </c>
      <c r="K65" s="45"/>
    </row>
    <row r="66">
      <c r="B66" s="65" t="s">
        <v>121</v>
      </c>
      <c r="C66" s="47">
        <f>IFERROR((C64-Inputs!F297)*10000,"n/a")</f>
        <v>-17.261973727032974</v>
      </c>
      <c r="D66" s="62">
        <f>IFERROR((D64-C64)*10000,"n/a")</f>
        <v>28.977597439409642</v>
      </c>
      <c r="E66" s="62">
        <f>IFERROR((E64-D64)*10000,"n/a")</f>
        <v>-3.29024452106752</v>
      </c>
      <c r="F66" s="62">
        <f>IFERROR((F64-E64)*10000,"n/a")</f>
        <v>60.846990600757486</v>
      </c>
      <c r="G66" s="62" t="s">
        <v>34</v>
      </c>
      <c r="H66" s="62">
        <f>IFERROR((H64-F64)*10000,"n/a")</f>
        <v>-40.963680008423985</v>
      </c>
      <c r="I66" s="62">
        <f>IFERROR((I64-H64)*10000,"n/a")</f>
        <v>91.88095714515786</v>
      </c>
      <c r="J66" s="64">
        <f>IFERROR((J64-I64)*10000,"n/a")</f>
        <v>0</v>
      </c>
      <c r="K66" s="45"/>
    </row>
    <row r="67">
      <c r="B67" s="49" t="s">
        <v>122</v>
      </c>
      <c r="C67" s="19" t="s">
        <v>34</v>
      </c>
      <c r="D67" s="19" t="s">
        <v>34</v>
      </c>
      <c r="E67" s="19" t="s">
        <v>34</v>
      </c>
      <c r="F67" s="19" t="s">
        <v>34</v>
      </c>
      <c r="G67" s="19" t="s">
        <v>34</v>
      </c>
      <c r="H67" s="19" t="s">
        <v>34</v>
      </c>
      <c r="I67" s="19" t="s">
        <v>34</v>
      </c>
      <c r="J67" s="46" t="s">
        <v>34</v>
      </c>
      <c r="K67" s="45" t="s">
        <v>222</v>
      </c>
    </row>
    <row r="68">
      <c r="B68" s="49" t="s">
        <v>124</v>
      </c>
      <c r="C68" s="19" t="s">
        <v>34</v>
      </c>
      <c r="D68" s="19" t="s">
        <v>34</v>
      </c>
      <c r="E68" s="19" t="s">
        <v>34</v>
      </c>
      <c r="F68" s="19" t="s">
        <v>34</v>
      </c>
      <c r="G68" s="19" t="s">
        <v>34</v>
      </c>
      <c r="H68" s="19" t="s">
        <v>34</v>
      </c>
      <c r="I68" s="19" t="s">
        <v>34</v>
      </c>
      <c r="J68" s="46" t="s">
        <v>34</v>
      </c>
      <c r="K68" s="45" t="s">
        <v>223</v>
      </c>
    </row>
    <row r="69">
      <c r="B69" s="49" t="s">
        <v>125</v>
      </c>
      <c r="C69" s="19" t="s">
        <v>34</v>
      </c>
      <c r="D69" s="19" t="s">
        <v>34</v>
      </c>
      <c r="E69" s="19" t="s">
        <v>34</v>
      </c>
      <c r="F69" s="19" t="s">
        <v>34</v>
      </c>
      <c r="G69" s="19" t="s">
        <v>34</v>
      </c>
      <c r="H69" s="19" t="s">
        <v>34</v>
      </c>
      <c r="I69" s="19" t="s">
        <v>34</v>
      </c>
      <c r="J69" s="46" t="s">
        <v>34</v>
      </c>
      <c r="K69" s="45" t="s">
        <v>224</v>
      </c>
    </row>
    <row r="70">
      <c r="B70" s="42" t="s">
        <v>466</v>
      </c>
      <c r="C70" s="12">
        <v>30.2</v>
      </c>
      <c r="D70" s="12">
        <v>32</v>
      </c>
      <c r="E70" s="12">
        <v>32.534</v>
      </c>
      <c r="F70" s="20">
        <f>G70-C70-D70-E70</f>
        <v>32.877</v>
      </c>
      <c r="G70" s="12">
        <v>127.611</v>
      </c>
      <c r="H70" s="12">
        <v>37.1</v>
      </c>
      <c r="I70" s="12">
        <v>35.4</v>
      </c>
      <c r="J70" s="61">
        <f>'Revenue summary'!J40*I70/I100</f>
        <v>36.23195487877919</v>
      </c>
      <c r="K70" s="45" t="s">
        <v>460</v>
      </c>
    </row>
    <row r="71">
      <c r="B71" s="65" t="s">
        <v>116</v>
      </c>
      <c r="C71" s="33">
        <f>IFERROR(IF(OR(ABS(Inputs!C288)&lt;0.5,C70*Inputs!C288&lt;0),"n/m",C70/Inputs!C288-1),"n/a")</f>
        <v>0.13649192789673736</v>
      </c>
      <c r="D71" s="33">
        <f>IFERROR(IF(OR(ABS(Inputs!D288)&lt;0.5,D70*Inputs!D288&lt;0),"n/m",D70/Inputs!D288-1),"n/a")</f>
        <v>0.10455282869075977</v>
      </c>
      <c r="E71" s="33">
        <f>IFERROR(IF(OR(ABS(Inputs!E288)&lt;0.5,E70*Inputs!E288&lt;0),"n/m",E70/Inputs!E288-1),"n/a")</f>
        <v>0.12835986543197042</v>
      </c>
      <c r="F71" s="33">
        <f>IFERROR(IF(OR(ABS(Inputs!F288)&lt;0.5,F70*Inputs!F288&lt;0),"n/m",F70/Inputs!F288-1),"n/a")</f>
        <v>0.10399597044996645</v>
      </c>
      <c r="G71" s="33">
        <f>IFERROR(IF(OR(ABS(Inputs!G288)&lt;0.5,G70*Inputs!G288&lt;0),"n/m",G70/Inputs!G288-1),"n/a")</f>
        <v>0.1178552344578081</v>
      </c>
      <c r="H71" s="19">
        <f>IFERROR(IF(OR(ABS(C70)&lt;0.5,H70*C70&lt;0),"n/m",H70/C70-1),"n/a")</f>
        <v>0.22847682119205315</v>
      </c>
      <c r="I71" s="19">
        <f>IFERROR(IF(OR(ABS(D70)&lt;0.5,I70*D70&lt;0),"n/m",I70/D70-1),"n/a")</f>
        <v>0.10624999999999996</v>
      </c>
      <c r="J71" s="46">
        <f>IFERROR(IF(OR(ABS(E70)&lt;0.5,J70*E70&lt;0),"n/m",J70/E70-1),"n/a")</f>
        <v>0.11366431667729748</v>
      </c>
      <c r="K71" s="45"/>
    </row>
    <row r="72">
      <c r="B72" s="65" t="s">
        <v>117</v>
      </c>
      <c r="C72" s="33">
        <f>IFERROR(IF(OR(ABS(Inputs!F288)&lt;0.5,C70*Inputs!F288&lt;0),"n/m",C70/Inputs!F288-1),"n/a")</f>
        <v>0.01410342511752849</v>
      </c>
      <c r="D72" s="19">
        <f>IFERROR(IF(OR(ABS(C70)&lt;0.5,D70*C70&lt;0),"n/m",D70/C70-1),"n/a")</f>
        <v>0.0596026490066226</v>
      </c>
      <c r="E72" s="19">
        <f>IFERROR(IF(OR(ABS(D70)&lt;0.5,E70*D70&lt;0),"n/m",E70/D70-1),"n/a")</f>
        <v>0.016687499999999966</v>
      </c>
      <c r="F72" s="19">
        <f>IFERROR(IF(OR(ABS(E70)&lt;0.5,F70*E70&lt;0),"n/m",F70/E70-1),"n/a")</f>
        <v>0.01054281674555857</v>
      </c>
      <c r="G72" s="19" t="s">
        <v>34</v>
      </c>
      <c r="H72" s="19">
        <f>IFERROR(IF(OR(ABS(F70)&lt;0.5,H70*F70&lt;0),"n/m",H70/F70-1),"n/a")</f>
        <v>0.12844845940931338</v>
      </c>
      <c r="I72" s="19">
        <f>IFERROR(IF(OR(ABS(H70)&lt;0.5,I70*H70&lt;0),"n/m",I70/H70-1),"n/a")</f>
        <v>-0.04582210242587603</v>
      </c>
      <c r="J72" s="46">
        <f>IFERROR(IF(OR(ABS(I70)&lt;0.5,J70*I70&lt;0),"n/m",J70/I70-1),"n/a")</f>
        <v>0.023501550247999825</v>
      </c>
      <c r="K72" s="45"/>
    </row>
    <row r="73">
      <c r="B73" s="54" t="s">
        <v>118</v>
      </c>
      <c r="C73" s="4">
        <f>IFERROR(C70-Inputs!F288,"n/a")</f>
        <v>0.41999999999999815</v>
      </c>
      <c r="D73" s="20">
        <f>IFERROR(D70-C70,"n/a")</f>
        <v>1.8000000000000007</v>
      </c>
      <c r="E73" s="20">
        <f>IFERROR(E70-D70,"n/a")</f>
        <v>0.5339999999999989</v>
      </c>
      <c r="F73" s="20">
        <f>IFERROR(F70-E70,"n/a")</f>
        <v>0.3430000000000035</v>
      </c>
      <c r="G73" s="20" t="s">
        <v>34</v>
      </c>
      <c r="H73" s="20">
        <f>IFERROR(H70-F70,"n/a")</f>
        <v>4.222999999999999</v>
      </c>
      <c r="I73" s="20">
        <f>IFERROR(I70-H70,"n/a")</f>
        <v>-1.7000000000000028</v>
      </c>
      <c r="J73" s="48">
        <f>IFERROR(J70-I70,"n/a")</f>
        <v>0.831954878779193</v>
      </c>
      <c r="K73" s="45"/>
    </row>
    <row r="74">
      <c r="B74" s="65" t="s">
        <v>119</v>
      </c>
      <c r="C74" s="19">
        <f>IFERROR(C70/C100,"n/a")</f>
        <v>0.040493429873960846</v>
      </c>
      <c r="D74" s="19">
        <f>IFERROR(D70/D100,"n/a")</f>
        <v>0.041413226349165264</v>
      </c>
      <c r="E74" s="19">
        <f>IFERROR(E70/E100,"n/a")</f>
        <v>0.041004454101579726</v>
      </c>
      <c r="F74" s="19">
        <f>IFERROR(F70/F100,"n/a")</f>
        <v>0.03997043279722517</v>
      </c>
      <c r="G74" s="19">
        <f>IFERROR(G70/G100,"n/a")</f>
        <v>0.040712288787315455</v>
      </c>
      <c r="H74" s="19">
        <f>IFERROR(H70/H100,"n/a")</f>
        <v>0.04360601786553832</v>
      </c>
      <c r="I74" s="19">
        <f>IFERROR(I70/I100,"n/a")</f>
        <v>0.04083044982698962</v>
      </c>
      <c r="J74" s="46">
        <f>IFERROR(J70/J100,"n/a")</f>
        <v>0.04083044982698963</v>
      </c>
      <c r="K74" s="45"/>
    </row>
    <row r="75">
      <c r="B75" s="71" t="s">
        <v>120</v>
      </c>
      <c r="C75" s="47">
        <f>IFERROR((C74-Inputs!C289)*10000,"n/a")</f>
        <v>14.134772293394327</v>
      </c>
      <c r="D75" s="47">
        <f>IFERROR((D74-Inputs!D289)*10000,"n/a")</f>
        <v>4.90787020908566</v>
      </c>
      <c r="E75" s="47">
        <f>IFERROR((E74-Inputs!E289)*10000,"n/a")</f>
        <v>12.1861020647758</v>
      </c>
      <c r="F75" s="47">
        <f>IFERROR((F74-Inputs!F289)*10000,"n/a")</f>
        <v>-0.828819575390688</v>
      </c>
      <c r="G75" s="47">
        <f>IFERROR((G74-Inputs!G289)*10000,"n/a")</f>
        <v>7.431417462864867</v>
      </c>
      <c r="H75" s="62">
        <f>IFERROR((H74-C74)*10000,"n/a")</f>
        <v>31.12587991577473</v>
      </c>
      <c r="I75" s="62">
        <f>IFERROR((I74-D74)*10000,"n/a")</f>
        <v>-5.827765221756431</v>
      </c>
      <c r="J75" s="64">
        <f>IFERROR((J74-E74)*10000,"n/a")</f>
        <v>-1.740042745900991</v>
      </c>
      <c r="K75" s="45"/>
    </row>
    <row r="76">
      <c r="B76" s="71" t="s">
        <v>121</v>
      </c>
      <c r="C76" s="47">
        <f>IFERROR((C74-Inputs!F289)*10000,"n/a")</f>
        <v>4.401151191966088</v>
      </c>
      <c r="D76" s="62">
        <f>IFERROR((D74-C74)*10000,"n/a")</f>
        <v>9.19796475204418</v>
      </c>
      <c r="E76" s="62">
        <f>IFERROR((E74-D74)*10000,"n/a")</f>
        <v>-4.0877224758553705</v>
      </c>
      <c r="F76" s="62">
        <f>IFERROR((F74-E74)*10000,"n/a")</f>
        <v>-10.340213043545585</v>
      </c>
      <c r="G76" s="62" t="s">
        <v>34</v>
      </c>
      <c r="H76" s="62">
        <f>IFERROR((H74-F74)*10000,"n/a")</f>
        <v>36.35585068313151</v>
      </c>
      <c r="I76" s="62">
        <f>IFERROR((I74-H74)*10000,"n/a")</f>
        <v>-27.75568038548698</v>
      </c>
      <c r="J76" s="64">
        <f>IFERROR((J74-I74)*10000,"n/a")</f>
        <v>0</v>
      </c>
      <c r="K76" s="45"/>
    </row>
    <row r="77">
      <c r="B77" s="65" t="s">
        <v>122</v>
      </c>
      <c r="C77" s="19" t="s">
        <v>34</v>
      </c>
      <c r="D77" s="19" t="s">
        <v>34</v>
      </c>
      <c r="E77" s="19" t="s">
        <v>34</v>
      </c>
      <c r="F77" s="19" t="s">
        <v>34</v>
      </c>
      <c r="G77" s="19" t="s">
        <v>34</v>
      </c>
      <c r="H77" s="19" t="s">
        <v>34</v>
      </c>
      <c r="I77" s="19" t="s">
        <v>34</v>
      </c>
      <c r="J77" s="46" t="s">
        <v>34</v>
      </c>
      <c r="K77" s="45" t="s">
        <v>222</v>
      </c>
    </row>
    <row r="78">
      <c r="B78" s="65" t="s">
        <v>124</v>
      </c>
      <c r="C78" s="19" t="s">
        <v>34</v>
      </c>
      <c r="D78" s="19" t="s">
        <v>34</v>
      </c>
      <c r="E78" s="19" t="s">
        <v>34</v>
      </c>
      <c r="F78" s="19" t="s">
        <v>34</v>
      </c>
      <c r="G78" s="19" t="s">
        <v>34</v>
      </c>
      <c r="H78" s="19" t="s">
        <v>34</v>
      </c>
      <c r="I78" s="19" t="s">
        <v>34</v>
      </c>
      <c r="J78" s="46" t="s">
        <v>34</v>
      </c>
      <c r="K78" s="45" t="s">
        <v>223</v>
      </c>
    </row>
    <row r="79">
      <c r="B79" s="65" t="s">
        <v>125</v>
      </c>
      <c r="C79" s="19" t="s">
        <v>34</v>
      </c>
      <c r="D79" s="19" t="s">
        <v>34</v>
      </c>
      <c r="E79" s="19" t="s">
        <v>34</v>
      </c>
      <c r="F79" s="19" t="s">
        <v>34</v>
      </c>
      <c r="G79" s="19" t="s">
        <v>34</v>
      </c>
      <c r="H79" s="19" t="s">
        <v>34</v>
      </c>
      <c r="I79" s="19" t="s">
        <v>34</v>
      </c>
      <c r="J79" s="46" t="s">
        <v>34</v>
      </c>
      <c r="K79" s="45" t="s">
        <v>224</v>
      </c>
    </row>
    <row r="80">
      <c r="B80" s="42" t="s">
        <v>467</v>
      </c>
      <c r="C80" s="12">
        <v>86.7</v>
      </c>
      <c r="D80" s="12">
        <v>88.6</v>
      </c>
      <c r="E80" s="12">
        <v>88.337</v>
      </c>
      <c r="F80" s="20">
        <f>G80-C80-D80-E80</f>
        <v>93.12400000000004</v>
      </c>
      <c r="G80" s="12">
        <v>356.761</v>
      </c>
      <c r="H80" s="12">
        <v>98.4</v>
      </c>
      <c r="I80" s="12">
        <v>96.5</v>
      </c>
      <c r="J80" s="61">
        <f>'Revenue summary'!J40*I80/I100</f>
        <v>98.76789959893198</v>
      </c>
      <c r="K80" s="45" t="s">
        <v>460</v>
      </c>
    </row>
    <row r="81">
      <c r="B81" s="65" t="s">
        <v>116</v>
      </c>
      <c r="C81" s="33">
        <f>IFERROR(IF(OR(ABS(Inputs!C292)&lt;0.5,C80*Inputs!C292&lt;0),"n/m",C80/Inputs!C292-1),"n/a")</f>
        <v>0.12043007973533548</v>
      </c>
      <c r="D81" s="33">
        <f>IFERROR(IF(OR(ABS(Inputs!D292)&lt;0.5,D80*Inputs!D292&lt;0),"n/m",D80/Inputs!D292-1),"n/a")</f>
        <v>0.08014531977665618</v>
      </c>
      <c r="E81" s="33">
        <f>IFERROR(IF(OR(ABS(Inputs!E292)&lt;0.5,E80*Inputs!E292&lt;0),"n/m",E80/Inputs!E292-1),"n/a")</f>
        <v>0.03268608035912601</v>
      </c>
      <c r="F81" s="33">
        <f>IFERROR(IF(OR(ABS(Inputs!F292)&lt;0.5,F80*Inputs!F292&lt;0),"n/m",F80/Inputs!F292-1),"n/a")</f>
        <v>0.06710363478021764</v>
      </c>
      <c r="G81" s="33">
        <f>IFERROR(IF(OR(ABS(Inputs!G292)&lt;0.5,G80*Inputs!G292&lt;0),"n/m",G80/Inputs!G292-1),"n/a")</f>
        <v>0.07388265465841504</v>
      </c>
      <c r="H81" s="19">
        <f>IFERROR(IF(OR(ABS(C80)&lt;0.5,H80*C80&lt;0),"n/m",H80/C80-1),"n/a")</f>
        <v>0.13494809688581322</v>
      </c>
      <c r="I81" s="19">
        <f>IFERROR(IF(OR(ABS(D80)&lt;0.5,I80*D80&lt;0),"n/m",I80/D80-1),"n/a")</f>
        <v>0.08916478555304752</v>
      </c>
      <c r="J81" s="46">
        <f>IFERROR(IF(OR(ABS(E80)&lt;0.5,J80*E80&lt;0),"n/m",J80/E80-1),"n/a")</f>
        <v>0.11808075437168997</v>
      </c>
      <c r="K81" s="45"/>
    </row>
    <row r="82">
      <c r="B82" s="65" t="s">
        <v>117</v>
      </c>
      <c r="C82" s="33">
        <f>IFERROR(IF(OR(ABS(Inputs!F292)&lt;0.5,C80*Inputs!F292&lt;0),"n/m",C80/Inputs!F292-1),"n/a")</f>
        <v>-0.006508685887152144</v>
      </c>
      <c r="D82" s="19">
        <f>IFERROR(IF(OR(ABS(C80)&lt;0.5,D80*C80&lt;0),"n/m",D80/C80-1),"n/a")</f>
        <v>0.021914648212225885</v>
      </c>
      <c r="E82" s="19">
        <f>IFERROR(IF(OR(ABS(D80)&lt;0.5,E80*D80&lt;0),"n/m",E80/D80-1),"n/a")</f>
        <v>-0.0029683972911962453</v>
      </c>
      <c r="F82" s="19">
        <f>IFERROR(IF(OR(ABS(E80)&lt;0.5,F80*E80&lt;0),"n/m",F80/E80-1),"n/a")</f>
        <v>0.05419020342551861</v>
      </c>
      <c r="G82" s="19" t="s">
        <v>34</v>
      </c>
      <c r="H82" s="19">
        <f>IFERROR(IF(OR(ABS(F80)&lt;0.5,H80*F80&lt;0),"n/m",H80/F80-1),"n/a")</f>
        <v>0.05665564193977879</v>
      </c>
      <c r="I82" s="19">
        <f>IFERROR(IF(OR(ABS(H80)&lt;0.5,I80*H80&lt;0),"n/m",I80/H80-1),"n/a")</f>
        <v>-0.019308943089430985</v>
      </c>
      <c r="J82" s="46">
        <f>IFERROR(IF(OR(ABS(I80)&lt;0.5,J80*I80&lt;0),"n/m",J80/I80-1),"n/a")</f>
        <v>0.023501550247999825</v>
      </c>
      <c r="K82" s="45"/>
    </row>
    <row r="83">
      <c r="B83" s="54" t="s">
        <v>118</v>
      </c>
      <c r="C83" s="4">
        <f>IFERROR(C80-Inputs!F292,"n/a")</f>
        <v>-0.5679999999999978</v>
      </c>
      <c r="D83" s="20">
        <f>IFERROR(D80-C80,"n/a")</f>
        <v>1.8999999999999915</v>
      </c>
      <c r="E83" s="20">
        <f>IFERROR(E80-D80,"n/a")</f>
        <v>-0.262999999999991</v>
      </c>
      <c r="F83" s="20">
        <f>IFERROR(F80-E80,"n/a")</f>
        <v>4.787000000000035</v>
      </c>
      <c r="G83" s="20" t="s">
        <v>34</v>
      </c>
      <c r="H83" s="20">
        <f>IFERROR(H80-F80,"n/a")</f>
        <v>5.275999999999968</v>
      </c>
      <c r="I83" s="20">
        <f>IFERROR(I80-H80,"n/a")</f>
        <v>-1.9000000000000057</v>
      </c>
      <c r="J83" s="48">
        <f>IFERROR(J80-I80,"n/a")</f>
        <v>2.267899598931976</v>
      </c>
      <c r="K83" s="45"/>
    </row>
    <row r="84">
      <c r="B84" s="65" t="s">
        <v>119</v>
      </c>
      <c r="C84" s="19">
        <f>IFERROR(C80/C100,"n/a")</f>
        <v>0.11625100563153662</v>
      </c>
      <c r="D84" s="19">
        <f>IFERROR(D80/D100,"n/a")</f>
        <v>0.11466287045425132</v>
      </c>
      <c r="E84" s="19">
        <f>IFERROR(E80/E100,"n/a")</f>
        <v>0.11133615485250042</v>
      </c>
      <c r="F84" s="19">
        <f>IFERROR(F80/F100,"n/a")</f>
        <v>0.11321612628307928</v>
      </c>
      <c r="G84" s="19">
        <f>IFERROR(G80/G100,"n/a")</f>
        <v>0.11381900353458126</v>
      </c>
      <c r="H84" s="19">
        <f>IFERROR(H80/H100,"n/a")</f>
        <v>0.11565585331452752</v>
      </c>
      <c r="I84" s="19">
        <f>IFERROR(I80/I100,"n/a")</f>
        <v>0.11130334486735873</v>
      </c>
      <c r="J84" s="46">
        <f>IFERROR(J80/J100,"n/a")</f>
        <v>0.11130334486735873</v>
      </c>
      <c r="K84" s="45"/>
    </row>
    <row r="85">
      <c r="B85" s="71" t="s">
        <v>120</v>
      </c>
      <c r="C85" s="47">
        <f>IFERROR((C84-Inputs!C293)*10000,"n/a")</f>
        <v>24.495599688921786</v>
      </c>
      <c r="D85" s="47">
        <f>IFERROR((D84-Inputs!D293)*10000,"n/a")</f>
        <v>-12.014079047830279</v>
      </c>
      <c r="E85" s="47">
        <f>IFERROR((E84-Inputs!E293)*10000,"n/a")</f>
        <v>-66.99459638913329</v>
      </c>
      <c r="F85" s="47">
        <f>IFERROR((F84-Inputs!F293)*10000,"n/a")</f>
        <v>-41.57032616140491</v>
      </c>
      <c r="G85" s="47">
        <f>IFERROR((G84-Inputs!G293)*10000,"n/a")</f>
        <v>-24.9791223389971</v>
      </c>
      <c r="H85" s="62">
        <f>IFERROR((H84-C84)*10000,"n/a")</f>
        <v>-5.951523170091011</v>
      </c>
      <c r="I85" s="62">
        <f>IFERROR((I84-D84)*10000,"n/a")</f>
        <v>-33.595255868925925</v>
      </c>
      <c r="J85" s="64">
        <f>IFERROR((J84-E84)*10000,"n/a")</f>
        <v>-0.32809985141699083</v>
      </c>
      <c r="K85" s="45"/>
    </row>
    <row r="86">
      <c r="B86" s="71" t="s">
        <v>121</v>
      </c>
      <c r="C86" s="47">
        <f>IFERROR((C84-Inputs!F293)*10000,"n/a")</f>
        <v>-11.221532676831542</v>
      </c>
      <c r="D86" s="62">
        <f>IFERROR((D84-C84)*10000,"n/a")</f>
        <v>-15.88135177285302</v>
      </c>
      <c r="E86" s="62">
        <f>IFERROR((E84-D84)*10000,"n/a")</f>
        <v>-33.26715601750893</v>
      </c>
      <c r="F86" s="62">
        <f>IFERROR((F84-E84)*10000,"n/a")</f>
        <v>18.799714305788584</v>
      </c>
      <c r="G86" s="62" t="s">
        <v>34</v>
      </c>
      <c r="H86" s="62">
        <f>IFERROR((H84-F84)*10000,"n/a")</f>
        <v>24.397270314482356</v>
      </c>
      <c r="I86" s="62">
        <f>IFERROR((I84-H84)*10000,"n/a")</f>
        <v>-43.52508447168793</v>
      </c>
      <c r="J86" s="64">
        <f>IFERROR((J84-I84)*10000,"n/a")</f>
        <v>0</v>
      </c>
      <c r="K86" s="45"/>
    </row>
    <row r="87">
      <c r="B87" s="65" t="s">
        <v>122</v>
      </c>
      <c r="C87" s="19" t="s">
        <v>34</v>
      </c>
      <c r="D87" s="19" t="s">
        <v>34</v>
      </c>
      <c r="E87" s="19" t="s">
        <v>34</v>
      </c>
      <c r="F87" s="19" t="s">
        <v>34</v>
      </c>
      <c r="G87" s="19" t="s">
        <v>34</v>
      </c>
      <c r="H87" s="19" t="s">
        <v>34</v>
      </c>
      <c r="I87" s="19" t="s">
        <v>34</v>
      </c>
      <c r="J87" s="46" t="s">
        <v>34</v>
      </c>
      <c r="K87" s="45" t="s">
        <v>222</v>
      </c>
    </row>
    <row r="88">
      <c r="B88" s="65" t="s">
        <v>124</v>
      </c>
      <c r="C88" s="19" t="s">
        <v>34</v>
      </c>
      <c r="D88" s="19" t="s">
        <v>34</v>
      </c>
      <c r="E88" s="19" t="s">
        <v>34</v>
      </c>
      <c r="F88" s="19" t="s">
        <v>34</v>
      </c>
      <c r="G88" s="19" t="s">
        <v>34</v>
      </c>
      <c r="H88" s="19" t="s">
        <v>34</v>
      </c>
      <c r="I88" s="19" t="s">
        <v>34</v>
      </c>
      <c r="J88" s="46" t="s">
        <v>34</v>
      </c>
      <c r="K88" s="45" t="s">
        <v>223</v>
      </c>
    </row>
    <row r="89">
      <c r="B89" s="65" t="s">
        <v>125</v>
      </c>
      <c r="C89" s="19" t="s">
        <v>34</v>
      </c>
      <c r="D89" s="19" t="s">
        <v>34</v>
      </c>
      <c r="E89" s="19" t="s">
        <v>34</v>
      </c>
      <c r="F89" s="19" t="s">
        <v>34</v>
      </c>
      <c r="G89" s="19" t="s">
        <v>34</v>
      </c>
      <c r="H89" s="19" t="s">
        <v>34</v>
      </c>
      <c r="I89" s="19" t="s">
        <v>34</v>
      </c>
      <c r="J89" s="46" t="s">
        <v>34</v>
      </c>
      <c r="K89" s="45" t="s">
        <v>224</v>
      </c>
    </row>
    <row r="90">
      <c r="B90" s="24" t="s">
        <v>468</v>
      </c>
      <c r="C90" s="60">
        <f>C70+C80</f>
        <v>116.9</v>
      </c>
      <c r="D90" s="60">
        <f>D70+D80</f>
        <v>120.6</v>
      </c>
      <c r="E90" s="60">
        <f>E70+E80</f>
        <v>120.87100000000001</v>
      </c>
      <c r="F90" s="60">
        <f>F70+F80</f>
        <v>126.00100000000003</v>
      </c>
      <c r="G90" s="60">
        <f>G70+G80</f>
        <v>484.372</v>
      </c>
      <c r="H90" s="60">
        <f>H70+H80</f>
        <v>135.5</v>
      </c>
      <c r="I90" s="60">
        <f>I70+I80</f>
        <v>131.9</v>
      </c>
      <c r="J90" s="50">
        <f>J70+J80</f>
        <v>134.99985447771115</v>
      </c>
      <c r="K90" s="45"/>
    </row>
    <row r="91">
      <c r="B91" s="49" t="s">
        <v>116</v>
      </c>
      <c r="C91" s="33">
        <f>IFERROR(IF(OR(ABS(Inputs!C298)&lt;0.5,C90*Inputs!C298&lt;0),"n/m",C90/Inputs!C298-1),"n/a")</f>
        <v>0.12453585239625209</v>
      </c>
      <c r="D91" s="33">
        <f>IFERROR(IF(OR(ABS(Inputs!D298)&lt;0.5,D90*Inputs!D298&lt;0),"n/m",D90/Inputs!D298-1),"n/a")</f>
        <v>0.08651585177977772</v>
      </c>
      <c r="E91" s="33">
        <f>IFERROR(IF(OR(ABS(Inputs!E298)&lt;0.5,E90*Inputs!E298&lt;0),"n/m",E90/Inputs!E298-1),"n/a")</f>
        <v>0.05680486823928521</v>
      </c>
      <c r="F91" s="33">
        <f>IFERROR(IF(OR(ABS(Inputs!F298)&lt;0.5,F90*Inputs!F298&lt;0),"n/m",F90/Inputs!F298-1),"n/a")</f>
        <v>0.07648998701387488</v>
      </c>
      <c r="G91" s="33">
        <f>IFERROR(IF(OR(ABS(Inputs!G298)&lt;0.5,G90*Inputs!G298&lt;0),"n/m",G90/Inputs!G298-1),"n/a")</f>
        <v>0.0851283567778518</v>
      </c>
      <c r="H91" s="19">
        <f>IFERROR(IF(OR(ABS(C90)&lt;0.5,H90*C90&lt;0),"n/m",H90/C90-1),"n/a")</f>
        <v>0.1591103507271172</v>
      </c>
      <c r="I91" s="19">
        <f>IFERROR(IF(OR(ABS(D90)&lt;0.5,I90*D90&lt;0),"n/m",I90/D90-1),"n/a")</f>
        <v>0.09369817578772821</v>
      </c>
      <c r="J91" s="46">
        <f>IFERROR(IF(OR(ABS(E90)&lt;0.5,J90*E90&lt;0),"n/m",J90/E90-1),"n/a")</f>
        <v>0.1168920127881059</v>
      </c>
      <c r="K91" s="45"/>
    </row>
    <row r="92">
      <c r="B92" s="49" t="s">
        <v>117</v>
      </c>
      <c r="C92" s="33">
        <f>IFERROR(IF(OR(ABS(Inputs!F298)&lt;0.5,C90*Inputs!F298&lt;0),"n/m",C90/Inputs!F298-1),"n/a")</f>
        <v>-0.0012644385209485964</v>
      </c>
      <c r="D92" s="19">
        <f>IFERROR(IF(OR(ABS(C90)&lt;0.5,D90*C90&lt;0),"n/m",D90/C90-1),"n/a")</f>
        <v>0.03165098374679198</v>
      </c>
      <c r="E92" s="19">
        <f>IFERROR(IF(OR(ABS(D90)&lt;0.5,E90*D90&lt;0),"n/m",E90/D90-1),"n/a")</f>
        <v>0.002247097844112922</v>
      </c>
      <c r="F92" s="19">
        <f>IFERROR(IF(OR(ABS(E90)&lt;0.5,F90*E90&lt;0),"n/m",F90/E90-1),"n/a")</f>
        <v>0.04244194223593767</v>
      </c>
      <c r="G92" s="19" t="s">
        <v>34</v>
      </c>
      <c r="H92" s="19">
        <f>IFERROR(IF(OR(ABS(F90)&lt;0.5,H90*F90&lt;0),"n/m",H90/F90-1),"n/a")</f>
        <v>0.07538829056912211</v>
      </c>
      <c r="I92" s="19">
        <f>IFERROR(IF(OR(ABS(H90)&lt;0.5,I90*H90&lt;0),"n/m",I90/H90-1),"n/a")</f>
        <v>-0.0265682656826568</v>
      </c>
      <c r="J92" s="46">
        <f>IFERROR(IF(OR(ABS(I90)&lt;0.5,J90*I90&lt;0),"n/m",J90/I90-1),"n/a")</f>
        <v>0.023501550247999603</v>
      </c>
      <c r="K92" s="45"/>
    </row>
    <row r="93">
      <c r="B93" s="42" t="s">
        <v>118</v>
      </c>
      <c r="C93" s="4">
        <f>IFERROR(C90-Inputs!F298,"n/a")</f>
        <v>-0.14799999999999613</v>
      </c>
      <c r="D93" s="20">
        <f>IFERROR(D90-C90,"n/a")</f>
        <v>3.6999999999999886</v>
      </c>
      <c r="E93" s="20">
        <f>IFERROR(E90-D90,"n/a")</f>
        <v>0.271000000000015</v>
      </c>
      <c r="F93" s="20">
        <f>IFERROR(F90-E90,"n/a")</f>
        <v>5.130000000000024</v>
      </c>
      <c r="G93" s="20" t="s">
        <v>34</v>
      </c>
      <c r="H93" s="20">
        <f>IFERROR(H90-F90,"n/a")</f>
        <v>9.498999999999967</v>
      </c>
      <c r="I93" s="20">
        <f>IFERROR(I90-H90,"n/a")</f>
        <v>-3.5999999999999943</v>
      </c>
      <c r="J93" s="48">
        <f>IFERROR(J90-I90,"n/a")</f>
        <v>3.0998544777111476</v>
      </c>
      <c r="K93" s="45"/>
    </row>
    <row r="94">
      <c r="B94" s="49" t="s">
        <v>119</v>
      </c>
      <c r="C94" s="19">
        <f>IFERROR(C90/C100,"n/a")</f>
        <v>0.15674443550549746</v>
      </c>
      <c r="D94" s="19">
        <f>IFERROR(D90/D100,"n/a")</f>
        <v>0.15607609680341658</v>
      </c>
      <c r="E94" s="19">
        <f>IFERROR(E90/E100,"n/a")</f>
        <v>0.15234060895408016</v>
      </c>
      <c r="F94" s="19">
        <f>IFERROR(F90/F100,"n/a")</f>
        <v>0.15318655908030443</v>
      </c>
      <c r="G94" s="19">
        <f>IFERROR(G90/G100,"n/a")</f>
        <v>0.15453129232189672</v>
      </c>
      <c r="H94" s="19">
        <f>IFERROR(H90/H100,"n/a")</f>
        <v>0.15926187118006582</v>
      </c>
      <c r="I94" s="19">
        <f>IFERROR(I90/I100,"n/a")</f>
        <v>0.15213379469434835</v>
      </c>
      <c r="J94" s="46">
        <f>IFERROR(J90/J100,"n/a")</f>
        <v>0.15213379469434835</v>
      </c>
      <c r="K94" s="45"/>
    </row>
    <row r="95">
      <c r="B95" s="65" t="s">
        <v>120</v>
      </c>
      <c r="C95" s="47">
        <f>IFERROR((C94-Inputs!C299)*10000,"n/a")</f>
        <v>38.63037198231611</v>
      </c>
      <c r="D95" s="47">
        <f>IFERROR((D94-Inputs!D299)*10000,"n/a")</f>
        <v>-7.106208838744688</v>
      </c>
      <c r="E95" s="47">
        <f>IFERROR((E94-Inputs!E299)*10000,"n/a")</f>
        <v>-54.80849432435736</v>
      </c>
      <c r="F95" s="47">
        <f>IFERROR((F94-Inputs!F299)*10000,"n/a")</f>
        <v>-42.39914573679587</v>
      </c>
      <c r="G95" s="47">
        <f>IFERROR((G94-Inputs!G299)*10000,"n/a")</f>
        <v>-17.547704876132165</v>
      </c>
      <c r="H95" s="62">
        <f>IFERROR((H94-C94)*10000,"n/a")</f>
        <v>25.17435674568358</v>
      </c>
      <c r="I95" s="62">
        <f>IFERROR((I94-D94)*10000,"n/a")</f>
        <v>-39.423021090682354</v>
      </c>
      <c r="J95" s="64">
        <f>IFERROR((J94-E94)*10000,"n/a")</f>
        <v>-2.06814259731819</v>
      </c>
      <c r="K95" s="45"/>
    </row>
    <row r="96">
      <c r="B96" s="65" t="s">
        <v>121</v>
      </c>
      <c r="C96" s="47">
        <f>IFERROR((C94-Inputs!F299)*10000,"n/a")</f>
        <v>-6.820381484865523</v>
      </c>
      <c r="D96" s="62">
        <f>IFERROR((D94-C94)*10000,"n/a")</f>
        <v>-6.68338702080884</v>
      </c>
      <c r="E96" s="62">
        <f>IFERROR((E94-D94)*10000,"n/a")</f>
        <v>-37.35487849336416</v>
      </c>
      <c r="F96" s="62">
        <f>IFERROR((F94-E94)*10000,"n/a")</f>
        <v>8.459501262242652</v>
      </c>
      <c r="G96" s="62" t="s">
        <v>34</v>
      </c>
      <c r="H96" s="62">
        <f>IFERROR((H94-F94)*10000,"n/a")</f>
        <v>60.75312099761393</v>
      </c>
      <c r="I96" s="62">
        <f>IFERROR((I94-H94)*10000,"n/a")</f>
        <v>-71.28076485717477</v>
      </c>
      <c r="J96" s="64">
        <f>IFERROR((J94-I94)*10000,"n/a")</f>
        <v>0</v>
      </c>
      <c r="K96" s="45"/>
    </row>
    <row r="97">
      <c r="B97" s="49" t="s">
        <v>122</v>
      </c>
      <c r="C97" s="19" t="s">
        <v>34</v>
      </c>
      <c r="D97" s="19" t="s">
        <v>34</v>
      </c>
      <c r="E97" s="19" t="s">
        <v>34</v>
      </c>
      <c r="F97" s="19" t="s">
        <v>34</v>
      </c>
      <c r="G97" s="19" t="s">
        <v>34</v>
      </c>
      <c r="H97" s="19" t="s">
        <v>34</v>
      </c>
      <c r="I97" s="19" t="s">
        <v>34</v>
      </c>
      <c r="J97" s="46" t="s">
        <v>34</v>
      </c>
      <c r="K97" s="45" t="s">
        <v>222</v>
      </c>
    </row>
    <row r="98">
      <c r="B98" s="49" t="s">
        <v>124</v>
      </c>
      <c r="C98" s="19" t="s">
        <v>34</v>
      </c>
      <c r="D98" s="19" t="s">
        <v>34</v>
      </c>
      <c r="E98" s="19" t="s">
        <v>34</v>
      </c>
      <c r="F98" s="19" t="s">
        <v>34</v>
      </c>
      <c r="G98" s="19" t="s">
        <v>34</v>
      </c>
      <c r="H98" s="19" t="s">
        <v>34</v>
      </c>
      <c r="I98" s="19" t="s">
        <v>34</v>
      </c>
      <c r="J98" s="46" t="s">
        <v>34</v>
      </c>
      <c r="K98" s="45" t="s">
        <v>223</v>
      </c>
    </row>
    <row r="99">
      <c r="B99" s="49" t="s">
        <v>125</v>
      </c>
      <c r="C99" s="19" t="s">
        <v>34</v>
      </c>
      <c r="D99" s="19" t="s">
        <v>34</v>
      </c>
      <c r="E99" s="19" t="s">
        <v>34</v>
      </c>
      <c r="F99" s="19" t="s">
        <v>34</v>
      </c>
      <c r="G99" s="19" t="s">
        <v>34</v>
      </c>
      <c r="H99" s="19" t="s">
        <v>34</v>
      </c>
      <c r="I99" s="19" t="s">
        <v>34</v>
      </c>
      <c r="J99" s="46" t="s">
        <v>34</v>
      </c>
      <c r="K99" s="45" t="s">
        <v>224</v>
      </c>
    </row>
    <row r="100">
      <c r="B100" s="24" t="s">
        <v>469</v>
      </c>
      <c r="C100" s="60">
        <f>C30+C60+C90</f>
        <v>745.8</v>
      </c>
      <c r="D100" s="60">
        <f>D30+D60+D90</f>
        <v>772.7</v>
      </c>
      <c r="E100" s="60">
        <f>E30+E60+E90</f>
        <v>793.426</v>
      </c>
      <c r="F100" s="60">
        <f>F30+F60+F90</f>
        <v>822.5329999999999</v>
      </c>
      <c r="G100" s="60">
        <f>G30+G60+G90</f>
        <v>3134.459</v>
      </c>
      <c r="H100" s="60">
        <f>H30+H60+H90</f>
        <v>850.8</v>
      </c>
      <c r="I100" s="60">
        <f>I30+I60+I90</f>
        <v>866.9999999999999</v>
      </c>
      <c r="J100" s="50">
        <f>J30+J60+J90</f>
        <v>887.3758440650156</v>
      </c>
      <c r="K100" s="45"/>
    </row>
    <row r="101">
      <c r="B101" s="49" t="s">
        <v>150</v>
      </c>
      <c r="C101" s="33">
        <f>IFERROR(IF(OR(ABS(Inputs!C300)&lt;0.5,C100*Inputs!C300&lt;0),"n/m",C100/Inputs!C300-1),"n/a")</f>
        <v>0.09682115991264273</v>
      </c>
      <c r="D101" s="33">
        <f>IFERROR(IF(OR(ABS(Inputs!D300)&lt;0.5,D100*Inputs!D300&lt;0),"n/m",D100/Inputs!D300-1),"n/a")</f>
        <v>0.09146280311152366</v>
      </c>
      <c r="E101" s="33">
        <f>IFERROR(IF(OR(ABS(Inputs!E300)&lt;0.5,E100*Inputs!E300&lt;0),"n/m",E100/Inputs!E300-1),"n/a")</f>
        <v>0.09482617064874699</v>
      </c>
      <c r="F101" s="33">
        <f>IFERROR(IF(OR(ABS(Inputs!F300)&lt;0.5,F100*Inputs!F300&lt;0),"n/m",F100/Inputs!F300-1),"n/a")</f>
        <v>0.10628519627872679</v>
      </c>
      <c r="G101" s="33">
        <f>IFERROR(IF(OR(ABS(Inputs!G300)&lt;0.5,G100*Inputs!G300&lt;0),"n/m",G100/Inputs!G300-1),"n/a")</f>
        <v>0.09745046440495653</v>
      </c>
      <c r="H101" s="19">
        <f>IFERROR(IF(OR(ABS(C100)&lt;0.5,H100*C100&lt;0),"n/m",H100/C100-1),"n/a")</f>
        <v>0.1407884151246983</v>
      </c>
      <c r="I101" s="19">
        <f>IFERROR(IF(OR(ABS(D100)&lt;0.5,I100*D100&lt;0),"n/m",I100/D100-1),"n/a")</f>
        <v>0.1220396013976961</v>
      </c>
      <c r="J101" s="46">
        <f>IFERROR(IF(OR(ABS(E100)&lt;0.5,J100*E100&lt;0),"n/m",J100/E100-1),"n/a")</f>
        <v>0.11841034206720669</v>
      </c>
      <c r="K101" s="45"/>
    </row>
    <row r="102">
      <c r="B102" s="42" t="s">
        <v>118</v>
      </c>
      <c r="C102" s="4">
        <f>IFERROR(C100-Inputs!F300,"n/a")</f>
        <v>2.29099999999994</v>
      </c>
      <c r="D102" s="20">
        <f>IFERROR(D100-C100,"n/a")</f>
        <v>26.90000000000009</v>
      </c>
      <c r="E102" s="20">
        <f>IFERROR(E100-D100,"n/a")</f>
        <v>20.726</v>
      </c>
      <c r="F102" s="20">
        <f>IFERROR(F100-E100,"n/a")</f>
        <v>29.106999999999857</v>
      </c>
      <c r="G102" s="20" t="s">
        <v>34</v>
      </c>
      <c r="H102" s="20">
        <f>IFERROR(H100-F100,"n/a")</f>
        <v>28.267000000000053</v>
      </c>
      <c r="I102" s="20">
        <f>IFERROR(I100-H100,"n/a")</f>
        <v>16.199999999999932</v>
      </c>
      <c r="J102" s="48">
        <f>IFERROR(J100-I100,"n/a")</f>
        <v>20.375844065015713</v>
      </c>
      <c r="K102" s="45"/>
    </row>
    <row r="103">
      <c r="B103" s="42" t="s">
        <v>470</v>
      </c>
      <c r="C103" s="4">
        <f>C100-'Revenue summary'!C40</f>
        <v>-0.025999999999953616</v>
      </c>
      <c r="D103" s="4">
        <f>D100-'Revenue summary'!D40</f>
        <v>0.020999999999958163</v>
      </c>
      <c r="E103" s="4">
        <f>E100-'Revenue summary'!E40</f>
        <v>0</v>
      </c>
      <c r="F103" s="4">
        <f>F100-'Revenue summary'!F40</f>
        <v>0.0049999999999954525</v>
      </c>
      <c r="G103" s="4">
        <f>G100-'Revenue summary'!G40</f>
        <v>0</v>
      </c>
      <c r="H103" s="4">
        <f>H100-'Revenue summary'!H40</f>
        <v>0</v>
      </c>
      <c r="I103" s="4">
        <f>I100-'Revenue summary'!I40</f>
        <v>0</v>
      </c>
      <c r="J103" s="61">
        <f>J100-'Revenue summary'!J40</f>
        <v>0</v>
      </c>
      <c r="K103" s="45" t="s">
        <v>471</v>
      </c>
    </row>
    <row r="104">
      <c r="B104" s="24" t="s">
        <v>472</v>
      </c>
      <c r="C104" s="55" t="b">
        <f>ABS(C103)&lt;0.15</f>
        <v>1</v>
      </c>
      <c r="D104" s="55" t="b">
        <f>ABS(D103)&lt;0.15</f>
        <v>1</v>
      </c>
      <c r="E104" s="55" t="b">
        <f>ABS(E103)&lt;0.15</f>
        <v>1</v>
      </c>
      <c r="F104" s="55" t="b">
        <f>ABS(F103)&lt;0.15</f>
        <v>1</v>
      </c>
      <c r="G104" s="55" t="b">
        <f>ABS(G103)&lt;0.15</f>
        <v>1</v>
      </c>
      <c r="H104" s="55" t="b">
        <f>ABS(H103)&lt;0.15</f>
        <v>1</v>
      </c>
      <c r="I104" s="55" t="b">
        <f>ABS(I103)&lt;0.15</f>
        <v>1</v>
      </c>
      <c r="J104" s="66" t="b">
        <f>ABS(J103)&lt;0.15</f>
        <v>1</v>
      </c>
      <c r="K104" s="45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1:K3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473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105</v>
      </c>
      <c r="C5" s="6" t="s">
        <v>106</v>
      </c>
      <c r="D5" s="6" t="s">
        <v>107</v>
      </c>
      <c r="E5" s="6" t="s">
        <v>108</v>
      </c>
      <c r="F5" s="6" t="s">
        <v>109</v>
      </c>
      <c r="G5" s="6" t="s">
        <v>110</v>
      </c>
      <c r="H5" s="6" t="s">
        <v>111</v>
      </c>
      <c r="I5" s="6" t="s">
        <v>112</v>
      </c>
      <c r="J5" s="67" t="s">
        <v>4</v>
      </c>
      <c r="K5" s="22" t="s">
        <v>32</v>
      </c>
    </row>
    <row r="6">
      <c r="B6" s="25" t="s">
        <v>5</v>
      </c>
      <c r="C6" s="28">
        <v>45747</v>
      </c>
      <c r="D6" s="28">
        <v>45838</v>
      </c>
      <c r="E6" s="28">
        <v>45930</v>
      </c>
      <c r="F6" s="28">
        <v>46022</v>
      </c>
      <c r="G6" s="28">
        <v>46022</v>
      </c>
      <c r="H6" s="28">
        <v>46112</v>
      </c>
      <c r="I6" s="28">
        <v>46203</v>
      </c>
      <c r="J6" s="43">
        <v>46295</v>
      </c>
      <c r="K6" s="25"/>
    </row>
    <row r="7">
      <c r="B7" s="18" t="s">
        <v>6</v>
      </c>
      <c r="C7" s="40">
        <v>90</v>
      </c>
      <c r="D7" s="40">
        <v>91</v>
      </c>
      <c r="E7" s="40">
        <v>92</v>
      </c>
      <c r="F7" s="40">
        <v>92</v>
      </c>
      <c r="G7" s="40">
        <v>365</v>
      </c>
      <c r="H7" s="40">
        <v>90</v>
      </c>
      <c r="I7" s="40">
        <v>91</v>
      </c>
      <c r="J7" s="63">
        <v>92</v>
      </c>
      <c r="K7" s="18"/>
    </row>
    <row r="8">
      <c r="B8" s="2"/>
      <c r="C8" s="2"/>
      <c r="D8" s="2"/>
      <c r="E8" s="2"/>
      <c r="F8" s="2"/>
      <c r="G8" s="2"/>
      <c r="H8" s="2"/>
      <c r="I8" s="2"/>
      <c r="J8" s="56"/>
      <c r="K8" s="2"/>
    </row>
    <row r="9">
      <c r="B9" s="24" t="s">
        <v>474</v>
      </c>
      <c r="C9" s="10"/>
      <c r="D9" s="10"/>
      <c r="E9" s="10"/>
      <c r="F9" s="10"/>
      <c r="G9" s="10"/>
      <c r="H9" s="10"/>
      <c r="I9" s="10"/>
      <c r="J9" s="51"/>
      <c r="K9" s="45" t="s">
        <v>135</v>
      </c>
    </row>
    <row r="10">
      <c r="B10" s="2" t="s">
        <v>475</v>
      </c>
      <c r="C10" s="107">
        <v>77.63</v>
      </c>
      <c r="D10" s="107">
        <v>77.4</v>
      </c>
      <c r="E10" s="107">
        <v>76.46</v>
      </c>
      <c r="F10" s="107">
        <v>74.561</v>
      </c>
      <c r="G10" s="107">
        <v>76.504</v>
      </c>
      <c r="H10" s="106">
        <v>73.3</v>
      </c>
      <c r="I10" s="106">
        <v>72.8</v>
      </c>
      <c r="J10" s="104">
        <f>I32-J27*J31+J30*J31</f>
        <v>72.50376106194692</v>
      </c>
      <c r="K10" s="45" t="s">
        <v>476</v>
      </c>
    </row>
    <row r="11">
      <c r="B11" s="49" t="s">
        <v>150</v>
      </c>
      <c r="C11" s="33">
        <f>IFERROR(IF(OR(ABS(Inputs!C146)&lt;0.01,C10*Inputs!C146&lt;0),"n/m",C10/Inputs!C146-1),"n/a")</f>
        <v>-0.01976134856998546</v>
      </c>
      <c r="D11" s="33">
        <f>IFERROR(IF(OR(ABS(Inputs!D146)&lt;0.01,D10*Inputs!D146&lt;0),"n/m",D10/Inputs!D146-1),"n/a")</f>
        <v>-0.02130618954289676</v>
      </c>
      <c r="E11" s="33">
        <f>IFERROR(IF(OR(ABS(Inputs!E146)&lt;0.01,E10*Inputs!E146&lt;0),"n/m",E10/Inputs!E146-1),"n/a")</f>
        <v>-0.025974853182843094</v>
      </c>
      <c r="F11" s="33">
        <f>IFERROR(IF(OR(ABS(Inputs!F146)&lt;0.01,F10*Inputs!F146&lt;0),"n/m",F10/Inputs!F146-1),"n/a")</f>
        <v>-0.044946842577174184</v>
      </c>
      <c r="G11" s="33">
        <f>IFERROR(IF(OR(ABS(Inputs!G146)&lt;0.01,G10*Inputs!G146&lt;0),"n/m",G10/Inputs!G146-1),"n/a")</f>
        <v>-0.0280269343158428</v>
      </c>
      <c r="H11" s="19">
        <f>IFERROR(IF(OR(ABS(C10)&lt;0.01,H10*C10&lt;0),"n/m",H10/C10-1),"n/a")</f>
        <v>-0.055777405642148614</v>
      </c>
      <c r="I11" s="19">
        <f>IFERROR(IF(OR(ABS(D10)&lt;0.01,I10*D10&lt;0),"n/m",I10/D10-1),"n/a")</f>
        <v>-0.05943152454780376</v>
      </c>
      <c r="J11" s="46">
        <f>IFERROR(IF(OR(ABS(E10)&lt;0.01,J10*E10&lt;0),"n/m",J10/E10-1),"n/a")</f>
        <v>-0.05174259662638081</v>
      </c>
      <c r="K11" s="45"/>
    </row>
    <row r="12">
      <c r="B12" s="42" t="s">
        <v>118</v>
      </c>
      <c r="C12" s="4">
        <f>IFERROR(C10-Inputs!F146,"n/a")</f>
        <v>-0.4399999999999977</v>
      </c>
      <c r="D12" s="20">
        <f>IFERROR(D10-C10,"n/a")</f>
        <v>-0.22999999999998977</v>
      </c>
      <c r="E12" s="20">
        <f>IFERROR(E10-D10,"n/a")</f>
        <v>-0.9400000000000119</v>
      </c>
      <c r="F12" s="20">
        <f>IFERROR(F10-E10,"n/a")</f>
        <v>-1.8989999999999867</v>
      </c>
      <c r="G12" s="20" t="s">
        <v>34</v>
      </c>
      <c r="H12" s="20">
        <f>IFERROR(H10-F10,"n/a")</f>
        <v>-1.26100000000001</v>
      </c>
      <c r="I12" s="20">
        <f>IFERROR(I10-H10,"n/a")</f>
        <v>-0.5</v>
      </c>
      <c r="J12" s="48">
        <f>IFERROR(J10-I10,"n/a")</f>
        <v>-0.29623893805307944</v>
      </c>
      <c r="K12" s="45"/>
    </row>
    <row r="13">
      <c r="B13" s="2" t="s">
        <v>477</v>
      </c>
      <c r="C13" s="100">
        <f>C16-C10</f>
        <v>0.1770000000000067</v>
      </c>
      <c r="D13" s="100">
        <f>D16-D10</f>
        <v>0.09599999999998943</v>
      </c>
      <c r="E13" s="100">
        <f>E16-E10</f>
        <v>0.11899999999999977</v>
      </c>
      <c r="F13" s="100">
        <f>F16-F10</f>
        <v>0.13599999999999568</v>
      </c>
      <c r="G13" s="100">
        <f>G16-G10</f>
        <v>0.1319999999999908</v>
      </c>
      <c r="H13" s="100">
        <f>H16-H10</f>
        <v>0.10000000000000853</v>
      </c>
      <c r="I13" s="100">
        <f>I16-I10</f>
        <v>0.10000000000000853</v>
      </c>
      <c r="J13" s="102">
        <v>0.12</v>
      </c>
      <c r="K13" s="45" t="s">
        <v>478</v>
      </c>
    </row>
    <row r="14">
      <c r="B14" s="49" t="s">
        <v>150</v>
      </c>
      <c r="C14" s="33">
        <f>IFERROR(IF(OR(ABS(Inputs!C147)&lt;0.01,C13*Inputs!C147&lt;0),"n/m",C13/Inputs!C147-1),"n/a")</f>
        <v>-0.43450479233225126</v>
      </c>
      <c r="D14" s="33">
        <f>IFERROR(IF(OR(ABS(Inputs!D147)&lt;0.01,D13*Inputs!D147&lt;0),"n/m",D13/Inputs!D147-1),"n/a")</f>
        <v>-0.4000000000001066</v>
      </c>
      <c r="E14" s="33">
        <f>IFERROR(IF(OR(ABS(Inputs!E147)&lt;0.01,E13*Inputs!E147&lt;0),"n/m",E13/Inputs!E147-1),"n/a")</f>
        <v>-0.4826086956521839</v>
      </c>
      <c r="F14" s="33">
        <f>IFERROR(IF(OR(ABS(Inputs!F147)&lt;0.01,F13*Inputs!F147&lt;0),"n/m",F13/Inputs!F147-1),"n/a")</f>
        <v>-0.5389830508474749</v>
      </c>
      <c r="G14" s="33">
        <f>IFERROR(IF(OR(ABS(Inputs!G147)&lt;0.01,G13*Inputs!G147&lt;0),"n/m",G13/Inputs!G147-1),"n/a")</f>
        <v>-0.47200000000003683</v>
      </c>
      <c r="H14" s="19">
        <f>IFERROR(IF(OR(ABS(C13)&lt;0.01,H13*C13&lt;0),"n/m",H13/C13-1),"n/a")</f>
        <v>-0.43502824858754385</v>
      </c>
      <c r="I14" s="19">
        <f>IFERROR(IF(OR(ABS(D13)&lt;0.01,I13*D13&lt;0),"n/m",I13/D13-1),"n/a")</f>
        <v>0.041666666666870134</v>
      </c>
      <c r="J14" s="46">
        <f>IFERROR(IF(OR(ABS(E13)&lt;0.01,J13*E13&lt;0),"n/m",J13/E13-1),"n/a")</f>
        <v>0.008403361344539784</v>
      </c>
      <c r="K14" s="45"/>
    </row>
    <row r="15">
      <c r="B15" s="42" t="s">
        <v>118</v>
      </c>
      <c r="C15" s="4">
        <f>IFERROR(C13-Inputs!F147,"n/a")</f>
        <v>-0.117999999999995</v>
      </c>
      <c r="D15" s="20">
        <f>IFERROR(D13-C13,"n/a")</f>
        <v>-0.08100000000001728</v>
      </c>
      <c r="E15" s="20">
        <f>IFERROR(E13-D13,"n/a")</f>
        <v>0.023000000000010346</v>
      </c>
      <c r="F15" s="20">
        <f>IFERROR(F13-E13,"n/a")</f>
        <v>0.016999999999995907</v>
      </c>
      <c r="G15" s="20" t="s">
        <v>34</v>
      </c>
      <c r="H15" s="20">
        <f>IFERROR(H13-F13,"n/a")</f>
        <v>-0.03599999999998715</v>
      </c>
      <c r="I15" s="20">
        <f>IFERROR(I13-H13,"n/a")</f>
        <v>0</v>
      </c>
      <c r="J15" s="48">
        <f>IFERROR(J13-I13,"n/a")</f>
        <v>0.01999999999999147</v>
      </c>
      <c r="K15" s="45"/>
    </row>
    <row r="16">
      <c r="B16" s="24" t="s">
        <v>479</v>
      </c>
      <c r="C16" s="105">
        <v>77.807</v>
      </c>
      <c r="D16" s="105">
        <v>77.496</v>
      </c>
      <c r="E16" s="105">
        <v>76.579</v>
      </c>
      <c r="F16" s="105">
        <v>74.697</v>
      </c>
      <c r="G16" s="105">
        <v>76.636</v>
      </c>
      <c r="H16" s="103">
        <v>73.4</v>
      </c>
      <c r="I16" s="103">
        <v>72.9</v>
      </c>
      <c r="J16" s="101">
        <f>J10+J13</f>
        <v>72.62376106194692</v>
      </c>
      <c r="K16" s="45" t="s">
        <v>480</v>
      </c>
    </row>
    <row r="17">
      <c r="B17" s="49" t="s">
        <v>150</v>
      </c>
      <c r="C17" s="33">
        <f>IFERROR(IF(OR(ABS(Inputs!C138)&lt;0.01,C16*Inputs!C138&lt;0),"n/m",C16/Inputs!C138-1),"n/a")</f>
        <v>-0.021394073552346904</v>
      </c>
      <c r="D17" s="33">
        <f>IFERROR(IF(OR(ABS(Inputs!D138)&lt;0.01,D16*Inputs!D138&lt;0),"n/m",D16/Inputs!D138-1),"n/a")</f>
        <v>-0.022070793109975506</v>
      </c>
      <c r="E17" s="33">
        <f>IFERROR(IF(OR(ABS(Inputs!E138)&lt;0.01,E16*Inputs!E138&lt;0),"n/m",E16/Inputs!E138-1),"n/a")</f>
        <v>-0.02730886966683188</v>
      </c>
      <c r="F17" s="33">
        <f>IFERROR(IF(OR(ABS(Inputs!F138)&lt;0.01,F16*Inputs!F138&lt;0),"n/m",F16/Inputs!F138-1),"n/a")</f>
        <v>-0.04680661009379172</v>
      </c>
      <c r="G17" s="33">
        <f>IFERROR(IF(OR(ABS(Inputs!G138)&lt;0.01,G16*Inputs!G138&lt;0),"n/m",G16/Inputs!G138-1),"n/a")</f>
        <v>-0.029432624113475137</v>
      </c>
      <c r="H17" s="19">
        <f>IFERROR(IF(OR(ABS(C16)&lt;0.01,H16*C16&lt;0),"n/m",H16/C16-1),"n/a")</f>
        <v>-0.05664014805865791</v>
      </c>
      <c r="I17" s="19">
        <f>IFERROR(IF(OR(ABS(D16)&lt;0.01,I16*D16&lt;0),"n/m",I16/D16-1),"n/a")</f>
        <v>-0.05930628677609151</v>
      </c>
      <c r="J17" s="46">
        <f>IFERROR(IF(OR(ABS(E16)&lt;0.01,J16*E16&lt;0),"n/m",J16/E16-1),"n/a")</f>
        <v>-0.051649132765550276</v>
      </c>
      <c r="K17" s="45"/>
    </row>
    <row r="18">
      <c r="B18" s="42" t="s">
        <v>118</v>
      </c>
      <c r="C18" s="4">
        <f>IFERROR(C16-Inputs!F138,"n/a")</f>
        <v>-0.5579999999999927</v>
      </c>
      <c r="D18" s="20">
        <f>IFERROR(D16-C16,"n/a")</f>
        <v>-0.31100000000000705</v>
      </c>
      <c r="E18" s="20">
        <f>IFERROR(E16-D16,"n/a")</f>
        <v>-0.9170000000000016</v>
      </c>
      <c r="F18" s="20">
        <f>IFERROR(F16-E16,"n/a")</f>
        <v>-1.8819999999999908</v>
      </c>
      <c r="G18" s="20" t="s">
        <v>34</v>
      </c>
      <c r="H18" s="20">
        <f>IFERROR(H16-F16,"n/a")</f>
        <v>-1.296999999999997</v>
      </c>
      <c r="I18" s="20">
        <f>IFERROR(I16-H16,"n/a")</f>
        <v>-0.5</v>
      </c>
      <c r="J18" s="48">
        <f>IFERROR(J16-I16,"n/a")</f>
        <v>-0.2762389380530834</v>
      </c>
      <c r="K18" s="45"/>
    </row>
    <row r="19">
      <c r="B19" s="24" t="s">
        <v>481</v>
      </c>
      <c r="C19" s="10"/>
      <c r="D19" s="10"/>
      <c r="E19" s="10"/>
      <c r="F19" s="10"/>
      <c r="G19" s="10"/>
      <c r="H19" s="10"/>
      <c r="I19" s="10"/>
      <c r="J19" s="51"/>
      <c r="K19" s="45"/>
    </row>
    <row r="20">
      <c r="B20" s="2" t="s">
        <v>482</v>
      </c>
      <c r="C20" s="20" t="s">
        <v>34</v>
      </c>
      <c r="D20" s="20">
        <f>C32</f>
        <v>77.6</v>
      </c>
      <c r="E20" s="20">
        <f>D32</f>
        <v>77.4</v>
      </c>
      <c r="F20" s="20">
        <f>E32</f>
        <v>75.2</v>
      </c>
      <c r="G20" s="20" t="s">
        <v>34</v>
      </c>
      <c r="H20" s="20">
        <f>F32</f>
        <v>73.6</v>
      </c>
      <c r="I20" s="20">
        <f>H32</f>
        <v>72.9</v>
      </c>
      <c r="J20" s="48">
        <f>I32</f>
        <v>72.7</v>
      </c>
      <c r="K20" s="45"/>
    </row>
    <row r="21">
      <c r="B21" s="2" t="s">
        <v>483</v>
      </c>
      <c r="C21" s="12">
        <v>155.4</v>
      </c>
      <c r="D21" s="12">
        <v>131.2</v>
      </c>
      <c r="E21" s="12">
        <v>1225.7</v>
      </c>
      <c r="F21" s="20" t="s">
        <v>34</v>
      </c>
      <c r="G21" s="20" t="s">
        <v>34</v>
      </c>
      <c r="H21" s="12">
        <v>399.3</v>
      </c>
      <c r="I21" s="12">
        <v>145</v>
      </c>
      <c r="J21" s="53">
        <v>250</v>
      </c>
      <c r="K21" s="45" t="s">
        <v>484</v>
      </c>
    </row>
    <row r="22">
      <c r="B22" s="49" t="s">
        <v>150</v>
      </c>
      <c r="C22" s="19" t="s">
        <v>34</v>
      </c>
      <c r="D22" s="19" t="s">
        <v>34</v>
      </c>
      <c r="E22" s="19" t="s">
        <v>34</v>
      </c>
      <c r="F22" s="19" t="s">
        <v>34</v>
      </c>
      <c r="G22" s="19" t="s">
        <v>34</v>
      </c>
      <c r="H22" s="19">
        <f>IFERROR(IF(OR(ABS(C21)&lt;0.5,H21*C21&lt;0),"n/m",H21/C21-1),"n/a")</f>
        <v>1.5694980694980694</v>
      </c>
      <c r="I22" s="19">
        <f>IFERROR(IF(OR(ABS(D21)&lt;0.5,I21*D21&lt;0),"n/m",I21/D21-1),"n/a")</f>
        <v>0.10518292682926833</v>
      </c>
      <c r="J22" s="46">
        <f>IFERROR(IF(OR(ABS(E21)&lt;0.5,J21*E21&lt;0),"n/m",J21/E21-1),"n/a")</f>
        <v>-0.7960349188218977</v>
      </c>
      <c r="K22" s="45"/>
    </row>
    <row r="23">
      <c r="B23" s="42" t="s">
        <v>118</v>
      </c>
      <c r="C23" s="20" t="s">
        <v>34</v>
      </c>
      <c r="D23" s="20">
        <f>IFERROR(D21-C21,"n/a")</f>
        <v>-24.200000000000017</v>
      </c>
      <c r="E23" s="20">
        <f>IFERROR(E21-D21,"n/a")</f>
        <v>1094.5</v>
      </c>
      <c r="F23" s="20" t="str">
        <f>IFERROR(F21-E21,"n/a")</f>
        <v>n/a</v>
      </c>
      <c r="G23" s="20" t="s">
        <v>34</v>
      </c>
      <c r="H23" s="20" t="str">
        <f>IFERROR(H21-F21,"n/a")</f>
        <v>n/a</v>
      </c>
      <c r="I23" s="20">
        <f>IFERROR(I21-H21,"n/a")</f>
        <v>-254.3</v>
      </c>
      <c r="J23" s="48">
        <f>IFERROR(J21-I21,"n/a")</f>
        <v>105</v>
      </c>
      <c r="K23" s="45"/>
    </row>
    <row r="24">
      <c r="B24" s="2" t="s">
        <v>485</v>
      </c>
      <c r="C24" s="92">
        <v>591</v>
      </c>
      <c r="D24" s="92">
        <v>523.2</v>
      </c>
      <c r="E24" s="92">
        <v>559.85</v>
      </c>
      <c r="F24" s="97" t="s">
        <v>34</v>
      </c>
      <c r="G24" s="97" t="s">
        <v>34</v>
      </c>
      <c r="H24" s="92">
        <v>558</v>
      </c>
      <c r="I24" s="92">
        <v>557.34</v>
      </c>
      <c r="J24" s="109">
        <v>565</v>
      </c>
      <c r="K24" s="45" t="s">
        <v>486</v>
      </c>
    </row>
    <row r="25">
      <c r="B25" s="49" t="s">
        <v>150</v>
      </c>
      <c r="C25" s="19" t="s">
        <v>34</v>
      </c>
      <c r="D25" s="19" t="s">
        <v>34</v>
      </c>
      <c r="E25" s="19" t="s">
        <v>34</v>
      </c>
      <c r="F25" s="19" t="s">
        <v>34</v>
      </c>
      <c r="G25" s="19" t="s">
        <v>34</v>
      </c>
      <c r="H25" s="19">
        <f>IFERROR(IF(OR(ABS(C24)&lt;0.5,H24*C24&lt;0),"n/m",H24/C24-1),"n/a")</f>
        <v>-0.055837563451776595</v>
      </c>
      <c r="I25" s="19">
        <f>IFERROR(IF(OR(ABS(D24)&lt;0.5,I24*D24&lt;0),"n/m",I24/D24-1),"n/a")</f>
        <v>0.06525229357798157</v>
      </c>
      <c r="J25" s="46">
        <f>IFERROR(IF(OR(ABS(E24)&lt;0.5,J24*E24&lt;0),"n/m",J24/E24-1),"n/a")</f>
        <v>0.009198892560507321</v>
      </c>
      <c r="K25" s="45"/>
    </row>
    <row r="26">
      <c r="B26" s="42" t="s">
        <v>118</v>
      </c>
      <c r="C26" s="97" t="s">
        <v>34</v>
      </c>
      <c r="D26" s="97">
        <f>IFERROR(D24-C24,"n/a")</f>
        <v>-67.79999999999995</v>
      </c>
      <c r="E26" s="97">
        <f>IFERROR(E24-D24,"n/a")</f>
        <v>36.64999999999998</v>
      </c>
      <c r="F26" s="97" t="str">
        <f>IFERROR(F24-E24,"n/a")</f>
        <v>n/a</v>
      </c>
      <c r="G26" s="97" t="s">
        <v>34</v>
      </c>
      <c r="H26" s="97" t="str">
        <f>IFERROR(H24-F24,"n/a")</f>
        <v>n/a</v>
      </c>
      <c r="I26" s="97">
        <f>IFERROR(I24-H24,"n/a")</f>
        <v>-0.6599999999999682</v>
      </c>
      <c r="J26" s="108">
        <f>IFERROR(J24-I24,"n/a")</f>
        <v>7.659999999999968</v>
      </c>
      <c r="K26" s="45"/>
    </row>
    <row r="27">
      <c r="B27" s="2" t="s">
        <v>487</v>
      </c>
      <c r="C27" s="100">
        <f>IFERROR(C21/C24,"n/a")</f>
        <v>0.2629441624365482</v>
      </c>
      <c r="D27" s="100">
        <f>IFERROR(D21/D24,"n/a")</f>
        <v>0.25076452599388377</v>
      </c>
      <c r="E27" s="100">
        <f>IFERROR(E21/E24,"n/a")</f>
        <v>2.1893364294007323</v>
      </c>
      <c r="F27" s="100" t="str">
        <f>IFERROR(F21/F24,"n/a")</f>
        <v>n/a</v>
      </c>
      <c r="G27" s="100" t="s">
        <v>34</v>
      </c>
      <c r="H27" s="100">
        <f>IFERROR(H21/H24,"n/a")</f>
        <v>0.7155913978494624</v>
      </c>
      <c r="I27" s="100">
        <f>IFERROR(I21/I24,"n/a")</f>
        <v>0.26016435210105143</v>
      </c>
      <c r="J27" s="104">
        <f>IFERROR(J21/J24,"n/a")</f>
        <v>0.4424778761061947</v>
      </c>
      <c r="K27" s="45"/>
    </row>
    <row r="28">
      <c r="B28" s="49" t="s">
        <v>150</v>
      </c>
      <c r="C28" s="19" t="s">
        <v>34</v>
      </c>
      <c r="D28" s="19" t="s">
        <v>34</v>
      </c>
      <c r="E28" s="19" t="s">
        <v>34</v>
      </c>
      <c r="F28" s="19" t="s">
        <v>34</v>
      </c>
      <c r="G28" s="19" t="s">
        <v>34</v>
      </c>
      <c r="H28" s="19">
        <f>IFERROR(IF(OR(ABS(C27)&lt;0.01,H27*C27&lt;0),"n/m",H27/C27-1),"n/a")</f>
        <v>1.7214576327479554</v>
      </c>
      <c r="I28" s="19">
        <f>IFERROR(IF(OR(ABS(D27)&lt;0.01,I27*D27&lt;0),"n/m",I27/D27-1),"n/a")</f>
        <v>0.037484672402973596</v>
      </c>
      <c r="J28" s="46">
        <f>IFERROR(IF(OR(ABS(E27)&lt;0.01,J27*E27&lt;0),"n/m",J27/E27-1),"n/a")</f>
        <v>-0.7978940695618397</v>
      </c>
      <c r="K28" s="45"/>
    </row>
    <row r="29">
      <c r="B29" s="42" t="s">
        <v>118</v>
      </c>
      <c r="C29" s="20" t="s">
        <v>34</v>
      </c>
      <c r="D29" s="20">
        <f>IFERROR(D27-C27,"n/a")</f>
        <v>-0.012179636442664454</v>
      </c>
      <c r="E29" s="20">
        <f>IFERROR(E27-D27,"n/a")</f>
        <v>1.9385719034068485</v>
      </c>
      <c r="F29" s="20" t="str">
        <f>IFERROR(F27-E27,"n/a")</f>
        <v>n/a</v>
      </c>
      <c r="G29" s="20" t="s">
        <v>34</v>
      </c>
      <c r="H29" s="20" t="str">
        <f>IFERROR(H27-F27,"n/a")</f>
        <v>n/a</v>
      </c>
      <c r="I29" s="20">
        <f>IFERROR(I27-H27,"n/a")</f>
        <v>-0.4554270457484109</v>
      </c>
      <c r="J29" s="48">
        <f>IFERROR(J27-I27,"n/a")</f>
        <v>0.18231352400514328</v>
      </c>
      <c r="K29" s="45"/>
    </row>
    <row r="30">
      <c r="B30" s="2" t="s">
        <v>488</v>
      </c>
      <c r="C30" s="100" t="s">
        <v>34</v>
      </c>
      <c r="D30" s="100" t="s">
        <v>34</v>
      </c>
      <c r="E30" s="100" t="s">
        <v>34</v>
      </c>
      <c r="F30" s="100" t="s">
        <v>34</v>
      </c>
      <c r="G30" s="100" t="s">
        <v>34</v>
      </c>
      <c r="H30" s="100" t="s">
        <v>34</v>
      </c>
      <c r="I30" s="100" t="s">
        <v>34</v>
      </c>
      <c r="J30" s="102">
        <v>0.05</v>
      </c>
      <c r="K30" s="45" t="s">
        <v>284</v>
      </c>
    </row>
    <row r="31">
      <c r="B31" s="30" t="s">
        <v>489</v>
      </c>
      <c r="C31" s="19" t="s">
        <v>34</v>
      </c>
      <c r="D31" s="19" t="s">
        <v>34</v>
      </c>
      <c r="E31" s="19" t="s">
        <v>34</v>
      </c>
      <c r="F31" s="19" t="s">
        <v>34</v>
      </c>
      <c r="G31" s="19" t="s">
        <v>34</v>
      </c>
      <c r="H31" s="19" t="s">
        <v>34</v>
      </c>
      <c r="I31" s="19" t="s">
        <v>34</v>
      </c>
      <c r="J31" s="58">
        <v>0.5</v>
      </c>
      <c r="K31" s="45" t="s">
        <v>490</v>
      </c>
    </row>
    <row r="32">
      <c r="B32" s="24" t="s">
        <v>491</v>
      </c>
      <c r="C32" s="44">
        <v>77.6</v>
      </c>
      <c r="D32" s="44">
        <v>77.4</v>
      </c>
      <c r="E32" s="44">
        <v>75.2</v>
      </c>
      <c r="F32" s="44">
        <v>73.6</v>
      </c>
      <c r="G32" s="60">
        <f>F32</f>
        <v>73.6</v>
      </c>
      <c r="H32" s="44">
        <v>72.9</v>
      </c>
      <c r="I32" s="44">
        <v>72.7</v>
      </c>
      <c r="J32" s="50">
        <f>J20-J27+J30</f>
        <v>72.3075221238938</v>
      </c>
      <c r="K32" s="45" t="s">
        <v>492</v>
      </c>
    </row>
    <row r="33">
      <c r="B33" s="49" t="s">
        <v>150</v>
      </c>
      <c r="C33" s="19" t="s">
        <v>34</v>
      </c>
      <c r="D33" s="19" t="s">
        <v>34</v>
      </c>
      <c r="E33" s="19" t="s">
        <v>34</v>
      </c>
      <c r="F33" s="19" t="s">
        <v>34</v>
      </c>
      <c r="G33" s="19" t="s">
        <v>34</v>
      </c>
      <c r="H33" s="19">
        <f>IFERROR(IF(OR(ABS(C32)&lt;0.01,H32*C32&lt;0),"n/m",H32/C32-1),"n/a")</f>
        <v>-0.060567010309278246</v>
      </c>
      <c r="I33" s="19">
        <f>IFERROR(IF(OR(ABS(D32)&lt;0.01,I32*D32&lt;0),"n/m",I32/D32-1),"n/a")</f>
        <v>-0.060723514211886376</v>
      </c>
      <c r="J33" s="46">
        <f>IFERROR(IF(OR(ABS(E32)&lt;0.01,J32*E32&lt;0),"n/m",J32/E32-1),"n/a")</f>
        <v>-0.03846380154396545</v>
      </c>
      <c r="K33" s="45"/>
    </row>
    <row r="34">
      <c r="B34" s="42" t="s">
        <v>118</v>
      </c>
      <c r="C34" s="20" t="s">
        <v>34</v>
      </c>
      <c r="D34" s="20">
        <f>IFERROR(D32-C32,"n/a")</f>
        <v>-0.19999999999998863</v>
      </c>
      <c r="E34" s="20">
        <f>IFERROR(E32-D32,"n/a")</f>
        <v>-2.200000000000003</v>
      </c>
      <c r="F34" s="20">
        <f>IFERROR(F32-E32,"n/a")</f>
        <v>-1.6000000000000085</v>
      </c>
      <c r="G34" s="20" t="s">
        <v>34</v>
      </c>
      <c r="H34" s="20">
        <f>IFERROR(H32-F32,"n/a")</f>
        <v>-0.6999999999999886</v>
      </c>
      <c r="I34" s="20">
        <f>IFERROR(I32-H32,"n/a")</f>
        <v>-0.20000000000000284</v>
      </c>
      <c r="J34" s="48">
        <f>IFERROR(J32-I32,"n/a")</f>
        <v>-0.39247787610619866</v>
      </c>
      <c r="K34" s="45"/>
    </row>
    <row r="35">
      <c r="B35" s="2" t="s">
        <v>493</v>
      </c>
      <c r="C35" s="4">
        <f>-'Cash Flow Statement'!C55</f>
        <v>213.093</v>
      </c>
      <c r="D35" s="4">
        <f>-'Cash Flow Statement'!D55</f>
        <v>138.491</v>
      </c>
      <c r="E35" s="4">
        <f>-'Cash Flow Statement'!E55</f>
        <v>1225.899</v>
      </c>
      <c r="F35" s="4">
        <f>-'Cash Flow Statement'!F55</f>
        <v>906.822</v>
      </c>
      <c r="G35" s="4">
        <f>-'Cash Flow Statement'!G55</f>
        <v>2484.305</v>
      </c>
      <c r="H35" s="4">
        <f>-'Cash Flow Statement'!H55</f>
        <v>414.8</v>
      </c>
      <c r="I35" s="4">
        <f>-'Cash Flow Statement'!I55</f>
        <v>168.4</v>
      </c>
      <c r="J35" s="61">
        <f>-'Cash Flow Statement'!J55</f>
        <v>250</v>
      </c>
      <c r="K35" s="45" t="s">
        <v>494</v>
      </c>
    </row>
    <row r="36">
      <c r="B36" s="2" t="s">
        <v>495</v>
      </c>
      <c r="C36" s="92">
        <v>1.8</v>
      </c>
      <c r="D36" s="92">
        <v>1.8</v>
      </c>
      <c r="E36" s="92">
        <v>1.8</v>
      </c>
      <c r="F36" s="92">
        <v>1.8</v>
      </c>
      <c r="G36" s="97">
        <f>SUM(C36:F36)</f>
        <v>7.2</v>
      </c>
      <c r="H36" s="92">
        <v>2.05</v>
      </c>
      <c r="I36" s="92">
        <v>2.05</v>
      </c>
      <c r="J36" s="109">
        <v>2.05</v>
      </c>
      <c r="K36" s="45" t="s">
        <v>496</v>
      </c>
    </row>
    <row r="37">
      <c r="B37" s="49" t="s">
        <v>150</v>
      </c>
      <c r="C37" s="19" t="s">
        <v>34</v>
      </c>
      <c r="D37" s="19" t="s">
        <v>34</v>
      </c>
      <c r="E37" s="19" t="s">
        <v>34</v>
      </c>
      <c r="F37" s="19" t="s">
        <v>34</v>
      </c>
      <c r="G37" s="19" t="s">
        <v>34</v>
      </c>
      <c r="H37" s="19">
        <f>IFERROR(IF(OR(ABS(C36)&lt;0.5,H36*C36&lt;0),"n/m",H36/C36-1),"n/a")</f>
        <v>0.13888888888888884</v>
      </c>
      <c r="I37" s="19">
        <f>IFERROR(IF(OR(ABS(D36)&lt;0.5,I36*D36&lt;0),"n/m",I36/D36-1),"n/a")</f>
        <v>0.13888888888888884</v>
      </c>
      <c r="J37" s="46">
        <f>IFERROR(IF(OR(ABS(E36)&lt;0.5,J36*E36&lt;0),"n/m",J36/E36-1),"n/a")</f>
        <v>0.13888888888888884</v>
      </c>
      <c r="K37" s="45"/>
    </row>
    <row r="38">
      <c r="B38" s="42" t="s">
        <v>118</v>
      </c>
      <c r="C38" s="97" t="s">
        <v>34</v>
      </c>
      <c r="D38" s="97">
        <f>IFERROR(D36-C36,"n/a")</f>
        <v>0</v>
      </c>
      <c r="E38" s="97">
        <f>IFERROR(E36-D36,"n/a")</f>
        <v>0</v>
      </c>
      <c r="F38" s="97">
        <f>IFERROR(F36-E36,"n/a")</f>
        <v>0</v>
      </c>
      <c r="G38" s="97" t="s">
        <v>34</v>
      </c>
      <c r="H38" s="97">
        <f>IFERROR(H36-F36,"n/a")</f>
        <v>0.24999999999999978</v>
      </c>
      <c r="I38" s="97">
        <f>IFERROR(I36-H36,"n/a")</f>
        <v>0</v>
      </c>
      <c r="J38" s="108">
        <f>IFERROR(J36-I36,"n/a")</f>
        <v>0</v>
      </c>
      <c r="K38" s="45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1:K7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497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22"/>
    </row>
    <row r="6">
      <c r="B6" s="25" t="s">
        <v>5</v>
      </c>
      <c r="C6" s="28">
        <v>46295</v>
      </c>
      <c r="D6" s="17"/>
      <c r="E6" s="17"/>
      <c r="F6" s="17"/>
      <c r="G6" s="17"/>
      <c r="H6" s="17"/>
      <c r="I6" s="17"/>
      <c r="J6" s="17"/>
      <c r="K6" s="25"/>
    </row>
    <row r="7">
      <c r="B7" s="18" t="s">
        <v>6</v>
      </c>
      <c r="C7" s="40">
        <v>92</v>
      </c>
      <c r="D7" s="1"/>
      <c r="E7" s="1"/>
      <c r="F7" s="1"/>
      <c r="G7" s="1"/>
      <c r="H7" s="1"/>
      <c r="I7" s="1"/>
      <c r="J7" s="1"/>
      <c r="K7" s="18"/>
    </row>
    <row r="8">
      <c r="B8" s="2"/>
      <c r="C8" s="2"/>
      <c r="D8" s="2"/>
      <c r="E8" s="2"/>
      <c r="F8" s="2"/>
      <c r="G8" s="2"/>
      <c r="H8" s="2"/>
      <c r="I8" s="2"/>
      <c r="J8" s="2"/>
      <c r="K8" s="2"/>
    </row>
    <row r="9">
      <c r="B9" s="59" t="s">
        <v>498</v>
      </c>
      <c r="C9" s="99" t="s">
        <v>499</v>
      </c>
      <c r="D9" s="99" t="s">
        <v>105</v>
      </c>
      <c r="E9" s="99" t="s">
        <v>500</v>
      </c>
      <c r="F9" s="99" t="s">
        <v>501</v>
      </c>
      <c r="G9" s="99" t="s">
        <v>502</v>
      </c>
      <c r="H9" s="99" t="s">
        <v>503</v>
      </c>
      <c r="I9" s="99" t="s">
        <v>504</v>
      </c>
      <c r="J9" s="99" t="s">
        <v>505</v>
      </c>
      <c r="K9" s="41" t="s">
        <v>506</v>
      </c>
    </row>
    <row r="10">
      <c r="B10" s="2" t="s">
        <v>507</v>
      </c>
      <c r="C10" s="34">
        <v>45686</v>
      </c>
      <c r="D10" s="88" t="s">
        <v>508</v>
      </c>
      <c r="E10" s="12">
        <v>1405</v>
      </c>
      <c r="F10" s="12">
        <v>1445</v>
      </c>
      <c r="G10" s="20">
        <f>AVERAGE(E10:F10)</f>
        <v>1425</v>
      </c>
      <c r="H10" s="4">
        <f>'Income Statement'!G50</f>
        <v>1420.892</v>
      </c>
      <c r="I10" s="20">
        <f>H10-G10</f>
        <v>-4.107999999999947</v>
      </c>
      <c r="J10" s="20" t="str">
        <f>IF(H10&lt;=G10,"Beat","Miss")</f>
        <v>Beat</v>
      </c>
      <c r="K10" s="5" t="s">
        <v>509</v>
      </c>
    </row>
    <row r="11">
      <c r="B11" s="2" t="s">
        <v>510</v>
      </c>
      <c r="C11" s="34">
        <v>45686</v>
      </c>
      <c r="D11" s="88" t="s">
        <v>508</v>
      </c>
      <c r="E11" s="12">
        <v>1220</v>
      </c>
      <c r="F11" s="12">
        <v>1250</v>
      </c>
      <c r="G11" s="20">
        <f>AVERAGE(E11:F11)</f>
        <v>1235</v>
      </c>
      <c r="H11" s="4">
        <f>'Income Statement'!G136</f>
        <v>1228.007</v>
      </c>
      <c r="I11" s="20">
        <f>H11-G11</f>
        <v>-6.992999999999938</v>
      </c>
      <c r="J11" s="20" t="str">
        <f>IF(H11&lt;=G11,"Beat","Miss")</f>
        <v>Beat</v>
      </c>
      <c r="K11" s="5" t="s">
        <v>511</v>
      </c>
    </row>
    <row r="12">
      <c r="B12" s="2" t="s">
        <v>295</v>
      </c>
      <c r="C12" s="34">
        <v>45686</v>
      </c>
      <c r="D12" s="88" t="s">
        <v>508</v>
      </c>
      <c r="E12" s="12">
        <v>182</v>
      </c>
      <c r="F12" s="12">
        <v>186</v>
      </c>
      <c r="G12" s="20">
        <f>AVERAGE(E12:F12)</f>
        <v>184</v>
      </c>
      <c r="H12" s="4">
        <f>'Income Statement'!G62</f>
        <v>209.889</v>
      </c>
      <c r="I12" s="20">
        <f>H12-G12</f>
        <v>25.88900000000001</v>
      </c>
      <c r="J12" s="20" t="str">
        <f>IF(H12&lt;=G12,"Beat","Miss")</f>
        <v>Miss</v>
      </c>
      <c r="K12" s="5" t="s">
        <v>509</v>
      </c>
    </row>
    <row r="13">
      <c r="B13" s="2" t="s">
        <v>512</v>
      </c>
      <c r="C13" s="34">
        <v>45686</v>
      </c>
      <c r="D13" s="88" t="s">
        <v>508</v>
      </c>
      <c r="E13" s="12">
        <v>185</v>
      </c>
      <c r="F13" s="12">
        <v>195</v>
      </c>
      <c r="G13" s="20">
        <f>AVERAGE(E13:F13)</f>
        <v>190</v>
      </c>
      <c r="H13" s="4">
        <f>'Income Statement'!G141</f>
        <v>192.885</v>
      </c>
      <c r="I13" s="20">
        <f>H13-G13</f>
        <v>2.884999999999991</v>
      </c>
      <c r="J13" s="20" t="str">
        <f>IF(H13&lt;=G13,"Beat","Miss")</f>
        <v>Miss</v>
      </c>
      <c r="K13" s="5" t="s">
        <v>509</v>
      </c>
    </row>
    <row r="14">
      <c r="B14" s="2" t="s">
        <v>102</v>
      </c>
      <c r="C14" s="34">
        <v>45686</v>
      </c>
      <c r="D14" s="88" t="s">
        <v>508</v>
      </c>
      <c r="E14" s="9">
        <v>0.175</v>
      </c>
      <c r="F14" s="9">
        <v>0.2</v>
      </c>
      <c r="G14" s="19">
        <f>AVERAGE(E14:F14)</f>
        <v>0.1875</v>
      </c>
      <c r="H14" s="33">
        <f>'Income Statement'!G77</f>
        <v>0.1953821835080468</v>
      </c>
      <c r="I14" s="19">
        <f>H14-G14</f>
        <v>0.007882183508046786</v>
      </c>
      <c r="J14" s="52" t="str">
        <f>IF(H14&lt;=G14,"Beat","Miss")</f>
        <v>Miss</v>
      </c>
      <c r="K14" s="5" t="s">
        <v>513</v>
      </c>
    </row>
    <row r="15">
      <c r="B15" s="2" t="s">
        <v>426</v>
      </c>
      <c r="C15" s="34">
        <v>45686</v>
      </c>
      <c r="D15" s="88" t="s">
        <v>508</v>
      </c>
      <c r="E15" s="12">
        <v>115</v>
      </c>
      <c r="F15" s="12">
        <v>125</v>
      </c>
      <c r="G15" s="20">
        <f>AVERAGE(E15:F15)</f>
        <v>120</v>
      </c>
      <c r="H15" s="4">
        <f>'Cash Flow Statement'!G91</f>
        <v>129.861</v>
      </c>
      <c r="I15" s="20">
        <f>H15-G15</f>
        <v>9.86099999999999</v>
      </c>
      <c r="J15" s="20" t="str">
        <f>IF(H15&lt;=G15,"Beat","Miss")</f>
        <v>Miss</v>
      </c>
      <c r="K15" s="5" t="s">
        <v>509</v>
      </c>
    </row>
    <row r="16">
      <c r="B16" s="2" t="s">
        <v>514</v>
      </c>
      <c r="C16" s="34">
        <v>45686</v>
      </c>
      <c r="D16" s="88" t="s">
        <v>508</v>
      </c>
      <c r="E16" s="12">
        <v>1525</v>
      </c>
      <c r="F16" s="12">
        <v>1575</v>
      </c>
      <c r="G16" s="20">
        <f>AVERAGE(E16:F16)</f>
        <v>1550</v>
      </c>
      <c r="H16" s="4">
        <f>'Cash Flow Statement'!G34</f>
        <v>1588.4460000000004</v>
      </c>
      <c r="I16" s="20">
        <f>H16-G16</f>
        <v>38.44600000000037</v>
      </c>
      <c r="J16" s="20" t="str">
        <f>IF(H16&gt;=G16,"Beat","Miss")</f>
        <v>Beat</v>
      </c>
      <c r="K16" s="5" t="s">
        <v>509</v>
      </c>
    </row>
    <row r="17">
      <c r="B17" s="2" t="s">
        <v>453</v>
      </c>
      <c r="C17" s="34">
        <v>45686</v>
      </c>
      <c r="D17" s="88" t="s">
        <v>508</v>
      </c>
      <c r="E17" s="12">
        <v>1400</v>
      </c>
      <c r="F17" s="12">
        <v>1460</v>
      </c>
      <c r="G17" s="20">
        <f>AVERAGE(E17:F17)</f>
        <v>1430</v>
      </c>
      <c r="H17" s="4">
        <f>'Cash Flow Statement'!G94</f>
        <v>1458.5850000000005</v>
      </c>
      <c r="I17" s="20">
        <f>H17-G17</f>
        <v>28.58500000000049</v>
      </c>
      <c r="J17" s="20" t="str">
        <f>IF(H17&gt;=G17,"Beat","Miss")</f>
        <v>Beat</v>
      </c>
      <c r="K17" s="5" t="s">
        <v>509</v>
      </c>
    </row>
    <row r="18">
      <c r="B18" s="2" t="s">
        <v>507</v>
      </c>
      <c r="C18" s="34">
        <v>45769</v>
      </c>
      <c r="D18" s="88" t="s">
        <v>508</v>
      </c>
      <c r="E18" s="12">
        <v>1405</v>
      </c>
      <c r="F18" s="12">
        <v>1445</v>
      </c>
      <c r="G18" s="20">
        <f>AVERAGE(E18:F18)</f>
        <v>1425</v>
      </c>
      <c r="H18" s="4">
        <f>'Income Statement'!G50</f>
        <v>1420.892</v>
      </c>
      <c r="I18" s="20">
        <f>H18-G18</f>
        <v>-4.107999999999947</v>
      </c>
      <c r="J18" s="20" t="str">
        <f>IF(H18&lt;=G18,"Beat","Miss")</f>
        <v>Beat</v>
      </c>
      <c r="K18" s="5" t="s">
        <v>515</v>
      </c>
    </row>
    <row r="19">
      <c r="B19" s="2" t="s">
        <v>510</v>
      </c>
      <c r="C19" s="34">
        <v>45769</v>
      </c>
      <c r="D19" s="88" t="s">
        <v>508</v>
      </c>
      <c r="E19" s="12">
        <v>1220</v>
      </c>
      <c r="F19" s="12">
        <v>1250</v>
      </c>
      <c r="G19" s="20">
        <f>AVERAGE(E19:F19)</f>
        <v>1235</v>
      </c>
      <c r="H19" s="4">
        <f>'Income Statement'!G136</f>
        <v>1228.007</v>
      </c>
      <c r="I19" s="20">
        <f>H19-G19</f>
        <v>-6.992999999999938</v>
      </c>
      <c r="J19" s="20" t="str">
        <f>IF(H19&lt;=G19,"Beat","Miss")</f>
        <v>Beat</v>
      </c>
      <c r="K19" s="5" t="s">
        <v>516</v>
      </c>
    </row>
    <row r="20">
      <c r="B20" s="2" t="s">
        <v>295</v>
      </c>
      <c r="C20" s="34">
        <v>45769</v>
      </c>
      <c r="D20" s="88" t="s">
        <v>508</v>
      </c>
      <c r="E20" s="12">
        <v>182</v>
      </c>
      <c r="F20" s="12">
        <v>186</v>
      </c>
      <c r="G20" s="20">
        <f>AVERAGE(E20:F20)</f>
        <v>184</v>
      </c>
      <c r="H20" s="4">
        <f>'Income Statement'!G62</f>
        <v>209.889</v>
      </c>
      <c r="I20" s="20">
        <f>H20-G20</f>
        <v>25.88900000000001</v>
      </c>
      <c r="J20" s="20" t="str">
        <f>IF(H20&lt;=G20,"Beat","Miss")</f>
        <v>Miss</v>
      </c>
      <c r="K20" s="5" t="s">
        <v>515</v>
      </c>
    </row>
    <row r="21">
      <c r="B21" s="2" t="s">
        <v>512</v>
      </c>
      <c r="C21" s="34">
        <v>45769</v>
      </c>
      <c r="D21" s="88" t="s">
        <v>508</v>
      </c>
      <c r="E21" s="12">
        <v>185</v>
      </c>
      <c r="F21" s="12">
        <v>195</v>
      </c>
      <c r="G21" s="20">
        <f>AVERAGE(E21:F21)</f>
        <v>190</v>
      </c>
      <c r="H21" s="4">
        <f>'Income Statement'!G141</f>
        <v>192.885</v>
      </c>
      <c r="I21" s="20">
        <f>H21-G21</f>
        <v>2.884999999999991</v>
      </c>
      <c r="J21" s="20" t="str">
        <f>IF(H21&lt;=G21,"Beat","Miss")</f>
        <v>Miss</v>
      </c>
      <c r="K21" s="5" t="s">
        <v>515</v>
      </c>
    </row>
    <row r="22">
      <c r="B22" s="2" t="s">
        <v>102</v>
      </c>
      <c r="C22" s="34">
        <v>45769</v>
      </c>
      <c r="D22" s="88" t="s">
        <v>508</v>
      </c>
      <c r="E22" s="9">
        <v>0.175</v>
      </c>
      <c r="F22" s="9">
        <v>0.2</v>
      </c>
      <c r="G22" s="19">
        <f>AVERAGE(E22:F22)</f>
        <v>0.1875</v>
      </c>
      <c r="H22" s="33">
        <f>'Income Statement'!G77</f>
        <v>0.1953821835080468</v>
      </c>
      <c r="I22" s="19">
        <f>H22-G22</f>
        <v>0.007882183508046786</v>
      </c>
      <c r="J22" s="52" t="str">
        <f>IF(H22&lt;=G22,"Beat","Miss")</f>
        <v>Miss</v>
      </c>
      <c r="K22" s="5" t="s">
        <v>517</v>
      </c>
    </row>
    <row r="23">
      <c r="B23" s="2" t="s">
        <v>426</v>
      </c>
      <c r="C23" s="34">
        <v>45769</v>
      </c>
      <c r="D23" s="88" t="s">
        <v>508</v>
      </c>
      <c r="E23" s="12">
        <v>115</v>
      </c>
      <c r="F23" s="12">
        <v>125</v>
      </c>
      <c r="G23" s="20">
        <f>AVERAGE(E23:F23)</f>
        <v>120</v>
      </c>
      <c r="H23" s="4">
        <f>'Cash Flow Statement'!G91</f>
        <v>129.861</v>
      </c>
      <c r="I23" s="20">
        <f>H23-G23</f>
        <v>9.86099999999999</v>
      </c>
      <c r="J23" s="20" t="str">
        <f>IF(H23&lt;=G23,"Beat","Miss")</f>
        <v>Miss</v>
      </c>
      <c r="K23" s="5" t="s">
        <v>515</v>
      </c>
    </row>
    <row r="24">
      <c r="B24" s="2" t="s">
        <v>514</v>
      </c>
      <c r="C24" s="34">
        <v>45769</v>
      </c>
      <c r="D24" s="88" t="s">
        <v>508</v>
      </c>
      <c r="E24" s="12">
        <v>1525</v>
      </c>
      <c r="F24" s="12">
        <v>1575</v>
      </c>
      <c r="G24" s="20">
        <f>AVERAGE(E24:F24)</f>
        <v>1550</v>
      </c>
      <c r="H24" s="4">
        <f>'Cash Flow Statement'!G34</f>
        <v>1588.4460000000004</v>
      </c>
      <c r="I24" s="20">
        <f>H24-G24</f>
        <v>38.44600000000037</v>
      </c>
      <c r="J24" s="20" t="str">
        <f>IF(H24&gt;=G24,"Beat","Miss")</f>
        <v>Beat</v>
      </c>
      <c r="K24" s="5" t="s">
        <v>515</v>
      </c>
    </row>
    <row r="25">
      <c r="B25" s="2" t="s">
        <v>453</v>
      </c>
      <c r="C25" s="34">
        <v>45769</v>
      </c>
      <c r="D25" s="88" t="s">
        <v>508</v>
      </c>
      <c r="E25" s="12">
        <v>1400</v>
      </c>
      <c r="F25" s="12">
        <v>1460</v>
      </c>
      <c r="G25" s="20">
        <f>AVERAGE(E25:F25)</f>
        <v>1430</v>
      </c>
      <c r="H25" s="4">
        <f>'Cash Flow Statement'!G94</f>
        <v>1458.5850000000005</v>
      </c>
      <c r="I25" s="20">
        <f>H25-G25</f>
        <v>28.58500000000049</v>
      </c>
      <c r="J25" s="20" t="str">
        <f>IF(H25&gt;=G25,"Beat","Miss")</f>
        <v>Beat</v>
      </c>
      <c r="K25" s="5" t="s">
        <v>515</v>
      </c>
    </row>
    <row r="26">
      <c r="B26" s="2" t="s">
        <v>507</v>
      </c>
      <c r="C26" s="34">
        <v>45860</v>
      </c>
      <c r="D26" s="88" t="s">
        <v>508</v>
      </c>
      <c r="E26" s="12">
        <v>1405</v>
      </c>
      <c r="F26" s="12">
        <v>1445</v>
      </c>
      <c r="G26" s="20">
        <f>AVERAGE(E26:F26)</f>
        <v>1425</v>
      </c>
      <c r="H26" s="4">
        <f>'Income Statement'!G50</f>
        <v>1420.892</v>
      </c>
      <c r="I26" s="20">
        <f>H26-G26</f>
        <v>-4.107999999999947</v>
      </c>
      <c r="J26" s="20" t="str">
        <f>IF(H26&lt;=G26,"Beat","Miss")</f>
        <v>Beat</v>
      </c>
      <c r="K26" s="5" t="s">
        <v>518</v>
      </c>
    </row>
    <row r="27">
      <c r="B27" s="2" t="s">
        <v>510</v>
      </c>
      <c r="C27" s="34">
        <v>45860</v>
      </c>
      <c r="D27" s="88" t="s">
        <v>508</v>
      </c>
      <c r="E27" s="12">
        <v>1220</v>
      </c>
      <c r="F27" s="12">
        <v>1250</v>
      </c>
      <c r="G27" s="20">
        <f>AVERAGE(E27:F27)</f>
        <v>1235</v>
      </c>
      <c r="H27" s="4">
        <f>'Income Statement'!G136</f>
        <v>1228.007</v>
      </c>
      <c r="I27" s="20">
        <f>H27-G27</f>
        <v>-6.992999999999938</v>
      </c>
      <c r="J27" s="20" t="str">
        <f>IF(H27&lt;=G27,"Beat","Miss")</f>
        <v>Beat</v>
      </c>
      <c r="K27" s="5" t="s">
        <v>519</v>
      </c>
    </row>
    <row r="28">
      <c r="B28" s="2" t="s">
        <v>295</v>
      </c>
      <c r="C28" s="34">
        <v>45860</v>
      </c>
      <c r="D28" s="88" t="s">
        <v>508</v>
      </c>
      <c r="E28" s="12">
        <v>182</v>
      </c>
      <c r="F28" s="12">
        <v>186</v>
      </c>
      <c r="G28" s="20">
        <f>AVERAGE(E28:F28)</f>
        <v>184</v>
      </c>
      <c r="H28" s="4">
        <f>'Income Statement'!G62</f>
        <v>209.889</v>
      </c>
      <c r="I28" s="20">
        <f>H28-G28</f>
        <v>25.88900000000001</v>
      </c>
      <c r="J28" s="20" t="str">
        <f>IF(H28&lt;=G28,"Beat","Miss")</f>
        <v>Miss</v>
      </c>
      <c r="K28" s="5" t="s">
        <v>518</v>
      </c>
    </row>
    <row r="29">
      <c r="B29" s="2" t="s">
        <v>512</v>
      </c>
      <c r="C29" s="34">
        <v>45860</v>
      </c>
      <c r="D29" s="88" t="s">
        <v>508</v>
      </c>
      <c r="E29" s="12">
        <v>185</v>
      </c>
      <c r="F29" s="12">
        <v>195</v>
      </c>
      <c r="G29" s="20">
        <f>AVERAGE(E29:F29)</f>
        <v>190</v>
      </c>
      <c r="H29" s="4">
        <f>'Income Statement'!G141</f>
        <v>192.885</v>
      </c>
      <c r="I29" s="20">
        <f>H29-G29</f>
        <v>2.884999999999991</v>
      </c>
      <c r="J29" s="20" t="str">
        <f>IF(H29&lt;=G29,"Beat","Miss")</f>
        <v>Miss</v>
      </c>
      <c r="K29" s="5" t="s">
        <v>518</v>
      </c>
    </row>
    <row r="30">
      <c r="B30" s="2" t="s">
        <v>102</v>
      </c>
      <c r="C30" s="34">
        <v>45860</v>
      </c>
      <c r="D30" s="88" t="s">
        <v>508</v>
      </c>
      <c r="E30" s="9">
        <v>0.175</v>
      </c>
      <c r="F30" s="9">
        <v>0.2</v>
      </c>
      <c r="G30" s="19">
        <f>AVERAGE(E30:F30)</f>
        <v>0.1875</v>
      </c>
      <c r="H30" s="33">
        <f>'Income Statement'!G77</f>
        <v>0.1953821835080468</v>
      </c>
      <c r="I30" s="19">
        <f>H30-G30</f>
        <v>0.007882183508046786</v>
      </c>
      <c r="J30" s="52" t="str">
        <f>IF(H30&lt;=G30,"Beat","Miss")</f>
        <v>Miss</v>
      </c>
      <c r="K30" s="5" t="s">
        <v>520</v>
      </c>
    </row>
    <row r="31">
      <c r="B31" s="2" t="s">
        <v>426</v>
      </c>
      <c r="C31" s="34">
        <v>45860</v>
      </c>
      <c r="D31" s="88" t="s">
        <v>508</v>
      </c>
      <c r="E31" s="12">
        <v>115</v>
      </c>
      <c r="F31" s="12">
        <v>125</v>
      </c>
      <c r="G31" s="20">
        <f>AVERAGE(E31:F31)</f>
        <v>120</v>
      </c>
      <c r="H31" s="4">
        <f>'Cash Flow Statement'!G91</f>
        <v>129.861</v>
      </c>
      <c r="I31" s="20">
        <f>H31-G31</f>
        <v>9.86099999999999</v>
      </c>
      <c r="J31" s="20" t="str">
        <f>IF(H31&lt;=G31,"Beat","Miss")</f>
        <v>Miss</v>
      </c>
      <c r="K31" s="5" t="s">
        <v>518</v>
      </c>
    </row>
    <row r="32">
      <c r="B32" s="2" t="s">
        <v>514</v>
      </c>
      <c r="C32" s="34">
        <v>45860</v>
      </c>
      <c r="D32" s="88" t="s">
        <v>508</v>
      </c>
      <c r="E32" s="12">
        <v>1525</v>
      </c>
      <c r="F32" s="12">
        <v>1575</v>
      </c>
      <c r="G32" s="20">
        <f>AVERAGE(E32:F32)</f>
        <v>1550</v>
      </c>
      <c r="H32" s="4">
        <f>'Cash Flow Statement'!G34</f>
        <v>1588.4460000000004</v>
      </c>
      <c r="I32" s="20">
        <f>H32-G32</f>
        <v>38.44600000000037</v>
      </c>
      <c r="J32" s="20" t="str">
        <f>IF(H32&gt;=G32,"Beat","Miss")</f>
        <v>Beat</v>
      </c>
      <c r="K32" s="5" t="s">
        <v>518</v>
      </c>
    </row>
    <row r="33">
      <c r="B33" s="2" t="s">
        <v>453</v>
      </c>
      <c r="C33" s="34">
        <v>45860</v>
      </c>
      <c r="D33" s="88" t="s">
        <v>508</v>
      </c>
      <c r="E33" s="12">
        <v>1400</v>
      </c>
      <c r="F33" s="12">
        <v>1460</v>
      </c>
      <c r="G33" s="20">
        <f>AVERAGE(E33:F33)</f>
        <v>1430</v>
      </c>
      <c r="H33" s="4">
        <f>'Cash Flow Statement'!G94</f>
        <v>1458.5850000000005</v>
      </c>
      <c r="I33" s="20">
        <f>H33-G33</f>
        <v>28.58500000000049</v>
      </c>
      <c r="J33" s="20" t="str">
        <f>IF(H33&gt;=G33,"Beat","Miss")</f>
        <v>Beat</v>
      </c>
      <c r="K33" s="5" t="s">
        <v>518</v>
      </c>
    </row>
    <row r="34">
      <c r="B34" s="2" t="s">
        <v>507</v>
      </c>
      <c r="C34" s="34">
        <v>45958</v>
      </c>
      <c r="D34" s="88" t="s">
        <v>508</v>
      </c>
      <c r="E34" s="12">
        <v>1415</v>
      </c>
      <c r="F34" s="12">
        <v>1445</v>
      </c>
      <c r="G34" s="20">
        <f>AVERAGE(E34:F34)</f>
        <v>1430</v>
      </c>
      <c r="H34" s="4">
        <f>'Income Statement'!G50</f>
        <v>1420.892</v>
      </c>
      <c r="I34" s="20">
        <f>H34-G34</f>
        <v>-9.107999999999947</v>
      </c>
      <c r="J34" s="20" t="str">
        <f>IF(H34&lt;=G34,"Beat","Miss")</f>
        <v>Beat</v>
      </c>
      <c r="K34" s="5" t="s">
        <v>521</v>
      </c>
    </row>
    <row r="35">
      <c r="B35" s="2" t="s">
        <v>510</v>
      </c>
      <c r="C35" s="34">
        <v>45958</v>
      </c>
      <c r="D35" s="88" t="s">
        <v>508</v>
      </c>
      <c r="E35" s="12">
        <v>1230</v>
      </c>
      <c r="F35" s="12">
        <v>1250</v>
      </c>
      <c r="G35" s="20">
        <f>AVERAGE(E35:F35)</f>
        <v>1240</v>
      </c>
      <c r="H35" s="4">
        <f>'Income Statement'!G136</f>
        <v>1228.007</v>
      </c>
      <c r="I35" s="20">
        <f>H35-G35</f>
        <v>-11.992999999999938</v>
      </c>
      <c r="J35" s="20" t="str">
        <f>IF(H35&lt;=G35,"Beat","Miss")</f>
        <v>Beat</v>
      </c>
      <c r="K35" s="5" t="s">
        <v>522</v>
      </c>
    </row>
    <row r="36">
      <c r="B36" s="2" t="s">
        <v>295</v>
      </c>
      <c r="C36" s="34">
        <v>45958</v>
      </c>
      <c r="D36" s="88" t="s">
        <v>508</v>
      </c>
      <c r="E36" s="12">
        <v>205</v>
      </c>
      <c r="F36" s="12">
        <v>209</v>
      </c>
      <c r="G36" s="20">
        <f>AVERAGE(E36:F36)</f>
        <v>207</v>
      </c>
      <c r="H36" s="4">
        <f>'Income Statement'!G62</f>
        <v>209.889</v>
      </c>
      <c r="I36" s="20">
        <f>H36-G36</f>
        <v>2.88900000000001</v>
      </c>
      <c r="J36" s="20" t="str">
        <f>IF(H36&lt;=G36,"Beat","Miss")</f>
        <v>Miss</v>
      </c>
      <c r="K36" s="5" t="s">
        <v>521</v>
      </c>
    </row>
    <row r="37">
      <c r="B37" s="2" t="s">
        <v>512</v>
      </c>
      <c r="C37" s="34">
        <v>45958</v>
      </c>
      <c r="D37" s="88" t="s">
        <v>508</v>
      </c>
      <c r="E37" s="12">
        <v>185</v>
      </c>
      <c r="F37" s="12">
        <v>195</v>
      </c>
      <c r="G37" s="20">
        <f>AVERAGE(E37:F37)</f>
        <v>190</v>
      </c>
      <c r="H37" s="4">
        <f>'Income Statement'!G141</f>
        <v>192.885</v>
      </c>
      <c r="I37" s="20">
        <f>H37-G37</f>
        <v>2.884999999999991</v>
      </c>
      <c r="J37" s="20" t="str">
        <f>IF(H37&lt;=G37,"Beat","Miss")</f>
        <v>Miss</v>
      </c>
      <c r="K37" s="5" t="s">
        <v>521</v>
      </c>
    </row>
    <row r="38">
      <c r="B38" s="2" t="s">
        <v>102</v>
      </c>
      <c r="C38" s="34">
        <v>45958</v>
      </c>
      <c r="D38" s="88" t="s">
        <v>508</v>
      </c>
      <c r="E38" s="9">
        <v>0.16</v>
      </c>
      <c r="F38" s="9">
        <v>0.18</v>
      </c>
      <c r="G38" s="19">
        <f>AVERAGE(E38:F38)</f>
        <v>0.16999999999999998</v>
      </c>
      <c r="H38" s="33">
        <f>'Income Statement'!G77</f>
        <v>0.1953821835080468</v>
      </c>
      <c r="I38" s="19">
        <f>H38-G38</f>
        <v>0.0253821835080468</v>
      </c>
      <c r="J38" s="52" t="str">
        <f>IF(H38&lt;=G38,"Beat","Miss")</f>
        <v>Miss</v>
      </c>
      <c r="K38" s="5" t="s">
        <v>523</v>
      </c>
    </row>
    <row r="39">
      <c r="B39" s="2" t="s">
        <v>426</v>
      </c>
      <c r="C39" s="34">
        <v>45958</v>
      </c>
      <c r="D39" s="88" t="s">
        <v>508</v>
      </c>
      <c r="E39" s="12">
        <v>120</v>
      </c>
      <c r="F39" s="12">
        <v>130</v>
      </c>
      <c r="G39" s="20">
        <f>AVERAGE(E39:F39)</f>
        <v>125</v>
      </c>
      <c r="H39" s="4">
        <f>'Cash Flow Statement'!G91</f>
        <v>129.861</v>
      </c>
      <c r="I39" s="20">
        <f>H39-G39</f>
        <v>4.86099999999999</v>
      </c>
      <c r="J39" s="20" t="str">
        <f>IF(H39&lt;=G39,"Beat","Miss")</f>
        <v>Miss</v>
      </c>
      <c r="K39" s="5" t="s">
        <v>521</v>
      </c>
    </row>
    <row r="40">
      <c r="B40" s="2" t="s">
        <v>514</v>
      </c>
      <c r="C40" s="34">
        <v>45958</v>
      </c>
      <c r="D40" s="88" t="s">
        <v>508</v>
      </c>
      <c r="E40" s="12">
        <v>1540</v>
      </c>
      <c r="F40" s="12">
        <v>1590</v>
      </c>
      <c r="G40" s="20">
        <f>AVERAGE(E40:F40)</f>
        <v>1565</v>
      </c>
      <c r="H40" s="4">
        <f>'Cash Flow Statement'!G34</f>
        <v>1588.4460000000004</v>
      </c>
      <c r="I40" s="20">
        <f>H40-G40</f>
        <v>23.446000000000367</v>
      </c>
      <c r="J40" s="20" t="str">
        <f>IF(H40&gt;=G40,"Beat","Miss")</f>
        <v>Beat</v>
      </c>
      <c r="K40" s="5" t="s">
        <v>521</v>
      </c>
    </row>
    <row r="41">
      <c r="B41" s="2" t="s">
        <v>453</v>
      </c>
      <c r="C41" s="34">
        <v>45958</v>
      </c>
      <c r="D41" s="88" t="s">
        <v>508</v>
      </c>
      <c r="E41" s="12">
        <v>1410</v>
      </c>
      <c r="F41" s="12">
        <v>1470</v>
      </c>
      <c r="G41" s="20">
        <f>AVERAGE(E41:F41)</f>
        <v>1440</v>
      </c>
      <c r="H41" s="4">
        <f>'Cash Flow Statement'!G94</f>
        <v>1458.5850000000005</v>
      </c>
      <c r="I41" s="20">
        <f>H41-G41</f>
        <v>18.58500000000049</v>
      </c>
      <c r="J41" s="20" t="str">
        <f>IF(H41&gt;=G41,"Beat","Miss")</f>
        <v>Beat</v>
      </c>
      <c r="K41" s="5" t="s">
        <v>521</v>
      </c>
    </row>
    <row r="42">
      <c r="B42" s="2" t="s">
        <v>507</v>
      </c>
      <c r="C42" s="34">
        <v>46050</v>
      </c>
      <c r="D42" s="88" t="s">
        <v>524</v>
      </c>
      <c r="E42" s="12">
        <v>1490</v>
      </c>
      <c r="F42" s="12">
        <v>1530</v>
      </c>
      <c r="G42" s="20">
        <f>AVERAGE(E42:F42)</f>
        <v>1510</v>
      </c>
      <c r="H42" s="20" t="s">
        <v>34</v>
      </c>
      <c r="I42" s="20" t="s">
        <v>34</v>
      </c>
      <c r="J42" s="10" t="s">
        <v>34</v>
      </c>
      <c r="K42" s="5" t="s">
        <v>525</v>
      </c>
    </row>
    <row r="43">
      <c r="B43" s="2" t="s">
        <v>510</v>
      </c>
      <c r="C43" s="34">
        <v>46050</v>
      </c>
      <c r="D43" s="88" t="s">
        <v>524</v>
      </c>
      <c r="E43" s="12">
        <v>1305</v>
      </c>
      <c r="F43" s="12">
        <v>1335</v>
      </c>
      <c r="G43" s="20">
        <f>AVERAGE(E43:F43)</f>
        <v>1320</v>
      </c>
      <c r="H43" s="20" t="s">
        <v>34</v>
      </c>
      <c r="I43" s="20" t="s">
        <v>34</v>
      </c>
      <c r="J43" s="10" t="s">
        <v>34</v>
      </c>
      <c r="K43" s="5" t="s">
        <v>525</v>
      </c>
    </row>
    <row r="44">
      <c r="B44" s="2" t="s">
        <v>295</v>
      </c>
      <c r="C44" s="34">
        <v>46050</v>
      </c>
      <c r="D44" s="88" t="s">
        <v>524</v>
      </c>
      <c r="E44" s="12">
        <v>274</v>
      </c>
      <c r="F44" s="12">
        <v>280</v>
      </c>
      <c r="G44" s="20">
        <f>AVERAGE(E44:F44)</f>
        <v>277</v>
      </c>
      <c r="H44" s="20" t="s">
        <v>34</v>
      </c>
      <c r="I44" s="20" t="s">
        <v>34</v>
      </c>
      <c r="J44" s="10" t="s">
        <v>34</v>
      </c>
      <c r="K44" s="5" t="s">
        <v>525</v>
      </c>
    </row>
    <row r="45">
      <c r="B45" s="2" t="s">
        <v>512</v>
      </c>
      <c r="C45" s="34">
        <v>46050</v>
      </c>
      <c r="D45" s="88" t="s">
        <v>524</v>
      </c>
      <c r="E45" s="12">
        <v>185</v>
      </c>
      <c r="F45" s="12">
        <v>195</v>
      </c>
      <c r="G45" s="20">
        <f>AVERAGE(E45:F45)</f>
        <v>190</v>
      </c>
      <c r="H45" s="20" t="s">
        <v>34</v>
      </c>
      <c r="I45" s="20" t="s">
        <v>34</v>
      </c>
      <c r="J45" s="10" t="s">
        <v>34</v>
      </c>
      <c r="K45" s="5" t="s">
        <v>525</v>
      </c>
    </row>
    <row r="46">
      <c r="B46" s="2" t="s">
        <v>102</v>
      </c>
      <c r="C46" s="34">
        <v>46050</v>
      </c>
      <c r="D46" s="88" t="s">
        <v>524</v>
      </c>
      <c r="E46" s="9">
        <v>0.18</v>
      </c>
      <c r="F46" s="9">
        <v>0.2</v>
      </c>
      <c r="G46" s="19">
        <f>AVERAGE(E46:F46)</f>
        <v>0.19</v>
      </c>
      <c r="H46" s="19" t="s">
        <v>34</v>
      </c>
      <c r="I46" s="19" t="s">
        <v>34</v>
      </c>
      <c r="J46" s="10" t="s">
        <v>34</v>
      </c>
      <c r="K46" s="5" t="s">
        <v>526</v>
      </c>
    </row>
    <row r="47">
      <c r="B47" s="2" t="s">
        <v>426</v>
      </c>
      <c r="C47" s="34">
        <v>46050</v>
      </c>
      <c r="D47" s="88" t="s">
        <v>524</v>
      </c>
      <c r="E47" s="12">
        <v>160</v>
      </c>
      <c r="F47" s="12">
        <v>170</v>
      </c>
      <c r="G47" s="20">
        <f>AVERAGE(E47:F47)</f>
        <v>165</v>
      </c>
      <c r="H47" s="20" t="s">
        <v>34</v>
      </c>
      <c r="I47" s="20" t="s">
        <v>34</v>
      </c>
      <c r="J47" s="10" t="s">
        <v>34</v>
      </c>
      <c r="K47" s="5" t="s">
        <v>525</v>
      </c>
    </row>
    <row r="48">
      <c r="B48" s="2" t="s">
        <v>514</v>
      </c>
      <c r="C48" s="34">
        <v>46050</v>
      </c>
      <c r="D48" s="88" t="s">
        <v>524</v>
      </c>
      <c r="E48" s="12">
        <v>1640</v>
      </c>
      <c r="F48" s="12">
        <v>1690</v>
      </c>
      <c r="G48" s="20">
        <f>AVERAGE(E48:F48)</f>
        <v>1665</v>
      </c>
      <c r="H48" s="20" t="s">
        <v>34</v>
      </c>
      <c r="I48" s="20" t="s">
        <v>34</v>
      </c>
      <c r="J48" s="10" t="s">
        <v>34</v>
      </c>
      <c r="K48" s="5" t="s">
        <v>525</v>
      </c>
    </row>
    <row r="49">
      <c r="B49" s="2" t="s">
        <v>453</v>
      </c>
      <c r="C49" s="34">
        <v>46050</v>
      </c>
      <c r="D49" s="88" t="s">
        <v>524</v>
      </c>
      <c r="E49" s="12">
        <v>1470</v>
      </c>
      <c r="F49" s="12">
        <v>1530</v>
      </c>
      <c r="G49" s="20">
        <f>AVERAGE(E49:F49)</f>
        <v>1500</v>
      </c>
      <c r="H49" s="20" t="s">
        <v>34</v>
      </c>
      <c r="I49" s="20" t="s">
        <v>34</v>
      </c>
      <c r="J49" s="10" t="s">
        <v>34</v>
      </c>
      <c r="K49" s="5" t="s">
        <v>525</v>
      </c>
    </row>
    <row r="50">
      <c r="B50" s="2" t="s">
        <v>507</v>
      </c>
      <c r="C50" s="34">
        <v>46133</v>
      </c>
      <c r="D50" s="88" t="s">
        <v>524</v>
      </c>
      <c r="E50" s="12">
        <v>1490</v>
      </c>
      <c r="F50" s="12">
        <v>1530</v>
      </c>
      <c r="G50" s="20">
        <f>AVERAGE(E50:F50)</f>
        <v>1510</v>
      </c>
      <c r="H50" s="20" t="s">
        <v>34</v>
      </c>
      <c r="I50" s="20" t="s">
        <v>34</v>
      </c>
      <c r="J50" s="10" t="s">
        <v>34</v>
      </c>
      <c r="K50" s="5" t="s">
        <v>527</v>
      </c>
    </row>
    <row r="51">
      <c r="B51" s="2" t="s">
        <v>510</v>
      </c>
      <c r="C51" s="34">
        <v>46133</v>
      </c>
      <c r="D51" s="88" t="s">
        <v>524</v>
      </c>
      <c r="E51" s="12">
        <v>1305</v>
      </c>
      <c r="F51" s="12">
        <v>1335</v>
      </c>
      <c r="G51" s="20">
        <f>AVERAGE(E51:F51)</f>
        <v>1320</v>
      </c>
      <c r="H51" s="20" t="s">
        <v>34</v>
      </c>
      <c r="I51" s="20" t="s">
        <v>34</v>
      </c>
      <c r="J51" s="10" t="s">
        <v>34</v>
      </c>
      <c r="K51" s="5" t="s">
        <v>527</v>
      </c>
    </row>
    <row r="52">
      <c r="B52" s="2" t="s">
        <v>295</v>
      </c>
      <c r="C52" s="34">
        <v>46133</v>
      </c>
      <c r="D52" s="88" t="s">
        <v>524</v>
      </c>
      <c r="E52" s="12">
        <v>274</v>
      </c>
      <c r="F52" s="12">
        <v>280</v>
      </c>
      <c r="G52" s="20">
        <f>AVERAGE(E52:F52)</f>
        <v>277</v>
      </c>
      <c r="H52" s="20" t="s">
        <v>34</v>
      </c>
      <c r="I52" s="20" t="s">
        <v>34</v>
      </c>
      <c r="J52" s="10" t="s">
        <v>34</v>
      </c>
      <c r="K52" s="5" t="s">
        <v>527</v>
      </c>
    </row>
    <row r="53">
      <c r="B53" s="2" t="s">
        <v>512</v>
      </c>
      <c r="C53" s="34">
        <v>46133</v>
      </c>
      <c r="D53" s="88" t="s">
        <v>524</v>
      </c>
      <c r="E53" s="12">
        <v>190</v>
      </c>
      <c r="F53" s="12">
        <v>200</v>
      </c>
      <c r="G53" s="20">
        <f>AVERAGE(E53:F53)</f>
        <v>195</v>
      </c>
      <c r="H53" s="20" t="s">
        <v>34</v>
      </c>
      <c r="I53" s="20" t="s">
        <v>34</v>
      </c>
      <c r="J53" s="10" t="s">
        <v>34</v>
      </c>
      <c r="K53" s="5" t="s">
        <v>527</v>
      </c>
    </row>
    <row r="54">
      <c r="B54" s="2" t="s">
        <v>102</v>
      </c>
      <c r="C54" s="34">
        <v>46133</v>
      </c>
      <c r="D54" s="88" t="s">
        <v>524</v>
      </c>
      <c r="E54" s="9">
        <v>0.18</v>
      </c>
      <c r="F54" s="9">
        <v>0.2</v>
      </c>
      <c r="G54" s="19">
        <f>AVERAGE(E54:F54)</f>
        <v>0.19</v>
      </c>
      <c r="H54" s="19" t="s">
        <v>34</v>
      </c>
      <c r="I54" s="19" t="s">
        <v>34</v>
      </c>
      <c r="J54" s="10" t="s">
        <v>34</v>
      </c>
      <c r="K54" s="5" t="s">
        <v>528</v>
      </c>
    </row>
    <row r="55">
      <c r="B55" s="2" t="s">
        <v>426</v>
      </c>
      <c r="C55" s="34">
        <v>46133</v>
      </c>
      <c r="D55" s="88" t="s">
        <v>524</v>
      </c>
      <c r="E55" s="12">
        <v>160</v>
      </c>
      <c r="F55" s="12">
        <v>170</v>
      </c>
      <c r="G55" s="20">
        <f>AVERAGE(E55:F55)</f>
        <v>165</v>
      </c>
      <c r="H55" s="20" t="s">
        <v>34</v>
      </c>
      <c r="I55" s="20" t="s">
        <v>34</v>
      </c>
      <c r="J55" s="10" t="s">
        <v>34</v>
      </c>
      <c r="K55" s="5" t="s">
        <v>527</v>
      </c>
    </row>
    <row r="56">
      <c r="B56" s="2" t="s">
        <v>514</v>
      </c>
      <c r="C56" s="34">
        <v>46133</v>
      </c>
      <c r="D56" s="88" t="s">
        <v>524</v>
      </c>
      <c r="E56" s="12">
        <v>1640</v>
      </c>
      <c r="F56" s="12">
        <v>1690</v>
      </c>
      <c r="G56" s="20">
        <f>AVERAGE(E56:F56)</f>
        <v>1665</v>
      </c>
      <c r="H56" s="20" t="s">
        <v>34</v>
      </c>
      <c r="I56" s="20" t="s">
        <v>34</v>
      </c>
      <c r="J56" s="10" t="s">
        <v>34</v>
      </c>
      <c r="K56" s="5" t="s">
        <v>527</v>
      </c>
    </row>
    <row r="57">
      <c r="B57" s="2" t="s">
        <v>453</v>
      </c>
      <c r="C57" s="34">
        <v>46133</v>
      </c>
      <c r="D57" s="88" t="s">
        <v>524</v>
      </c>
      <c r="E57" s="12">
        <v>1470</v>
      </c>
      <c r="F57" s="12">
        <v>1530</v>
      </c>
      <c r="G57" s="20">
        <f>AVERAGE(E57:F57)</f>
        <v>1500</v>
      </c>
      <c r="H57" s="20" t="s">
        <v>34</v>
      </c>
      <c r="I57" s="20" t="s">
        <v>34</v>
      </c>
      <c r="J57" s="10" t="s">
        <v>34</v>
      </c>
      <c r="K57" s="5" t="s">
        <v>527</v>
      </c>
    </row>
    <row r="58">
      <c r="B58" s="2" t="s">
        <v>507</v>
      </c>
      <c r="C58" s="34">
        <v>46224</v>
      </c>
      <c r="D58" s="88" t="s">
        <v>524</v>
      </c>
      <c r="E58" s="12">
        <v>1535</v>
      </c>
      <c r="F58" s="12">
        <v>1575</v>
      </c>
      <c r="G58" s="20">
        <f>AVERAGE(E58:F58)</f>
        <v>1555</v>
      </c>
      <c r="H58" s="20" t="s">
        <v>34</v>
      </c>
      <c r="I58" s="20" t="s">
        <v>34</v>
      </c>
      <c r="J58" s="10" t="s">
        <v>34</v>
      </c>
      <c r="K58" s="5" t="s">
        <v>529</v>
      </c>
    </row>
    <row r="59">
      <c r="B59" s="2" t="s">
        <v>510</v>
      </c>
      <c r="C59" s="34">
        <v>46224</v>
      </c>
      <c r="D59" s="88" t="s">
        <v>524</v>
      </c>
      <c r="E59" s="12">
        <v>1340</v>
      </c>
      <c r="F59" s="12">
        <v>1370</v>
      </c>
      <c r="G59" s="20">
        <f>AVERAGE(E59:F59)</f>
        <v>1355</v>
      </c>
      <c r="H59" s="20" t="s">
        <v>34</v>
      </c>
      <c r="I59" s="20" t="s">
        <v>34</v>
      </c>
      <c r="J59" s="10" t="s">
        <v>34</v>
      </c>
      <c r="K59" s="5" t="s">
        <v>529</v>
      </c>
    </row>
    <row r="60">
      <c r="B60" s="2" t="s">
        <v>295</v>
      </c>
      <c r="C60" s="34">
        <v>46224</v>
      </c>
      <c r="D60" s="88" t="s">
        <v>524</v>
      </c>
      <c r="E60" s="12">
        <v>282</v>
      </c>
      <c r="F60" s="12">
        <v>286</v>
      </c>
      <c r="G60" s="20">
        <f>AVERAGE(E60:F60)</f>
        <v>284</v>
      </c>
      <c r="H60" s="20" t="s">
        <v>34</v>
      </c>
      <c r="I60" s="20" t="s">
        <v>34</v>
      </c>
      <c r="J60" s="10" t="s">
        <v>34</v>
      </c>
      <c r="K60" s="5" t="s">
        <v>529</v>
      </c>
    </row>
    <row r="61">
      <c r="B61" s="2" t="s">
        <v>512</v>
      </c>
      <c r="C61" s="34">
        <v>46224</v>
      </c>
      <c r="D61" s="88" t="s">
        <v>524</v>
      </c>
      <c r="E61" s="12">
        <v>195</v>
      </c>
      <c r="F61" s="12">
        <v>205</v>
      </c>
      <c r="G61" s="20">
        <f>AVERAGE(E61:F61)</f>
        <v>200</v>
      </c>
      <c r="H61" s="20" t="s">
        <v>34</v>
      </c>
      <c r="I61" s="20" t="s">
        <v>34</v>
      </c>
      <c r="J61" s="10" t="s">
        <v>34</v>
      </c>
      <c r="K61" s="5" t="s">
        <v>529</v>
      </c>
    </row>
    <row r="62">
      <c r="B62" s="2" t="s">
        <v>102</v>
      </c>
      <c r="C62" s="34">
        <v>46224</v>
      </c>
      <c r="D62" s="88" t="s">
        <v>524</v>
      </c>
      <c r="E62" s="9">
        <v>0.18</v>
      </c>
      <c r="F62" s="9">
        <v>0.2</v>
      </c>
      <c r="G62" s="19">
        <f>AVERAGE(E62:F62)</f>
        <v>0.19</v>
      </c>
      <c r="H62" s="19" t="s">
        <v>34</v>
      </c>
      <c r="I62" s="19" t="s">
        <v>34</v>
      </c>
      <c r="J62" s="10" t="s">
        <v>34</v>
      </c>
      <c r="K62" s="5" t="s">
        <v>530</v>
      </c>
    </row>
    <row r="63">
      <c r="B63" s="2" t="s">
        <v>426</v>
      </c>
      <c r="C63" s="34">
        <v>46224</v>
      </c>
      <c r="D63" s="88" t="s">
        <v>524</v>
      </c>
      <c r="E63" s="12">
        <v>160</v>
      </c>
      <c r="F63" s="12">
        <v>170</v>
      </c>
      <c r="G63" s="20">
        <f>AVERAGE(E63:F63)</f>
        <v>165</v>
      </c>
      <c r="H63" s="20" t="s">
        <v>34</v>
      </c>
      <c r="I63" s="20" t="s">
        <v>34</v>
      </c>
      <c r="J63" s="10" t="s">
        <v>34</v>
      </c>
      <c r="K63" s="5" t="s">
        <v>529</v>
      </c>
    </row>
    <row r="64">
      <c r="B64" s="2" t="s">
        <v>514</v>
      </c>
      <c r="C64" s="34">
        <v>46224</v>
      </c>
      <c r="D64" s="88" t="s">
        <v>524</v>
      </c>
      <c r="E64" s="12">
        <v>1655</v>
      </c>
      <c r="F64" s="12">
        <v>1705</v>
      </c>
      <c r="G64" s="20">
        <f>AVERAGE(E64:F64)</f>
        <v>1680</v>
      </c>
      <c r="H64" s="20" t="s">
        <v>34</v>
      </c>
      <c r="I64" s="20" t="s">
        <v>34</v>
      </c>
      <c r="J64" s="10" t="s">
        <v>34</v>
      </c>
      <c r="K64" s="5" t="s">
        <v>529</v>
      </c>
    </row>
    <row r="65">
      <c r="B65" s="2" t="s">
        <v>453</v>
      </c>
      <c r="C65" s="34">
        <v>46224</v>
      </c>
      <c r="D65" s="88" t="s">
        <v>524</v>
      </c>
      <c r="E65" s="12">
        <v>1485</v>
      </c>
      <c r="F65" s="12">
        <v>1545</v>
      </c>
      <c r="G65" s="20">
        <f>AVERAGE(E65:F65)</f>
        <v>1515</v>
      </c>
      <c r="H65" s="20" t="s">
        <v>34</v>
      </c>
      <c r="I65" s="20" t="s">
        <v>34</v>
      </c>
      <c r="J65" s="10" t="s">
        <v>34</v>
      </c>
      <c r="K65" s="5" t="s">
        <v>529</v>
      </c>
    </row>
    <row r="66">
      <c r="B66" s="2" t="s">
        <v>531</v>
      </c>
      <c r="C66" s="34">
        <v>46279</v>
      </c>
      <c r="D66" s="88" t="s">
        <v>532</v>
      </c>
      <c r="E66" s="12">
        <v>336</v>
      </c>
      <c r="F66" s="12">
        <v>339</v>
      </c>
      <c r="G66" s="20">
        <f>AVERAGE(E66:F66)</f>
        <v>337.5</v>
      </c>
      <c r="H66" s="20" t="s">
        <v>34</v>
      </c>
      <c r="I66" s="20" t="s">
        <v>34</v>
      </c>
      <c r="J66" s="10" t="s">
        <v>34</v>
      </c>
      <c r="K66" s="5" t="s">
        <v>533</v>
      </c>
    </row>
    <row r="67">
      <c r="B67" s="2" t="s">
        <v>534</v>
      </c>
      <c r="C67" s="10"/>
      <c r="D67" s="10"/>
      <c r="E67" s="20"/>
      <c r="F67" s="20"/>
      <c r="G67" s="4">
        <f>'Income Statement'!J136</f>
        <v>338</v>
      </c>
      <c r="H67" s="20"/>
      <c r="I67" s="20">
        <f>G67-G66</f>
        <v>0.5</v>
      </c>
      <c r="J67" s="10"/>
      <c r="K67" s="5" t="s">
        <v>535</v>
      </c>
    </row>
    <row r="68">
      <c r="B68" s="2"/>
      <c r="C68" s="10"/>
      <c r="D68" s="10"/>
      <c r="E68" s="20"/>
      <c r="F68" s="20"/>
      <c r="G68" s="20"/>
      <c r="H68" s="20"/>
      <c r="I68" s="20"/>
      <c r="J68" s="10"/>
      <c r="K68" s="2"/>
    </row>
    <row r="69">
      <c r="B69" s="2" t="s">
        <v>536</v>
      </c>
      <c r="C69" s="10"/>
      <c r="D69" s="10"/>
      <c r="E69" s="20"/>
      <c r="F69" s="20"/>
      <c r="G69" s="20"/>
      <c r="H69" s="20"/>
      <c r="I69" s="20"/>
      <c r="J69" s="10"/>
      <c r="K69" s="2"/>
    </row>
    <row r="70">
      <c r="B70" s="2" t="s">
        <v>537</v>
      </c>
      <c r="C70" s="10"/>
      <c r="D70" s="10"/>
      <c r="E70" s="20"/>
      <c r="F70" s="20"/>
      <c r="G70" s="20">
        <f>COUNTIF(J34:J41,"Beat")</f>
        <v>4</v>
      </c>
      <c r="H70" s="20"/>
      <c r="I70" s="20"/>
      <c r="J70" s="10"/>
      <c r="K70" s="2"/>
    </row>
    <row r="71">
      <c r="B71" s="2" t="s">
        <v>538</v>
      </c>
      <c r="C71" s="5" t="s">
        <v>539</v>
      </c>
      <c r="D71" s="10"/>
      <c r="E71" s="20"/>
      <c r="F71" s="20"/>
      <c r="G71" s="20"/>
      <c r="H71" s="20"/>
      <c r="I71" s="20"/>
      <c r="J71" s="10"/>
      <c r="K71" s="2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1:K4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540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22"/>
    </row>
    <row r="6">
      <c r="B6" s="25" t="s">
        <v>5</v>
      </c>
      <c r="C6" s="28">
        <v>46295</v>
      </c>
      <c r="D6" s="17"/>
      <c r="E6" s="17"/>
      <c r="F6" s="17"/>
      <c r="G6" s="17"/>
      <c r="H6" s="17"/>
      <c r="I6" s="17"/>
      <c r="J6" s="17"/>
      <c r="K6" s="25"/>
    </row>
    <row r="7">
      <c r="B7" s="18" t="s">
        <v>6</v>
      </c>
      <c r="C7" s="40">
        <v>92</v>
      </c>
      <c r="D7" s="1"/>
      <c r="E7" s="1"/>
      <c r="F7" s="1"/>
      <c r="G7" s="1"/>
      <c r="H7" s="1"/>
      <c r="I7" s="1"/>
      <c r="J7" s="1"/>
      <c r="K7" s="18"/>
    </row>
    <row r="8">
      <c r="B8" s="2"/>
      <c r="C8" s="2"/>
      <c r="D8" s="2"/>
      <c r="E8" s="2"/>
      <c r="F8" s="2"/>
      <c r="G8" s="2"/>
      <c r="H8" s="2"/>
      <c r="I8" s="2"/>
      <c r="J8" s="2"/>
      <c r="K8" s="2"/>
    </row>
    <row r="9">
      <c r="B9" s="35" t="s">
        <v>541</v>
      </c>
      <c r="C9" s="89" t="s">
        <v>542</v>
      </c>
      <c r="D9" s="38" t="s">
        <v>543</v>
      </c>
      <c r="E9" s="35"/>
      <c r="F9" s="35"/>
      <c r="G9" s="38" t="s">
        <v>544</v>
      </c>
      <c r="H9" s="35"/>
      <c r="I9" s="35"/>
      <c r="J9" s="35"/>
      <c r="K9" s="38" t="s">
        <v>545</v>
      </c>
    </row>
    <row r="10">
      <c r="B10" s="2" t="s">
        <v>546</v>
      </c>
      <c r="C10" s="34">
        <v>45769</v>
      </c>
      <c r="D10" s="5" t="s">
        <v>547</v>
      </c>
      <c r="E10" s="2"/>
      <c r="F10" s="2"/>
      <c r="G10" s="5" t="s">
        <v>548</v>
      </c>
      <c r="H10" s="2"/>
      <c r="I10" s="2"/>
      <c r="J10" s="2"/>
      <c r="K10" s="5" t="s">
        <v>549</v>
      </c>
    </row>
    <row r="11">
      <c r="B11" s="2" t="s">
        <v>550</v>
      </c>
      <c r="C11" s="34">
        <v>45860</v>
      </c>
      <c r="D11" s="5" t="s">
        <v>547</v>
      </c>
      <c r="E11" s="2"/>
      <c r="F11" s="2"/>
      <c r="G11" s="5" t="s">
        <v>548</v>
      </c>
      <c r="H11" s="2"/>
      <c r="I11" s="2"/>
      <c r="J11" s="2"/>
      <c r="K11" s="5" t="s">
        <v>551</v>
      </c>
    </row>
    <row r="12">
      <c r="B12" s="2" t="s">
        <v>552</v>
      </c>
      <c r="C12" s="34">
        <v>45958</v>
      </c>
      <c r="D12" s="5" t="s">
        <v>547</v>
      </c>
      <c r="E12" s="2"/>
      <c r="F12" s="2"/>
      <c r="G12" s="5" t="s">
        <v>548</v>
      </c>
      <c r="H12" s="2"/>
      <c r="I12" s="2"/>
      <c r="J12" s="2"/>
      <c r="K12" s="5" t="s">
        <v>553</v>
      </c>
    </row>
    <row r="13">
      <c r="B13" s="2" t="s">
        <v>554</v>
      </c>
      <c r="C13" s="34">
        <v>46050</v>
      </c>
      <c r="D13" s="5" t="s">
        <v>547</v>
      </c>
      <c r="E13" s="2"/>
      <c r="F13" s="2"/>
      <c r="G13" s="5" t="s">
        <v>555</v>
      </c>
      <c r="H13" s="2"/>
      <c r="I13" s="2"/>
      <c r="J13" s="2"/>
      <c r="K13" s="5" t="s">
        <v>556</v>
      </c>
    </row>
    <row r="14">
      <c r="B14" s="2" t="s">
        <v>557</v>
      </c>
      <c r="C14" s="34">
        <v>46133</v>
      </c>
      <c r="D14" s="5" t="s">
        <v>547</v>
      </c>
      <c r="E14" s="2"/>
      <c r="F14" s="2"/>
      <c r="G14" s="5" t="s">
        <v>548</v>
      </c>
      <c r="H14" s="2"/>
      <c r="I14" s="2"/>
      <c r="J14" s="2"/>
      <c r="K14" s="5" t="s">
        <v>558</v>
      </c>
    </row>
    <row r="15">
      <c r="B15" s="2" t="s">
        <v>559</v>
      </c>
      <c r="C15" s="34">
        <v>46224</v>
      </c>
      <c r="D15" s="5" t="s">
        <v>547</v>
      </c>
      <c r="E15" s="2"/>
      <c r="F15" s="2"/>
      <c r="G15" s="5" t="s">
        <v>560</v>
      </c>
      <c r="H15" s="2"/>
      <c r="I15" s="2"/>
      <c r="J15" s="2"/>
      <c r="K15" s="5" t="s">
        <v>561</v>
      </c>
    </row>
    <row r="16">
      <c r="B16" s="2" t="s">
        <v>562</v>
      </c>
      <c r="C16" s="34">
        <v>45958</v>
      </c>
      <c r="D16" s="5" t="s">
        <v>547</v>
      </c>
      <c r="E16" s="2"/>
      <c r="F16" s="2"/>
      <c r="G16" s="5" t="s">
        <v>563</v>
      </c>
      <c r="H16" s="2"/>
      <c r="I16" s="2"/>
      <c r="J16" s="2"/>
      <c r="K16" s="5" t="s">
        <v>564</v>
      </c>
    </row>
    <row r="17">
      <c r="B17" s="2" t="s">
        <v>565</v>
      </c>
      <c r="C17" s="34">
        <v>46059</v>
      </c>
      <c r="D17" s="5" t="s">
        <v>547</v>
      </c>
      <c r="E17" s="2"/>
      <c r="F17" s="2"/>
      <c r="G17" s="5" t="s">
        <v>566</v>
      </c>
      <c r="H17" s="2"/>
      <c r="I17" s="2"/>
      <c r="J17" s="2"/>
      <c r="K17" s="5" t="s">
        <v>567</v>
      </c>
    </row>
    <row r="18">
      <c r="B18" s="2" t="s">
        <v>568</v>
      </c>
      <c r="C18" s="34">
        <v>46133</v>
      </c>
      <c r="D18" s="5" t="s">
        <v>547</v>
      </c>
      <c r="E18" s="2"/>
      <c r="F18" s="2"/>
      <c r="G18" s="5" t="s">
        <v>569</v>
      </c>
      <c r="H18" s="2"/>
      <c r="I18" s="2"/>
      <c r="J18" s="2"/>
      <c r="K18" s="5" t="s">
        <v>570</v>
      </c>
    </row>
    <row r="19">
      <c r="B19" s="2" t="s">
        <v>571</v>
      </c>
      <c r="C19" s="34">
        <v>46224</v>
      </c>
      <c r="D19" s="5" t="s">
        <v>547</v>
      </c>
      <c r="E19" s="2"/>
      <c r="F19" s="2"/>
      <c r="G19" s="5" t="s">
        <v>572</v>
      </c>
      <c r="H19" s="2"/>
      <c r="I19" s="2"/>
      <c r="J19" s="2"/>
      <c r="K19" s="5" t="s">
        <v>573</v>
      </c>
    </row>
    <row r="20">
      <c r="B20" s="2" t="s">
        <v>574</v>
      </c>
      <c r="C20" s="34">
        <v>45958</v>
      </c>
      <c r="D20" s="5" t="s">
        <v>575</v>
      </c>
      <c r="E20" s="2"/>
      <c r="F20" s="2"/>
      <c r="G20" s="5" t="s">
        <v>576</v>
      </c>
      <c r="H20" s="2"/>
      <c r="I20" s="2"/>
      <c r="J20" s="2"/>
      <c r="K20" s="5" t="s">
        <v>577</v>
      </c>
    </row>
    <row r="21">
      <c r="B21" s="2" t="s">
        <v>578</v>
      </c>
      <c r="C21" s="34">
        <v>46050</v>
      </c>
      <c r="D21" s="5" t="s">
        <v>575</v>
      </c>
      <c r="E21" s="2"/>
      <c r="F21" s="2"/>
      <c r="G21" s="5" t="s">
        <v>576</v>
      </c>
      <c r="H21" s="2"/>
      <c r="I21" s="2"/>
      <c r="J21" s="2"/>
      <c r="K21" s="5" t="s">
        <v>579</v>
      </c>
    </row>
    <row r="22">
      <c r="B22" s="2" t="s">
        <v>580</v>
      </c>
      <c r="C22" s="34">
        <v>46133</v>
      </c>
      <c r="D22" s="5" t="s">
        <v>575</v>
      </c>
      <c r="E22" s="2"/>
      <c r="F22" s="2"/>
      <c r="G22" s="5" t="s">
        <v>581</v>
      </c>
      <c r="H22" s="2"/>
      <c r="I22" s="2"/>
      <c r="J22" s="2"/>
      <c r="K22" s="5" t="s">
        <v>582</v>
      </c>
    </row>
    <row r="23">
      <c r="B23" s="2" t="s">
        <v>583</v>
      </c>
      <c r="C23" s="34">
        <v>46224</v>
      </c>
      <c r="D23" s="5" t="s">
        <v>575</v>
      </c>
      <c r="E23" s="2"/>
      <c r="F23" s="2"/>
      <c r="G23" s="5" t="s">
        <v>584</v>
      </c>
      <c r="H23" s="2"/>
      <c r="I23" s="2"/>
      <c r="J23" s="2"/>
      <c r="K23" s="5" t="s">
        <v>585</v>
      </c>
    </row>
    <row r="24">
      <c r="B24" s="2" t="s">
        <v>586</v>
      </c>
      <c r="C24" s="34">
        <v>46224</v>
      </c>
      <c r="D24" s="5" t="s">
        <v>587</v>
      </c>
      <c r="E24" s="2"/>
      <c r="F24" s="2"/>
      <c r="G24" s="5" t="s">
        <v>588</v>
      </c>
      <c r="H24" s="2"/>
      <c r="I24" s="2"/>
      <c r="J24" s="2"/>
      <c r="K24" s="5" t="s">
        <v>589</v>
      </c>
    </row>
    <row r="25">
      <c r="B25" s="2" t="s">
        <v>590</v>
      </c>
      <c r="C25" s="34">
        <v>46279</v>
      </c>
      <c r="D25" s="5" t="s">
        <v>591</v>
      </c>
      <c r="E25" s="2"/>
      <c r="F25" s="2"/>
      <c r="G25" s="5" t="s">
        <v>592</v>
      </c>
      <c r="H25" s="2"/>
      <c r="I25" s="2"/>
      <c r="J25" s="2"/>
      <c r="K25" s="5" t="s">
        <v>593</v>
      </c>
    </row>
    <row r="26">
      <c r="B26" s="2" t="s">
        <v>594</v>
      </c>
      <c r="C26" s="88" t="s">
        <v>595</v>
      </c>
      <c r="D26" s="5" t="s">
        <v>575</v>
      </c>
      <c r="E26" s="2"/>
      <c r="F26" s="2"/>
      <c r="G26" s="5" t="s">
        <v>596</v>
      </c>
      <c r="H26" s="2"/>
      <c r="I26" s="2"/>
      <c r="J26" s="2"/>
      <c r="K26" s="5" t="s">
        <v>597</v>
      </c>
    </row>
    <row r="27">
      <c r="B27" s="2" t="s">
        <v>598</v>
      </c>
      <c r="C27" s="34">
        <v>46295</v>
      </c>
      <c r="D27" s="5" t="s">
        <v>10</v>
      </c>
      <c r="E27" s="2"/>
      <c r="F27" s="2"/>
      <c r="G27" s="5" t="s">
        <v>599</v>
      </c>
      <c r="H27" s="2"/>
      <c r="I27" s="2"/>
      <c r="J27" s="2"/>
      <c r="K27" s="5" t="s">
        <v>600</v>
      </c>
    </row>
    <row r="28">
      <c r="B28" s="2" t="s">
        <v>601</v>
      </c>
      <c r="C28" s="34">
        <v>46237</v>
      </c>
      <c r="D28" s="5" t="s">
        <v>602</v>
      </c>
      <c r="E28" s="2"/>
      <c r="F28" s="2"/>
      <c r="G28" s="5" t="s">
        <v>603</v>
      </c>
      <c r="H28" s="2"/>
      <c r="I28" s="2"/>
      <c r="J28" s="2"/>
      <c r="K28" s="5" t="s">
        <v>604</v>
      </c>
    </row>
    <row r="29">
      <c r="B29" s="2" t="s">
        <v>605</v>
      </c>
      <c r="C29" s="34">
        <v>46289</v>
      </c>
      <c r="D29" s="5" t="s">
        <v>575</v>
      </c>
      <c r="E29" s="2"/>
      <c r="F29" s="2"/>
      <c r="G29" s="5" t="s">
        <v>606</v>
      </c>
      <c r="H29" s="2"/>
      <c r="I29" s="2"/>
      <c r="J29" s="2"/>
      <c r="K29" s="5" t="s">
        <v>607</v>
      </c>
    </row>
    <row r="30">
      <c r="B30" s="2" t="s">
        <v>608</v>
      </c>
      <c r="C30" s="34">
        <v>46313</v>
      </c>
      <c r="D30" s="5" t="s">
        <v>609</v>
      </c>
      <c r="E30" s="2"/>
      <c r="F30" s="2"/>
      <c r="G30" s="5" t="s">
        <v>610</v>
      </c>
      <c r="H30" s="2"/>
      <c r="I30" s="2"/>
      <c r="J30" s="2"/>
      <c r="K30" s="5" t="s">
        <v>611</v>
      </c>
    </row>
    <row r="31">
      <c r="B31" s="2" t="s">
        <v>612</v>
      </c>
      <c r="C31" s="34">
        <v>46313</v>
      </c>
      <c r="D31" s="5" t="s">
        <v>609</v>
      </c>
      <c r="E31" s="2"/>
      <c r="F31" s="2"/>
      <c r="G31" s="5" t="s">
        <v>613</v>
      </c>
      <c r="H31" s="2"/>
      <c r="I31" s="2"/>
      <c r="J31" s="2"/>
      <c r="K31" s="5" t="s">
        <v>614</v>
      </c>
    </row>
    <row r="32">
      <c r="B32" s="2" t="s">
        <v>615</v>
      </c>
      <c r="C32" s="34">
        <v>46310</v>
      </c>
      <c r="D32" s="5" t="s">
        <v>616</v>
      </c>
      <c r="E32" s="2"/>
      <c r="F32" s="2"/>
      <c r="G32" s="5" t="s">
        <v>617</v>
      </c>
      <c r="H32" s="2"/>
      <c r="I32" s="2"/>
      <c r="J32" s="2"/>
      <c r="K32" s="5" t="s">
        <v>618</v>
      </c>
    </row>
    <row r="33">
      <c r="B33" s="2" t="s">
        <v>619</v>
      </c>
      <c r="C33" s="34">
        <v>46309</v>
      </c>
      <c r="D33" s="5" t="s">
        <v>620</v>
      </c>
      <c r="E33" s="2"/>
      <c r="F33" s="2"/>
      <c r="G33" s="5" t="s">
        <v>621</v>
      </c>
      <c r="H33" s="2"/>
      <c r="I33" s="2"/>
      <c r="J33" s="2"/>
      <c r="K33" s="5" t="s">
        <v>622</v>
      </c>
    </row>
    <row r="34">
      <c r="B34" s="2" t="s">
        <v>623</v>
      </c>
      <c r="C34" s="34">
        <v>46311</v>
      </c>
      <c r="D34" s="5" t="s">
        <v>624</v>
      </c>
      <c r="E34" s="2"/>
      <c r="F34" s="2"/>
      <c r="G34" s="5" t="s">
        <v>625</v>
      </c>
      <c r="H34" s="2"/>
      <c r="I34" s="2"/>
      <c r="J34" s="2"/>
      <c r="K34" s="5" t="s">
        <v>626</v>
      </c>
    </row>
    <row r="35">
      <c r="B35" s="2" t="s">
        <v>627</v>
      </c>
      <c r="C35" s="34">
        <v>46116</v>
      </c>
      <c r="D35" s="5" t="s">
        <v>628</v>
      </c>
      <c r="E35" s="2"/>
      <c r="F35" s="2"/>
      <c r="G35" s="5" t="s">
        <v>629</v>
      </c>
      <c r="H35" s="2"/>
      <c r="I35" s="2"/>
      <c r="J35" s="2"/>
      <c r="K35" s="5" t="s">
        <v>630</v>
      </c>
    </row>
    <row r="36">
      <c r="B36" s="2" t="s">
        <v>631</v>
      </c>
      <c r="C36" s="34">
        <v>46310</v>
      </c>
      <c r="D36" s="5" t="s">
        <v>632</v>
      </c>
      <c r="E36" s="2"/>
      <c r="F36" s="2"/>
      <c r="G36" s="5" t="s">
        <v>633</v>
      </c>
      <c r="H36" s="2"/>
      <c r="I36" s="2"/>
      <c r="J36" s="2"/>
      <c r="K36" s="5" t="s">
        <v>634</v>
      </c>
    </row>
    <row r="37">
      <c r="B37" s="2" t="s">
        <v>635</v>
      </c>
      <c r="C37" s="34">
        <v>46310</v>
      </c>
      <c r="D37" s="5" t="s">
        <v>636</v>
      </c>
      <c r="E37" s="2"/>
      <c r="F37" s="2"/>
      <c r="G37" s="5" t="s">
        <v>637</v>
      </c>
      <c r="H37" s="2"/>
      <c r="I37" s="2"/>
      <c r="J37" s="2"/>
      <c r="K37" s="5" t="s">
        <v>638</v>
      </c>
    </row>
    <row r="38">
      <c r="B38" s="2" t="s">
        <v>639</v>
      </c>
      <c r="C38" s="34">
        <v>45860</v>
      </c>
      <c r="D38" s="5" t="s">
        <v>547</v>
      </c>
      <c r="E38" s="2"/>
      <c r="F38" s="2"/>
      <c r="G38" s="5" t="s">
        <v>640</v>
      </c>
      <c r="H38" s="2"/>
      <c r="I38" s="2"/>
      <c r="J38" s="2"/>
      <c r="K38" s="5" t="s">
        <v>641</v>
      </c>
    </row>
    <row r="39">
      <c r="B39" s="2" t="s">
        <v>642</v>
      </c>
      <c r="C39" s="34">
        <v>45686</v>
      </c>
      <c r="D39" s="5" t="s">
        <v>547</v>
      </c>
      <c r="E39" s="2"/>
      <c r="F39" s="2"/>
      <c r="G39" s="5" t="s">
        <v>643</v>
      </c>
      <c r="H39" s="2"/>
      <c r="I39" s="2"/>
      <c r="J39" s="2"/>
      <c r="K39" s="5" t="s">
        <v>644</v>
      </c>
    </row>
    <row r="40">
      <c r="B40" s="2"/>
      <c r="C40" s="10"/>
      <c r="D40" s="2"/>
      <c r="E40" s="2"/>
      <c r="F40" s="2"/>
      <c r="G40" s="2"/>
      <c r="H40" s="2"/>
      <c r="I40" s="2"/>
      <c r="J40" s="2"/>
      <c r="K40" s="2"/>
    </row>
    <row r="41">
      <c r="B41" s="2" t="s">
        <v>645</v>
      </c>
      <c r="C41" s="10"/>
      <c r="D41" s="2"/>
      <c r="E41" s="2"/>
      <c r="F41" s="2"/>
      <c r="G41" s="2"/>
      <c r="H41" s="2"/>
      <c r="I41" s="2"/>
      <c r="J41" s="2"/>
      <c r="K41" s="2"/>
    </row>
    <row r="42">
      <c r="B42" s="2" t="s">
        <v>646</v>
      </c>
      <c r="C42" s="10"/>
      <c r="D42" s="2"/>
      <c r="E42" s="2"/>
      <c r="F42" s="2"/>
      <c r="G42" s="2"/>
      <c r="H42" s="2"/>
      <c r="I42" s="2"/>
      <c r="J42" s="2"/>
      <c r="K42" s="2"/>
    </row>
    <row r="43">
      <c r="B43" s="2" t="s">
        <v>647</v>
      </c>
      <c r="C43" s="10"/>
      <c r="D43" s="2"/>
      <c r="E43" s="2"/>
      <c r="F43" s="2"/>
      <c r="G43" s="2"/>
      <c r="H43" s="2"/>
      <c r="I43" s="2"/>
      <c r="J43" s="2"/>
      <c r="K43" s="2"/>
    </row>
    <row r="44">
      <c r="B44" s="2" t="s">
        <v>648</v>
      </c>
      <c r="C44" s="10"/>
      <c r="D44" s="2"/>
      <c r="E44" s="2"/>
      <c r="F44" s="2"/>
      <c r="G44" s="2"/>
      <c r="H44" s="2"/>
      <c r="I44" s="2"/>
      <c r="J44" s="2"/>
      <c r="K44" s="2"/>
    </row>
    <row r="45">
      <c r="B45" s="2" t="s">
        <v>649</v>
      </c>
      <c r="C45" s="10"/>
      <c r="D45" s="2"/>
      <c r="E45" s="2"/>
      <c r="F45" s="2"/>
      <c r="G45" s="2"/>
      <c r="H45" s="2"/>
      <c r="I45" s="2"/>
      <c r="J45" s="2"/>
      <c r="K45" s="2"/>
    </row>
    <row r="46">
      <c r="B46" s="2" t="s">
        <v>650</v>
      </c>
      <c r="C46" s="10"/>
      <c r="D46" s="2"/>
      <c r="E46" s="2"/>
      <c r="F46" s="2"/>
      <c r="G46" s="2"/>
      <c r="H46" s="2"/>
      <c r="I46" s="2"/>
      <c r="J46" s="2"/>
      <c r="K46" s="2"/>
    </row>
    <row r="47">
      <c r="B47" s="2" t="s">
        <v>651</v>
      </c>
      <c r="C47" s="10"/>
      <c r="D47" s="2"/>
      <c r="E47" s="2"/>
      <c r="F47" s="2"/>
      <c r="G47" s="2"/>
      <c r="H47" s="2"/>
      <c r="I47" s="2"/>
      <c r="J47" s="2"/>
      <c r="K47" s="2"/>
    </row>
    <row r="48">
      <c r="B48" s="91" t="s">
        <v>652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B1:K30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48" customWidth="1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13" t="s">
        <v>0</v>
      </c>
      <c r="C2" s="2"/>
      <c r="D2" s="2"/>
      <c r="E2" s="2"/>
      <c r="F2" s="2"/>
      <c r="G2" s="2"/>
      <c r="H2" s="2"/>
      <c r="I2" s="2"/>
      <c r="J2" s="2"/>
      <c r="K2" s="2"/>
    </row>
    <row r="3">
      <c r="B3" s="37" t="s">
        <v>653</v>
      </c>
      <c r="C3" s="2"/>
      <c r="D3" s="2"/>
      <c r="E3" s="2"/>
      <c r="F3" s="2"/>
      <c r="G3" s="2"/>
      <c r="H3" s="2"/>
      <c r="I3" s="2"/>
      <c r="J3" s="2"/>
      <c r="K3" s="2"/>
    </row>
    <row r="4">
      <c r="B4" s="30" t="s">
        <v>2</v>
      </c>
      <c r="C4" s="2"/>
      <c r="D4" s="2"/>
      <c r="E4" s="2"/>
      <c r="F4" s="2"/>
      <c r="G4" s="2"/>
      <c r="H4" s="2"/>
      <c r="I4" s="2"/>
      <c r="J4" s="2"/>
      <c r="K4" s="2"/>
    </row>
    <row r="5">
      <c r="B5" s="22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22"/>
    </row>
    <row r="6">
      <c r="B6" s="25" t="s">
        <v>5</v>
      </c>
      <c r="C6" s="28">
        <v>46295</v>
      </c>
      <c r="D6" s="17"/>
      <c r="E6" s="17"/>
      <c r="F6" s="17"/>
      <c r="G6" s="17"/>
      <c r="H6" s="17"/>
      <c r="I6" s="17"/>
      <c r="J6" s="17"/>
      <c r="K6" s="25"/>
    </row>
    <row r="7">
      <c r="B7" s="18" t="s">
        <v>6</v>
      </c>
      <c r="C7" s="40">
        <v>92</v>
      </c>
      <c r="D7" s="1"/>
      <c r="E7" s="1"/>
      <c r="F7" s="1"/>
      <c r="G7" s="1"/>
      <c r="H7" s="1"/>
      <c r="I7" s="1"/>
      <c r="J7" s="1"/>
      <c r="K7" s="18"/>
    </row>
    <row r="8">
      <c r="B8" s="24" t="s">
        <v>654</v>
      </c>
      <c r="C8" s="2"/>
      <c r="D8" s="2"/>
      <c r="E8" s="2"/>
      <c r="F8" s="2"/>
      <c r="G8" s="2"/>
      <c r="H8" s="2"/>
      <c r="I8" s="2"/>
      <c r="J8" s="2"/>
      <c r="K8" s="2"/>
    </row>
    <row r="9">
      <c r="B9" s="2" t="s">
        <v>655</v>
      </c>
      <c r="C9" s="36" t="s">
        <v>656</v>
      </c>
      <c r="D9" s="2"/>
      <c r="E9" s="2"/>
      <c r="F9" s="2"/>
      <c r="G9" s="2"/>
      <c r="H9" s="2"/>
      <c r="I9" s="2"/>
      <c r="J9" s="2"/>
      <c r="K9" s="2"/>
    </row>
    <row r="10">
      <c r="B10" s="2" t="s">
        <v>657</v>
      </c>
      <c r="C10" s="36" t="s">
        <v>10</v>
      </c>
      <c r="D10" s="2"/>
      <c r="E10" s="2"/>
      <c r="F10" s="2"/>
      <c r="G10" s="2"/>
      <c r="H10" s="2"/>
      <c r="I10" s="2"/>
      <c r="J10" s="2"/>
      <c r="K10" s="2"/>
    </row>
    <row r="11">
      <c r="B11" s="2" t="s">
        <v>658</v>
      </c>
      <c r="C11" s="36" t="s">
        <v>8</v>
      </c>
      <c r="D11" s="2"/>
      <c r="E11" s="2"/>
      <c r="F11" s="2"/>
      <c r="G11" s="2"/>
      <c r="H11" s="2"/>
      <c r="I11" s="2"/>
      <c r="J11" s="2"/>
      <c r="K11" s="2"/>
    </row>
    <row r="12">
      <c r="B12" s="2" t="s">
        <v>659</v>
      </c>
      <c r="C12" s="36" t="s">
        <v>660</v>
      </c>
      <c r="D12" s="2"/>
      <c r="E12" s="2"/>
      <c r="F12" s="2"/>
      <c r="G12" s="2"/>
      <c r="H12" s="2"/>
      <c r="I12" s="2"/>
      <c r="J12" s="2"/>
      <c r="K12" s="2"/>
    </row>
    <row r="13">
      <c r="B13" s="2" t="s">
        <v>661</v>
      </c>
      <c r="C13" s="34">
        <v>46295</v>
      </c>
      <c r="D13" s="2"/>
      <c r="E13" s="2"/>
      <c r="F13" s="2"/>
      <c r="G13" s="2"/>
      <c r="H13" s="2"/>
      <c r="I13" s="2"/>
      <c r="J13" s="2"/>
      <c r="K13" s="2"/>
    </row>
    <row r="14">
      <c r="B14" s="2" t="s">
        <v>662</v>
      </c>
      <c r="C14" s="34">
        <v>46313</v>
      </c>
      <c r="D14" s="2"/>
      <c r="E14" s="2"/>
      <c r="F14" s="2"/>
      <c r="G14" s="2"/>
      <c r="H14" s="2"/>
      <c r="I14" s="2"/>
      <c r="J14" s="2"/>
      <c r="K14" s="2"/>
    </row>
    <row r="15">
      <c r="B15" s="2" t="s">
        <v>663</v>
      </c>
      <c r="C15" s="31">
        <v>13</v>
      </c>
      <c r="D15" s="2"/>
      <c r="E15" s="2"/>
      <c r="F15" s="2"/>
      <c r="G15" s="2"/>
      <c r="H15" s="2"/>
      <c r="I15" s="2"/>
      <c r="J15" s="2"/>
      <c r="K15" s="2"/>
    </row>
    <row r="16">
      <c r="B16" s="2" t="s">
        <v>664</v>
      </c>
      <c r="C16" s="92">
        <v>5.02</v>
      </c>
      <c r="D16" s="2"/>
      <c r="E16" s="2"/>
      <c r="F16" s="2"/>
      <c r="G16" s="2"/>
      <c r="H16" s="2"/>
      <c r="I16" s="2"/>
      <c r="J16" s="2"/>
      <c r="K16" s="2"/>
    </row>
    <row r="17">
      <c r="B17" s="2" t="s">
        <v>665</v>
      </c>
      <c r="C17" s="12">
        <v>888.24</v>
      </c>
      <c r="D17" s="2"/>
      <c r="E17" s="2"/>
      <c r="F17" s="2"/>
      <c r="G17" s="2"/>
      <c r="H17" s="2"/>
      <c r="I17" s="2"/>
      <c r="J17" s="2"/>
      <c r="K17" s="2"/>
    </row>
    <row r="18">
      <c r="B18" s="2" t="s">
        <v>666</v>
      </c>
      <c r="C18" s="36" t="s">
        <v>667</v>
      </c>
      <c r="D18" s="2"/>
      <c r="E18" s="2"/>
      <c r="F18" s="2"/>
      <c r="G18" s="2"/>
      <c r="H18" s="2"/>
      <c r="I18" s="2"/>
      <c r="J18" s="2"/>
      <c r="K18" s="2"/>
    </row>
    <row r="19">
      <c r="B19" s="2" t="s">
        <v>668</v>
      </c>
      <c r="C19" s="36" t="s">
        <v>669</v>
      </c>
      <c r="D19" s="2"/>
      <c r="E19" s="2"/>
      <c r="F19" s="2"/>
      <c r="G19" s="2"/>
      <c r="H19" s="2"/>
      <c r="I19" s="2"/>
      <c r="J19" s="2"/>
      <c r="K19" s="2"/>
    </row>
    <row r="20">
      <c r="B20" s="24" t="s">
        <v>670</v>
      </c>
      <c r="C20" s="2"/>
      <c r="D20" s="2"/>
      <c r="E20" s="2"/>
      <c r="F20" s="2"/>
      <c r="G20" s="2"/>
      <c r="H20" s="2"/>
      <c r="I20" s="2"/>
      <c r="J20" s="2"/>
      <c r="K20" s="2"/>
    </row>
    <row r="21">
      <c r="B21" s="59" t="s">
        <v>661</v>
      </c>
      <c r="C21" s="111" t="s">
        <v>671</v>
      </c>
      <c r="D21" s="99" t="s">
        <v>672</v>
      </c>
      <c r="E21" s="99" t="s">
        <v>673</v>
      </c>
      <c r="F21" s="99" t="s">
        <v>674</v>
      </c>
      <c r="G21" s="99" t="s">
        <v>675</v>
      </c>
      <c r="H21" s="99" t="s">
        <v>676</v>
      </c>
      <c r="I21" s="99" t="s">
        <v>677</v>
      </c>
      <c r="J21" s="99" t="s">
        <v>678</v>
      </c>
      <c r="K21" s="59"/>
    </row>
    <row r="22">
      <c r="B22" s="34">
        <v>45747</v>
      </c>
      <c r="C22" s="34">
        <v>45769</v>
      </c>
      <c r="D22" s="92">
        <v>3.9</v>
      </c>
      <c r="E22" s="92">
        <v>4</v>
      </c>
      <c r="F22" s="92">
        <v>3.61</v>
      </c>
      <c r="G22" s="92">
        <v>3.71</v>
      </c>
      <c r="H22" s="12">
        <v>744.47</v>
      </c>
      <c r="I22" s="12">
        <v>745.83</v>
      </c>
      <c r="J22" s="97">
        <f>IF(AND(ISNUMBER(E22),ISNUMBER(D22)),E22-D22,"n/a")</f>
        <v>0.10000000000000009</v>
      </c>
      <c r="K22" s="2"/>
    </row>
    <row r="23">
      <c r="B23" s="34">
        <v>45838</v>
      </c>
      <c r="C23" s="34">
        <v>45860</v>
      </c>
      <c r="D23" s="92">
        <v>4.15</v>
      </c>
      <c r="E23" s="92">
        <v>4.17</v>
      </c>
      <c r="F23" s="92">
        <v>3.86</v>
      </c>
      <c r="G23" s="92">
        <v>3.92</v>
      </c>
      <c r="H23" s="12">
        <v>770.25</v>
      </c>
      <c r="I23" s="12">
        <v>772.68</v>
      </c>
      <c r="J23" s="97">
        <f>IF(AND(ISNUMBER(E23),ISNUMBER(D23)),E23-D23,"n/a")</f>
        <v>0.019999999999999574</v>
      </c>
      <c r="K23" s="2"/>
    </row>
    <row r="24">
      <c r="B24" s="34">
        <v>45930</v>
      </c>
      <c r="C24" s="34">
        <v>45958</v>
      </c>
      <c r="D24" s="92">
        <v>4.37</v>
      </c>
      <c r="E24" s="92">
        <v>4.47</v>
      </c>
      <c r="F24" s="92">
        <v>4.06</v>
      </c>
      <c r="G24" s="92">
        <v>4.25</v>
      </c>
      <c r="H24" s="12">
        <v>797.83</v>
      </c>
      <c r="I24" s="12">
        <v>793.43</v>
      </c>
      <c r="J24" s="97">
        <f>IF(AND(ISNUMBER(E24),ISNUMBER(D24)),E24-D24,"n/a")</f>
        <v>0.09999999999999964</v>
      </c>
      <c r="K24" s="2"/>
    </row>
    <row r="25">
      <c r="B25" s="34">
        <v>46022</v>
      </c>
      <c r="C25" s="34">
        <v>46050</v>
      </c>
      <c r="D25" s="92">
        <v>4.59</v>
      </c>
      <c r="E25" s="92">
        <v>4.66</v>
      </c>
      <c r="F25" s="92">
        <v>4.37</v>
      </c>
      <c r="G25" s="92">
        <v>3.81</v>
      </c>
      <c r="H25" s="12">
        <v>823.6</v>
      </c>
      <c r="I25" s="12">
        <v>822.53</v>
      </c>
      <c r="J25" s="97">
        <f>IF(AND(ISNUMBER(E25),ISNUMBER(D25)),E25-D25,"n/a")</f>
        <v>0.07000000000000028</v>
      </c>
      <c r="K25" s="2"/>
    </row>
    <row r="26">
      <c r="B26" s="34">
        <v>46112</v>
      </c>
      <c r="C26" s="34">
        <v>46133</v>
      </c>
      <c r="D26" s="92">
        <v>4.46</v>
      </c>
      <c r="E26" s="92">
        <v>4.55</v>
      </c>
      <c r="F26" s="92">
        <v>4.31</v>
      </c>
      <c r="G26" s="92">
        <v>5.53</v>
      </c>
      <c r="H26" s="12">
        <v>841.32</v>
      </c>
      <c r="I26" s="12">
        <v>850.8</v>
      </c>
      <c r="J26" s="97">
        <f>IF(AND(ISNUMBER(E26),ISNUMBER(D26)),E26-D26,"n/a")</f>
        <v>0.08999999999999986</v>
      </c>
      <c r="K26" s="2"/>
    </row>
    <row r="27">
      <c r="B27" s="34">
        <v>46203</v>
      </c>
      <c r="C27" s="34">
        <v>46224</v>
      </c>
      <c r="D27" s="92">
        <v>4.98</v>
      </c>
      <c r="E27" s="92">
        <v>4.94</v>
      </c>
      <c r="F27" s="92">
        <v>4.78</v>
      </c>
      <c r="G27" s="92">
        <v>4.69</v>
      </c>
      <c r="H27" s="12">
        <v>870.1</v>
      </c>
      <c r="I27" s="12">
        <v>867</v>
      </c>
      <c r="J27" s="97">
        <f>IF(AND(ISNUMBER(E27),ISNUMBER(D27)),E27-D27,"n/a")</f>
        <v>-0.040000000000000036</v>
      </c>
      <c r="K27" s="2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</row>
    <row r="29">
      <c r="B29" s="24" t="s">
        <v>679</v>
      </c>
      <c r="C29" s="2"/>
      <c r="D29" s="2"/>
      <c r="E29" s="2"/>
      <c r="F29" s="2"/>
      <c r="G29" s="2"/>
      <c r="H29" s="2"/>
      <c r="I29" s="2"/>
      <c r="J29" s="2"/>
      <c r="K29" s="2"/>
    </row>
    <row r="30">
      <c r="B30" s="2" t="s">
        <v>657</v>
      </c>
      <c r="C30" s="36" t="s">
        <v>10</v>
      </c>
      <c r="D30" s="2"/>
      <c r="E30" s="2"/>
      <c r="F30" s="2"/>
      <c r="G30" s="2"/>
      <c r="H30" s="2"/>
      <c r="I30" s="2"/>
      <c r="J30" s="2"/>
      <c r="K30" s="2"/>
    </row>
    <row r="31">
      <c r="B31" s="2" t="s">
        <v>680</v>
      </c>
      <c r="C31" s="36" t="s">
        <v>8</v>
      </c>
      <c r="D31" s="2"/>
      <c r="E31" s="2"/>
      <c r="F31" s="2"/>
      <c r="G31" s="2"/>
      <c r="H31" s="2"/>
      <c r="I31" s="2"/>
      <c r="J31" s="2"/>
      <c r="K31" s="2"/>
    </row>
    <row r="32">
      <c r="B32" s="2" t="s">
        <v>681</v>
      </c>
      <c r="C32" s="36" t="s">
        <v>682</v>
      </c>
      <c r="D32" s="2"/>
      <c r="E32" s="2"/>
      <c r="F32" s="2"/>
      <c r="G32" s="2"/>
      <c r="H32" s="2"/>
      <c r="I32" s="2"/>
      <c r="J32" s="2"/>
      <c r="K32" s="2"/>
    </row>
    <row r="33">
      <c r="B33" s="2" t="s">
        <v>683</v>
      </c>
      <c r="C33" s="36">
        <v>7844318</v>
      </c>
      <c r="D33" s="2"/>
      <c r="E33" s="2"/>
      <c r="F33" s="2"/>
      <c r="G33" s="2"/>
      <c r="H33" s="2"/>
      <c r="I33" s="2"/>
      <c r="J33" s="2"/>
      <c r="K33" s="2"/>
    </row>
    <row r="34">
      <c r="B34" s="2" t="s">
        <v>684</v>
      </c>
      <c r="C34" s="36" t="s">
        <v>667</v>
      </c>
      <c r="D34" s="2"/>
      <c r="E34" s="2"/>
      <c r="F34" s="2"/>
      <c r="G34" s="2"/>
      <c r="H34" s="2"/>
      <c r="I34" s="2"/>
      <c r="J34" s="2"/>
      <c r="K34" s="2"/>
    </row>
    <row r="35">
      <c r="B35" s="2" t="s">
        <v>685</v>
      </c>
      <c r="C35" s="36" t="s">
        <v>686</v>
      </c>
      <c r="D35" s="2"/>
      <c r="E35" s="2"/>
      <c r="F35" s="2"/>
      <c r="G35" s="2"/>
      <c r="H35" s="2"/>
      <c r="I35" s="2"/>
      <c r="J35" s="2"/>
      <c r="K35" s="2"/>
    </row>
    <row r="36">
      <c r="B36" s="2" t="s">
        <v>687</v>
      </c>
      <c r="C36" s="36" t="s">
        <v>660</v>
      </c>
      <c r="D36" s="2"/>
      <c r="E36" s="2"/>
      <c r="F36" s="2"/>
      <c r="G36" s="2"/>
      <c r="H36" s="2"/>
      <c r="I36" s="2"/>
      <c r="J36" s="2"/>
      <c r="K36" s="2"/>
    </row>
    <row r="37">
      <c r="B37" s="2" t="s">
        <v>688</v>
      </c>
      <c r="C37" s="34">
        <v>46295</v>
      </c>
      <c r="D37" s="2"/>
      <c r="E37" s="2"/>
      <c r="F37" s="2"/>
      <c r="G37" s="2"/>
      <c r="H37" s="2"/>
      <c r="I37" s="2"/>
      <c r="J37" s="2"/>
      <c r="K37" s="2"/>
    </row>
    <row r="38">
      <c r="B38" s="2" t="s">
        <v>689</v>
      </c>
      <c r="C38" s="34">
        <v>46315</v>
      </c>
      <c r="D38" s="2"/>
      <c r="E38" s="2"/>
      <c r="F38" s="2"/>
      <c r="G38" s="2"/>
      <c r="H38" s="2"/>
      <c r="I38" s="2"/>
      <c r="J38" s="2"/>
      <c r="K38" s="2"/>
    </row>
    <row r="39">
      <c r="B39" s="2" t="s">
        <v>690</v>
      </c>
      <c r="C39" s="36" t="s">
        <v>691</v>
      </c>
      <c r="D39" s="2"/>
      <c r="E39" s="2"/>
      <c r="F39" s="2"/>
      <c r="G39" s="2"/>
      <c r="H39" s="2"/>
      <c r="I39" s="2"/>
      <c r="J39" s="2"/>
      <c r="K39" s="2"/>
    </row>
    <row r="40">
      <c r="B40" s="2" t="s">
        <v>692</v>
      </c>
      <c r="C40" s="31">
        <v>13</v>
      </c>
      <c r="D40" s="2"/>
      <c r="E40" s="2"/>
      <c r="F40" s="2"/>
      <c r="G40" s="2"/>
      <c r="H40" s="2"/>
      <c r="I40" s="2"/>
      <c r="J40" s="2"/>
      <c r="K40" s="2"/>
    </row>
    <row r="41">
      <c r="B41" s="2" t="s">
        <v>693</v>
      </c>
      <c r="C41" s="31">
        <v>13</v>
      </c>
      <c r="D41" s="2"/>
      <c r="E41" s="2"/>
      <c r="F41" s="2"/>
      <c r="G41" s="2"/>
      <c r="H41" s="2"/>
      <c r="I41" s="2"/>
      <c r="J41" s="2"/>
      <c r="K41" s="2"/>
    </row>
    <row r="42">
      <c r="B42" s="2" t="s">
        <v>694</v>
      </c>
      <c r="C42" s="10"/>
      <c r="D42" s="2"/>
      <c r="E42" s="2"/>
      <c r="F42" s="2"/>
      <c r="G42" s="2"/>
      <c r="H42" s="2"/>
      <c r="I42" s="2"/>
      <c r="J42" s="2"/>
      <c r="K42" s="2"/>
    </row>
    <row r="43">
      <c r="B43" s="2" t="s">
        <v>695</v>
      </c>
      <c r="C43" s="92">
        <v>5.02</v>
      </c>
      <c r="D43" s="2"/>
      <c r="E43" s="2"/>
      <c r="F43" s="2"/>
      <c r="G43" s="2"/>
      <c r="H43" s="2"/>
      <c r="I43" s="2"/>
      <c r="J43" s="2"/>
      <c r="K43" s="2"/>
    </row>
    <row r="44">
      <c r="B44" s="2" t="s">
        <v>696</v>
      </c>
      <c r="C44" s="92">
        <v>5.02</v>
      </c>
      <c r="D44" s="2"/>
      <c r="E44" s="2"/>
      <c r="F44" s="2"/>
      <c r="G44" s="2"/>
      <c r="H44" s="2"/>
      <c r="I44" s="2"/>
      <c r="J44" s="2"/>
      <c r="K44" s="2"/>
    </row>
    <row r="45">
      <c r="B45" s="2" t="s">
        <v>697</v>
      </c>
      <c r="C45" s="92">
        <v>5.13</v>
      </c>
      <c r="D45" s="2"/>
      <c r="E45" s="2"/>
      <c r="F45" s="2"/>
      <c r="G45" s="2"/>
      <c r="H45" s="2"/>
      <c r="I45" s="2"/>
      <c r="J45" s="2"/>
      <c r="K45" s="2"/>
    </row>
    <row r="46">
      <c r="B46" s="2" t="s">
        <v>698</v>
      </c>
      <c r="C46" s="92">
        <v>4.87</v>
      </c>
      <c r="D46" s="2"/>
      <c r="E46" s="2"/>
      <c r="F46" s="2"/>
      <c r="G46" s="2"/>
      <c r="H46" s="2"/>
      <c r="I46" s="2"/>
      <c r="J46" s="2"/>
      <c r="K46" s="2"/>
    </row>
    <row r="47">
      <c r="B47" s="2" t="s">
        <v>699</v>
      </c>
      <c r="C47" s="92">
        <v>0.08</v>
      </c>
      <c r="D47" s="2"/>
      <c r="E47" s="2"/>
      <c r="F47" s="2"/>
      <c r="G47" s="2"/>
      <c r="H47" s="2"/>
      <c r="I47" s="2"/>
      <c r="J47" s="2"/>
      <c r="K47" s="2"/>
    </row>
    <row r="48">
      <c r="B48" s="2" t="s">
        <v>700</v>
      </c>
      <c r="C48" s="31">
        <v>13</v>
      </c>
      <c r="D48" s="2"/>
      <c r="E48" s="2"/>
      <c r="F48" s="2"/>
      <c r="G48" s="2"/>
      <c r="H48" s="2"/>
      <c r="I48" s="2"/>
      <c r="J48" s="2"/>
      <c r="K48" s="2"/>
    </row>
    <row r="49">
      <c r="B49" s="2" t="s">
        <v>701</v>
      </c>
      <c r="C49" s="10"/>
      <c r="D49" s="2"/>
      <c r="E49" s="2"/>
      <c r="F49" s="2"/>
      <c r="G49" s="2"/>
      <c r="H49" s="2"/>
      <c r="I49" s="2"/>
      <c r="J49" s="2"/>
      <c r="K49" s="2"/>
    </row>
    <row r="50">
      <c r="B50" s="2" t="s">
        <v>702</v>
      </c>
      <c r="C50" s="10"/>
      <c r="D50" s="2"/>
      <c r="E50" s="2"/>
      <c r="F50" s="2"/>
      <c r="G50" s="2"/>
      <c r="H50" s="2"/>
      <c r="I50" s="2"/>
      <c r="J50" s="2"/>
      <c r="K50" s="2"/>
    </row>
    <row r="51">
      <c r="B51" s="2" t="s">
        <v>703</v>
      </c>
      <c r="C51" s="10"/>
      <c r="D51" s="2"/>
      <c r="E51" s="2"/>
      <c r="F51" s="2"/>
      <c r="G51" s="2"/>
      <c r="H51" s="2"/>
      <c r="I51" s="2"/>
      <c r="J51" s="2"/>
      <c r="K51" s="2"/>
    </row>
    <row r="52">
      <c r="B52" s="2" t="s">
        <v>704</v>
      </c>
      <c r="C52" s="92">
        <v>4.8</v>
      </c>
      <c r="D52" s="2"/>
      <c r="E52" s="2"/>
      <c r="F52" s="2"/>
      <c r="G52" s="2"/>
      <c r="H52" s="2"/>
      <c r="I52" s="2"/>
      <c r="J52" s="2"/>
      <c r="K52" s="2"/>
    </row>
    <row r="53">
      <c r="B53" s="2" t="s">
        <v>705</v>
      </c>
      <c r="C53" s="92">
        <v>4.81</v>
      </c>
      <c r="D53" s="2"/>
      <c r="E53" s="2"/>
      <c r="F53" s="2"/>
      <c r="G53" s="2"/>
      <c r="H53" s="2"/>
      <c r="I53" s="2"/>
      <c r="J53" s="2"/>
      <c r="K53" s="2"/>
    </row>
    <row r="54">
      <c r="B54" s="2" t="s">
        <v>706</v>
      </c>
      <c r="C54" s="92">
        <v>4.87</v>
      </c>
      <c r="D54" s="2"/>
      <c r="E54" s="2"/>
      <c r="F54" s="2"/>
      <c r="G54" s="2"/>
      <c r="H54" s="2"/>
      <c r="I54" s="2"/>
      <c r="J54" s="2"/>
      <c r="K54" s="2"/>
    </row>
    <row r="55">
      <c r="B55" s="2" t="s">
        <v>707</v>
      </c>
      <c r="C55" s="92">
        <v>4.7</v>
      </c>
      <c r="D55" s="2"/>
      <c r="E55" s="2"/>
      <c r="F55" s="2"/>
      <c r="G55" s="2"/>
      <c r="H55" s="2"/>
      <c r="I55" s="2"/>
      <c r="J55" s="2"/>
      <c r="K55" s="2"/>
    </row>
    <row r="56">
      <c r="B56" s="2" t="s">
        <v>708</v>
      </c>
      <c r="C56" s="92">
        <v>0.05</v>
      </c>
      <c r="D56" s="2"/>
      <c r="E56" s="2"/>
      <c r="F56" s="2"/>
      <c r="G56" s="2"/>
      <c r="H56" s="2"/>
      <c r="I56" s="2"/>
      <c r="J56" s="2"/>
      <c r="K56" s="2"/>
    </row>
    <row r="57">
      <c r="B57" s="2" t="s">
        <v>709</v>
      </c>
      <c r="C57" s="31">
        <v>6</v>
      </c>
      <c r="D57" s="2"/>
      <c r="E57" s="2"/>
      <c r="F57" s="2"/>
      <c r="G57" s="2"/>
      <c r="H57" s="2"/>
      <c r="I57" s="2"/>
      <c r="J57" s="2"/>
      <c r="K57" s="2"/>
    </row>
    <row r="58">
      <c r="B58" s="2" t="s">
        <v>710</v>
      </c>
      <c r="C58" s="10"/>
      <c r="D58" s="2"/>
      <c r="E58" s="2"/>
      <c r="F58" s="2"/>
      <c r="G58" s="2"/>
      <c r="H58" s="2"/>
      <c r="I58" s="2"/>
      <c r="J58" s="2"/>
      <c r="K58" s="2"/>
    </row>
    <row r="59">
      <c r="B59" s="2" t="s">
        <v>711</v>
      </c>
      <c r="C59" s="10"/>
      <c r="D59" s="2"/>
      <c r="E59" s="2"/>
      <c r="F59" s="2"/>
      <c r="G59" s="2"/>
      <c r="H59" s="2"/>
      <c r="I59" s="2"/>
      <c r="J59" s="2"/>
      <c r="K59" s="2"/>
    </row>
    <row r="60">
      <c r="B60" s="2" t="s">
        <v>712</v>
      </c>
      <c r="C60" s="10"/>
      <c r="D60" s="2"/>
      <c r="E60" s="2"/>
      <c r="F60" s="2"/>
      <c r="G60" s="2"/>
      <c r="H60" s="2"/>
      <c r="I60" s="2"/>
      <c r="J60" s="2"/>
      <c r="K60" s="2"/>
    </row>
    <row r="61">
      <c r="B61" s="2" t="s">
        <v>713</v>
      </c>
      <c r="C61" s="12">
        <v>888.24</v>
      </c>
      <c r="D61" s="2"/>
      <c r="E61" s="2"/>
      <c r="F61" s="2"/>
      <c r="G61" s="2"/>
      <c r="H61" s="2"/>
      <c r="I61" s="2"/>
      <c r="J61" s="2"/>
      <c r="K61" s="2"/>
    </row>
    <row r="62">
      <c r="B62" s="2" t="s">
        <v>714</v>
      </c>
      <c r="C62" s="12">
        <v>888.63</v>
      </c>
      <c r="D62" s="2"/>
      <c r="E62" s="2"/>
      <c r="F62" s="2"/>
      <c r="G62" s="2"/>
      <c r="H62" s="2"/>
      <c r="I62" s="2"/>
      <c r="J62" s="2"/>
      <c r="K62" s="2"/>
    </row>
    <row r="63">
      <c r="B63" s="2" t="s">
        <v>715</v>
      </c>
      <c r="C63" s="12">
        <v>895.5</v>
      </c>
      <c r="D63" s="2"/>
      <c r="E63" s="2"/>
      <c r="F63" s="2"/>
      <c r="G63" s="2"/>
      <c r="H63" s="2"/>
      <c r="I63" s="2"/>
      <c r="J63" s="2"/>
      <c r="K63" s="2"/>
    </row>
    <row r="64">
      <c r="B64" s="2" t="s">
        <v>716</v>
      </c>
      <c r="C64" s="12">
        <v>879</v>
      </c>
      <c r="D64" s="2"/>
      <c r="E64" s="2"/>
      <c r="F64" s="2"/>
      <c r="G64" s="2"/>
      <c r="H64" s="2"/>
      <c r="I64" s="2"/>
      <c r="J64" s="2"/>
      <c r="K64" s="2"/>
    </row>
    <row r="65">
      <c r="B65" s="2" t="s">
        <v>717</v>
      </c>
      <c r="C65" s="12">
        <v>5.31</v>
      </c>
      <c r="D65" s="2"/>
      <c r="E65" s="2"/>
      <c r="F65" s="2"/>
      <c r="G65" s="2"/>
      <c r="H65" s="2"/>
      <c r="I65" s="2"/>
      <c r="J65" s="2"/>
      <c r="K65" s="2"/>
    </row>
    <row r="66">
      <c r="B66" s="2" t="s">
        <v>718</v>
      </c>
      <c r="C66" s="31">
        <v>11</v>
      </c>
      <c r="D66" s="2"/>
      <c r="E66" s="2"/>
      <c r="F66" s="2"/>
      <c r="G66" s="2"/>
      <c r="H66" s="2"/>
      <c r="I66" s="2"/>
      <c r="J66" s="2"/>
      <c r="K66" s="2"/>
    </row>
    <row r="67">
      <c r="B67" s="2" t="s">
        <v>719</v>
      </c>
      <c r="C67" s="10"/>
      <c r="D67" s="2"/>
      <c r="E67" s="2"/>
      <c r="F67" s="2"/>
      <c r="G67" s="2"/>
      <c r="H67" s="2"/>
      <c r="I67" s="2"/>
      <c r="J67" s="2"/>
      <c r="K67" s="2"/>
    </row>
    <row r="68">
      <c r="B68" s="2" t="s">
        <v>720</v>
      </c>
      <c r="C68" s="10"/>
      <c r="D68" s="2"/>
      <c r="E68" s="2"/>
      <c r="F68" s="2"/>
      <c r="G68" s="2"/>
      <c r="H68" s="2"/>
      <c r="I68" s="2"/>
      <c r="J68" s="2"/>
      <c r="K68" s="2"/>
    </row>
    <row r="69">
      <c r="B69" s="2" t="s">
        <v>721</v>
      </c>
      <c r="C69" s="10"/>
      <c r="D69" s="2"/>
      <c r="E69" s="2"/>
      <c r="F69" s="2"/>
      <c r="G69" s="2"/>
      <c r="H69" s="2"/>
      <c r="I69" s="2"/>
      <c r="J69" s="2"/>
      <c r="K69" s="2"/>
    </row>
    <row r="70">
      <c r="B70" s="2" t="s">
        <v>722</v>
      </c>
      <c r="C70" s="12">
        <v>550</v>
      </c>
      <c r="D70" s="2"/>
      <c r="E70" s="2"/>
      <c r="F70" s="2"/>
      <c r="G70" s="2"/>
      <c r="H70" s="2"/>
      <c r="I70" s="2"/>
      <c r="J70" s="2"/>
      <c r="K70" s="2"/>
    </row>
    <row r="71">
      <c r="B71" s="2" t="s">
        <v>723</v>
      </c>
      <c r="C71" s="12">
        <v>499.93</v>
      </c>
      <c r="D71" s="2"/>
      <c r="E71" s="2"/>
      <c r="F71" s="2"/>
      <c r="G71" s="2"/>
      <c r="H71" s="2"/>
      <c r="I71" s="2"/>
      <c r="J71" s="2"/>
      <c r="K71" s="2"/>
    </row>
    <row r="72">
      <c r="B72" s="2" t="s">
        <v>724</v>
      </c>
      <c r="C72" s="12">
        <v>448.14</v>
      </c>
      <c r="D72" s="2"/>
      <c r="E72" s="2"/>
      <c r="F72" s="2"/>
      <c r="G72" s="2"/>
      <c r="H72" s="2"/>
      <c r="I72" s="2"/>
      <c r="J72" s="2"/>
      <c r="K72" s="2"/>
    </row>
    <row r="73">
      <c r="B73" s="2" t="s">
        <v>725</v>
      </c>
      <c r="C73" s="12">
        <v>428.84</v>
      </c>
      <c r="D73" s="2"/>
      <c r="E73" s="2"/>
      <c r="F73" s="2"/>
      <c r="G73" s="2"/>
      <c r="H73" s="2"/>
      <c r="I73" s="2"/>
      <c r="J73" s="2"/>
      <c r="K73" s="2"/>
    </row>
    <row r="74">
      <c r="B74" s="2" t="s">
        <v>726</v>
      </c>
      <c r="C74" s="12">
        <v>365.18</v>
      </c>
      <c r="D74" s="2"/>
      <c r="E74" s="2"/>
      <c r="F74" s="2"/>
      <c r="G74" s="2"/>
      <c r="H74" s="2"/>
      <c r="I74" s="2"/>
      <c r="J74" s="2"/>
      <c r="K74" s="2"/>
    </row>
    <row r="75">
      <c r="B75" s="2" t="s">
        <v>727</v>
      </c>
      <c r="C75" s="12">
        <v>347.55</v>
      </c>
      <c r="D75" s="2"/>
      <c r="E75" s="2"/>
      <c r="F75" s="2"/>
      <c r="G75" s="2"/>
      <c r="H75" s="2"/>
      <c r="I75" s="2"/>
      <c r="J75" s="2"/>
      <c r="K75" s="2"/>
    </row>
    <row r="76">
      <c r="B76" s="2" t="s">
        <v>728</v>
      </c>
      <c r="C76" s="10"/>
      <c r="D76" s="2"/>
      <c r="E76" s="2"/>
      <c r="F76" s="2"/>
      <c r="G76" s="2"/>
      <c r="H76" s="2"/>
      <c r="I76" s="2"/>
      <c r="J76" s="2"/>
      <c r="K76" s="2"/>
    </row>
    <row r="77">
      <c r="B77" s="2" t="s">
        <v>729</v>
      </c>
      <c r="C77" s="10"/>
      <c r="D77" s="2"/>
      <c r="E77" s="2"/>
      <c r="F77" s="2"/>
      <c r="G77" s="2"/>
      <c r="H77" s="2"/>
      <c r="I77" s="2"/>
      <c r="J77" s="2"/>
      <c r="K77" s="2"/>
    </row>
    <row r="78">
      <c r="B78" s="2" t="s">
        <v>730</v>
      </c>
      <c r="C78" s="12">
        <v>6.18</v>
      </c>
      <c r="D78" s="2"/>
      <c r="E78" s="2"/>
      <c r="F78" s="2"/>
      <c r="G78" s="2"/>
      <c r="H78" s="2"/>
      <c r="I78" s="2"/>
      <c r="J78" s="2"/>
      <c r="K78" s="2"/>
    </row>
    <row r="79">
      <c r="B79" s="2" t="s">
        <v>731</v>
      </c>
      <c r="C79" s="10"/>
      <c r="D79" s="2"/>
      <c r="E79" s="2"/>
      <c r="F79" s="2"/>
      <c r="G79" s="2"/>
      <c r="H79" s="2"/>
      <c r="I79" s="2"/>
      <c r="J79" s="2"/>
      <c r="K79" s="2"/>
    </row>
    <row r="80">
      <c r="B80" s="2" t="s">
        <v>732</v>
      </c>
      <c r="C80" s="12">
        <v>496.05</v>
      </c>
      <c r="D80" s="2"/>
      <c r="E80" s="2"/>
      <c r="F80" s="2"/>
      <c r="G80" s="2"/>
      <c r="H80" s="2"/>
      <c r="I80" s="2"/>
      <c r="J80" s="2"/>
      <c r="K80" s="2"/>
    </row>
    <row r="81">
      <c r="B81" s="2" t="s">
        <v>733</v>
      </c>
      <c r="C81" s="10"/>
      <c r="D81" s="2"/>
      <c r="E81" s="2"/>
      <c r="F81" s="2"/>
      <c r="G81" s="2"/>
      <c r="H81" s="2"/>
      <c r="I81" s="2"/>
      <c r="J81" s="2"/>
      <c r="K81" s="2"/>
    </row>
    <row r="82">
      <c r="B82" s="2" t="s">
        <v>734</v>
      </c>
      <c r="C82" s="12">
        <v>-71.6</v>
      </c>
      <c r="D82" s="2"/>
      <c r="E82" s="2"/>
      <c r="F82" s="2"/>
      <c r="G82" s="2"/>
      <c r="H82" s="2"/>
      <c r="I82" s="2"/>
      <c r="J82" s="2"/>
      <c r="K82" s="2"/>
    </row>
    <row r="83">
      <c r="B83" s="2" t="s">
        <v>735</v>
      </c>
      <c r="C83" s="10"/>
      <c r="D83" s="2"/>
      <c r="E83" s="2"/>
      <c r="F83" s="2"/>
      <c r="G83" s="2"/>
      <c r="H83" s="2"/>
      <c r="I83" s="2"/>
      <c r="J83" s="2"/>
      <c r="K83" s="2"/>
    </row>
    <row r="84">
      <c r="B84" s="2" t="s">
        <v>736</v>
      </c>
      <c r="C84" s="10"/>
      <c r="D84" s="2"/>
      <c r="E84" s="2"/>
      <c r="F84" s="2"/>
      <c r="G84" s="2"/>
      <c r="H84" s="2"/>
      <c r="I84" s="2"/>
      <c r="J84" s="2"/>
      <c r="K84" s="2"/>
    </row>
    <row r="85">
      <c r="B85" s="2" t="s">
        <v>737</v>
      </c>
      <c r="C85" s="10"/>
      <c r="D85" s="2"/>
      <c r="E85" s="2"/>
      <c r="F85" s="2"/>
      <c r="G85" s="2"/>
      <c r="H85" s="2"/>
      <c r="I85" s="2"/>
      <c r="J85" s="2"/>
      <c r="K85" s="2"/>
    </row>
    <row r="86">
      <c r="B86" s="2" t="s">
        <v>738</v>
      </c>
      <c r="C86" s="12">
        <v>672.94</v>
      </c>
      <c r="D86" s="2"/>
      <c r="E86" s="2"/>
      <c r="F86" s="2"/>
      <c r="G86" s="2"/>
      <c r="H86" s="2"/>
      <c r="I86" s="2"/>
      <c r="J86" s="2"/>
      <c r="K86" s="2"/>
    </row>
    <row r="87">
      <c r="B87" s="2" t="s">
        <v>739</v>
      </c>
      <c r="C87" s="12">
        <v>675</v>
      </c>
      <c r="D87" s="2"/>
      <c r="E87" s="2"/>
      <c r="F87" s="2"/>
      <c r="G87" s="2"/>
      <c r="H87" s="2"/>
      <c r="I87" s="2"/>
      <c r="J87" s="2"/>
      <c r="K87" s="2"/>
    </row>
    <row r="88">
      <c r="B88" s="2" t="s">
        <v>740</v>
      </c>
      <c r="C88" s="12">
        <v>735</v>
      </c>
      <c r="D88" s="2"/>
      <c r="E88" s="2"/>
      <c r="F88" s="2"/>
      <c r="G88" s="2"/>
      <c r="H88" s="2"/>
      <c r="I88" s="2"/>
      <c r="J88" s="2"/>
      <c r="K88" s="2"/>
    </row>
    <row r="89">
      <c r="B89" s="2" t="s">
        <v>741</v>
      </c>
      <c r="C89" s="12">
        <v>570</v>
      </c>
      <c r="D89" s="2"/>
      <c r="E89" s="2"/>
      <c r="F89" s="2"/>
      <c r="G89" s="2"/>
      <c r="H89" s="2"/>
      <c r="I89" s="2"/>
      <c r="J89" s="2"/>
      <c r="K89" s="2"/>
    </row>
    <row r="90">
      <c r="B90" s="2" t="s">
        <v>742</v>
      </c>
      <c r="C90" s="12">
        <v>41.25</v>
      </c>
      <c r="D90" s="2"/>
      <c r="E90" s="2"/>
      <c r="F90" s="2"/>
      <c r="G90" s="2"/>
      <c r="H90" s="2"/>
      <c r="I90" s="2"/>
      <c r="J90" s="2"/>
      <c r="K90" s="2"/>
    </row>
    <row r="91">
      <c r="B91" s="2" t="s">
        <v>743</v>
      </c>
      <c r="C91" s="31">
        <v>17</v>
      </c>
      <c r="D91" s="2"/>
      <c r="E91" s="2"/>
      <c r="F91" s="2"/>
      <c r="G91" s="2"/>
      <c r="H91" s="2"/>
      <c r="I91" s="2"/>
      <c r="J91" s="2"/>
      <c r="K91" s="2"/>
    </row>
    <row r="92">
      <c r="B92" s="2" t="s">
        <v>744</v>
      </c>
      <c r="C92" s="36" t="s">
        <v>745</v>
      </c>
      <c r="D92" s="2"/>
      <c r="E92" s="2"/>
      <c r="F92" s="2"/>
      <c r="G92" s="2"/>
      <c r="H92" s="2"/>
      <c r="I92" s="2"/>
      <c r="J92" s="2"/>
      <c r="K92" s="2"/>
    </row>
    <row r="93">
      <c r="B93" s="2" t="s">
        <v>746</v>
      </c>
      <c r="C93" s="81">
        <v>1.5</v>
      </c>
      <c r="D93" s="2"/>
      <c r="E93" s="2"/>
      <c r="F93" s="2"/>
      <c r="G93" s="2"/>
      <c r="H93" s="2"/>
      <c r="I93" s="2"/>
      <c r="J93" s="2"/>
      <c r="K93" s="2"/>
    </row>
    <row r="94">
      <c r="B94" s="2" t="s">
        <v>747</v>
      </c>
      <c r="C94" s="12">
        <v>569.08</v>
      </c>
      <c r="D94" s="2"/>
      <c r="E94" s="2"/>
      <c r="F94" s="2"/>
      <c r="G94" s="2"/>
      <c r="H94" s="2"/>
      <c r="I94" s="2"/>
      <c r="J94" s="2"/>
      <c r="K94" s="2"/>
    </row>
    <row r="95">
      <c r="B95" s="2" t="s">
        <v>748</v>
      </c>
      <c r="C95" s="36" t="s">
        <v>749</v>
      </c>
      <c r="D95" s="2"/>
      <c r="E95" s="2"/>
      <c r="F95" s="2"/>
      <c r="G95" s="2"/>
      <c r="H95" s="2"/>
      <c r="I95" s="2"/>
      <c r="J95" s="2"/>
      <c r="K95" s="2"/>
    </row>
    <row r="96">
      <c r="B96" s="2" t="s">
        <v>750</v>
      </c>
      <c r="C96" s="34">
        <v>46313</v>
      </c>
      <c r="D96" s="2"/>
      <c r="E96" s="2"/>
      <c r="F96" s="2"/>
      <c r="G96" s="2"/>
      <c r="H96" s="2"/>
      <c r="I96" s="2"/>
      <c r="J96" s="2"/>
      <c r="K96" s="2"/>
    </row>
    <row r="97">
      <c r="B97" s="2" t="s">
        <v>751</v>
      </c>
      <c r="C97" s="10"/>
      <c r="D97" s="2"/>
      <c r="E97" s="2"/>
      <c r="F97" s="2"/>
      <c r="G97" s="2"/>
      <c r="H97" s="2"/>
      <c r="I97" s="2"/>
      <c r="J97" s="2"/>
      <c r="K97" s="2"/>
    </row>
    <row r="98">
      <c r="B98" s="2"/>
      <c r="C98" s="10"/>
      <c r="D98" s="2"/>
      <c r="E98" s="2"/>
      <c r="F98" s="2"/>
      <c r="G98" s="2"/>
      <c r="H98" s="2"/>
      <c r="I98" s="2"/>
      <c r="J98" s="2"/>
      <c r="K98" s="2"/>
    </row>
    <row r="99">
      <c r="B99" s="2" t="s">
        <v>752</v>
      </c>
      <c r="C99" s="10"/>
      <c r="D99" s="2"/>
      <c r="E99" s="2"/>
      <c r="F99" s="2"/>
      <c r="G99" s="2"/>
      <c r="H99" s="2"/>
      <c r="I99" s="2"/>
      <c r="J99" s="2"/>
      <c r="K99" s="2"/>
    </row>
    <row r="100">
      <c r="B100" s="2" t="s">
        <v>690</v>
      </c>
      <c r="C100" s="36" t="s">
        <v>753</v>
      </c>
      <c r="D100" s="2"/>
      <c r="E100" s="2"/>
      <c r="F100" s="2"/>
      <c r="G100" s="2"/>
      <c r="H100" s="2"/>
      <c r="I100" s="2"/>
      <c r="J100" s="2"/>
      <c r="K100" s="2"/>
    </row>
    <row r="101">
      <c r="B101" s="2" t="s">
        <v>754</v>
      </c>
      <c r="C101" s="36" t="s">
        <v>755</v>
      </c>
      <c r="D101" s="2"/>
      <c r="E101" s="2"/>
      <c r="F101" s="2"/>
      <c r="G101" s="2"/>
      <c r="H101" s="2"/>
      <c r="I101" s="2"/>
      <c r="J101" s="2"/>
      <c r="K101" s="2"/>
    </row>
    <row r="102">
      <c r="B102" s="2" t="s">
        <v>756</v>
      </c>
      <c r="C102" s="36" t="s">
        <v>667</v>
      </c>
      <c r="D102" s="2"/>
      <c r="E102" s="2"/>
      <c r="F102" s="2"/>
      <c r="G102" s="2"/>
      <c r="H102" s="2"/>
      <c r="I102" s="2"/>
      <c r="J102" s="2"/>
      <c r="K102" s="2"/>
    </row>
    <row r="103">
      <c r="B103" s="2" t="s">
        <v>757</v>
      </c>
      <c r="C103" s="36" t="s">
        <v>667</v>
      </c>
      <c r="D103" s="2"/>
      <c r="E103" s="2"/>
      <c r="F103" s="2"/>
      <c r="G103" s="2"/>
      <c r="H103" s="2"/>
      <c r="I103" s="2"/>
      <c r="J103" s="2"/>
      <c r="K103" s="2"/>
    </row>
    <row r="104">
      <c r="B104" s="2" t="s">
        <v>758</v>
      </c>
      <c r="C104" s="36" t="s">
        <v>759</v>
      </c>
      <c r="D104" s="2"/>
      <c r="E104" s="2"/>
      <c r="F104" s="2"/>
      <c r="G104" s="2"/>
      <c r="H104" s="2"/>
      <c r="I104" s="2"/>
      <c r="J104" s="2"/>
      <c r="K104" s="2"/>
    </row>
    <row r="105">
      <c r="B105" s="2" t="s">
        <v>760</v>
      </c>
      <c r="C105" s="36" t="s">
        <v>667</v>
      </c>
      <c r="D105" s="2"/>
      <c r="E105" s="2"/>
      <c r="F105" s="2"/>
      <c r="G105" s="2"/>
      <c r="H105" s="2"/>
      <c r="I105" s="2"/>
      <c r="J105" s="2"/>
      <c r="K105" s="2"/>
    </row>
    <row r="106">
      <c r="B106" s="2" t="s">
        <v>761</v>
      </c>
      <c r="C106" s="36" t="s">
        <v>762</v>
      </c>
      <c r="D106" s="2"/>
      <c r="E106" s="2"/>
      <c r="F106" s="2"/>
      <c r="G106" s="2"/>
      <c r="H106" s="2"/>
      <c r="I106" s="2"/>
      <c r="J106" s="2"/>
      <c r="K106" s="2"/>
    </row>
    <row r="107">
      <c r="B107" s="2" t="s">
        <v>763</v>
      </c>
      <c r="C107" s="36" t="s">
        <v>764</v>
      </c>
      <c r="D107" s="2"/>
      <c r="E107" s="2"/>
      <c r="F107" s="2"/>
      <c r="G107" s="2"/>
      <c r="H107" s="2"/>
      <c r="I107" s="2"/>
      <c r="J107" s="2"/>
      <c r="K107" s="2"/>
    </row>
    <row r="108">
      <c r="B108" s="2" t="s">
        <v>765</v>
      </c>
      <c r="C108" s="36" t="s">
        <v>766</v>
      </c>
      <c r="D108" s="2"/>
      <c r="E108" s="2"/>
      <c r="F108" s="2"/>
      <c r="G108" s="2"/>
      <c r="H108" s="2"/>
      <c r="I108" s="2"/>
      <c r="J108" s="2"/>
      <c r="K108" s="2"/>
    </row>
    <row r="109">
      <c r="B109" s="2"/>
      <c r="C109" s="10"/>
      <c r="D109" s="2"/>
      <c r="E109" s="2"/>
      <c r="F109" s="2"/>
      <c r="G109" s="2"/>
      <c r="H109" s="2"/>
      <c r="I109" s="2"/>
      <c r="J109" s="2"/>
      <c r="K109" s="2"/>
    </row>
    <row r="110">
      <c r="B110" s="2"/>
      <c r="C110" s="10"/>
      <c r="D110" s="2"/>
      <c r="E110" s="2"/>
      <c r="F110" s="2"/>
      <c r="G110" s="2"/>
      <c r="H110" s="2"/>
      <c r="I110" s="2"/>
      <c r="J110" s="2"/>
      <c r="K110" s="2"/>
    </row>
    <row r="111">
      <c r="B111" s="24" t="s">
        <v>767</v>
      </c>
      <c r="C111" s="10"/>
      <c r="D111" s="10"/>
      <c r="E111" s="10"/>
      <c r="F111" s="10"/>
      <c r="G111" s="10"/>
      <c r="H111" s="10"/>
      <c r="I111" s="10"/>
      <c r="J111" s="10"/>
      <c r="K111" s="45"/>
    </row>
    <row r="112">
      <c r="B112" s="24" t="s">
        <v>768</v>
      </c>
      <c r="C112" s="96" t="s">
        <v>769</v>
      </c>
      <c r="D112" s="96" t="s">
        <v>770</v>
      </c>
      <c r="E112" s="96" t="s">
        <v>771</v>
      </c>
      <c r="F112" s="96" t="s">
        <v>772</v>
      </c>
      <c r="G112" s="96" t="s">
        <v>773</v>
      </c>
      <c r="H112" s="70"/>
      <c r="I112" s="70"/>
      <c r="J112" s="70"/>
      <c r="K112" s="45"/>
    </row>
    <row r="113">
      <c r="B113" s="42" t="s">
        <v>278</v>
      </c>
      <c r="C113" s="12">
        <v>679.965</v>
      </c>
      <c r="D113" s="12">
        <v>707.949</v>
      </c>
      <c r="E113" s="12">
        <v>724.705</v>
      </c>
      <c r="F113" s="12">
        <v>743.509</v>
      </c>
      <c r="G113" s="20">
        <f>SUM(C113:F113)</f>
        <v>2856.128</v>
      </c>
      <c r="H113" s="20"/>
      <c r="I113" s="20"/>
      <c r="J113" s="20"/>
      <c r="K113" s="45"/>
    </row>
    <row r="114">
      <c r="B114" s="42" t="s">
        <v>774</v>
      </c>
      <c r="C114" s="12">
        <v>128.514</v>
      </c>
      <c r="D114" s="12">
        <v>128.109</v>
      </c>
      <c r="E114" s="12">
        <v>126.192</v>
      </c>
      <c r="F114" s="12">
        <v>131.567</v>
      </c>
      <c r="G114" s="20">
        <f>SUM(C114:F114)</f>
        <v>514.3820000000001</v>
      </c>
      <c r="H114" s="20"/>
      <c r="I114" s="20"/>
      <c r="J114" s="20"/>
      <c r="K114" s="45"/>
    </row>
    <row r="115">
      <c r="B115" s="42" t="s">
        <v>283</v>
      </c>
      <c r="C115" s="12">
        <v>72.168</v>
      </c>
      <c r="D115" s="12">
        <v>71.454</v>
      </c>
      <c r="E115" s="12">
        <v>70.763</v>
      </c>
      <c r="F115" s="12">
        <v>76.835</v>
      </c>
      <c r="G115" s="20">
        <f>SUM(C115:F115)</f>
        <v>291.22</v>
      </c>
      <c r="H115" s="20"/>
      <c r="I115" s="20"/>
      <c r="J115" s="20"/>
      <c r="K115" s="45"/>
    </row>
    <row r="116">
      <c r="B116" s="42" t="s">
        <v>285</v>
      </c>
      <c r="C116" s="12">
        <v>40.525</v>
      </c>
      <c r="D116" s="12">
        <v>41.073</v>
      </c>
      <c r="E116" s="12">
        <v>38.584</v>
      </c>
      <c r="F116" s="12">
        <v>38.471</v>
      </c>
      <c r="G116" s="20">
        <f>SUM(C116:F116)</f>
        <v>158.653</v>
      </c>
      <c r="H116" s="20"/>
      <c r="I116" s="20"/>
      <c r="J116" s="20"/>
      <c r="K116" s="45"/>
    </row>
    <row r="117">
      <c r="B117" s="42" t="s">
        <v>286</v>
      </c>
      <c r="C117" s="12">
        <v>56.691</v>
      </c>
      <c r="D117" s="12">
        <v>39.706</v>
      </c>
      <c r="E117" s="12">
        <v>41.561</v>
      </c>
      <c r="F117" s="12">
        <v>44.382</v>
      </c>
      <c r="G117" s="20">
        <f>SUM(C117:F117)</f>
        <v>182.34</v>
      </c>
      <c r="H117" s="20"/>
      <c r="I117" s="20"/>
      <c r="J117" s="20"/>
      <c r="K117" s="45"/>
    </row>
    <row r="118">
      <c r="B118" s="42" t="s">
        <v>288</v>
      </c>
      <c r="C118" s="12">
        <v>38.604</v>
      </c>
      <c r="D118" s="12">
        <v>40.773</v>
      </c>
      <c r="E118" s="12">
        <v>41.939</v>
      </c>
      <c r="F118" s="12">
        <v>42.721</v>
      </c>
      <c r="G118" s="20">
        <f>SUM(C118:F118)</f>
        <v>164.037</v>
      </c>
      <c r="H118" s="20"/>
      <c r="I118" s="20"/>
      <c r="J118" s="20"/>
      <c r="K118" s="45"/>
    </row>
    <row r="119">
      <c r="B119" s="42" t="s">
        <v>290</v>
      </c>
      <c r="C119" s="12">
        <v>4.081</v>
      </c>
      <c r="D119" s="12">
        <v>4.226</v>
      </c>
      <c r="E119" s="12">
        <v>4.332</v>
      </c>
      <c r="F119" s="12">
        <v>4.339</v>
      </c>
      <c r="G119" s="20">
        <f>SUM(C119:F119)</f>
        <v>16.978</v>
      </c>
      <c r="H119" s="20"/>
      <c r="I119" s="20"/>
      <c r="J119" s="20"/>
      <c r="K119" s="45"/>
    </row>
    <row r="120">
      <c r="B120" s="65" t="s">
        <v>775</v>
      </c>
      <c r="C120" s="19">
        <f>C114/C113</f>
        <v>0.18900090445831771</v>
      </c>
      <c r="D120" s="19">
        <f>D114/D113</f>
        <v>0.1809579503608311</v>
      </c>
      <c r="E120" s="19">
        <f>E114/E113</f>
        <v>0.17412878343601879</v>
      </c>
      <c r="F120" s="19">
        <f>F114/F113</f>
        <v>0.17695414581397131</v>
      </c>
      <c r="G120" s="19">
        <f>G114/G113</f>
        <v>0.18009767069263002</v>
      </c>
      <c r="H120" s="19"/>
      <c r="I120" s="19"/>
      <c r="J120" s="19"/>
      <c r="K120" s="45"/>
    </row>
    <row r="121">
      <c r="B121" s="65" t="s">
        <v>776</v>
      </c>
      <c r="C121" s="19">
        <f>C115/C113</f>
        <v>0.10613487458913327</v>
      </c>
      <c r="D121" s="19">
        <f>D115/D113</f>
        <v>0.10093099926689635</v>
      </c>
      <c r="E121" s="19">
        <f>E115/E113</f>
        <v>0.09764386888458063</v>
      </c>
      <c r="F121" s="19">
        <f>F115/F113</f>
        <v>0.10334104899873436</v>
      </c>
      <c r="G121" s="19">
        <f>G115/G113</f>
        <v>0.10196321733479732</v>
      </c>
      <c r="H121" s="19"/>
      <c r="I121" s="19"/>
      <c r="J121" s="19"/>
      <c r="K121" s="45"/>
    </row>
    <row r="122">
      <c r="B122" s="65" t="s">
        <v>777</v>
      </c>
      <c r="C122" s="19">
        <f>C116/C113</f>
        <v>0.05959865581316685</v>
      </c>
      <c r="D122" s="19">
        <f>D116/D113</f>
        <v>0.05801689104723646</v>
      </c>
      <c r="E122" s="19">
        <f>E116/E113</f>
        <v>0.053240973913523434</v>
      </c>
      <c r="F122" s="19">
        <f>F116/F113</f>
        <v>0.05174248058866805</v>
      </c>
      <c r="G122" s="19">
        <f>G116/G113</f>
        <v>0.05554828074932215</v>
      </c>
      <c r="H122" s="19"/>
      <c r="I122" s="19"/>
      <c r="J122" s="19"/>
      <c r="K122" s="45"/>
    </row>
    <row r="123">
      <c r="B123" s="65" t="s">
        <v>778</v>
      </c>
      <c r="C123" s="19">
        <f>C117/C113</f>
        <v>0.0833734089254594</v>
      </c>
      <c r="D123" s="19">
        <f>D117/D113</f>
        <v>0.05608596099436542</v>
      </c>
      <c r="E123" s="19">
        <f>E117/E113</f>
        <v>0.05734885229162211</v>
      </c>
      <c r="F123" s="19">
        <f>F117/F113</f>
        <v>0.05969261972619026</v>
      </c>
      <c r="G123" s="19">
        <f>G117/G113</f>
        <v>0.06384167656351536</v>
      </c>
      <c r="H123" s="19"/>
      <c r="I123" s="19"/>
      <c r="J123" s="19"/>
      <c r="K123" s="45"/>
    </row>
    <row r="124">
      <c r="B124" s="65" t="s">
        <v>779</v>
      </c>
      <c r="C124" s="19">
        <f>C118/C113</f>
        <v>0.05677351040127065</v>
      </c>
      <c r="D124" s="19">
        <f>D118/D113</f>
        <v>0.057593131708640034</v>
      </c>
      <c r="E124" s="19">
        <f>E118/E113</f>
        <v>0.05787044383576766</v>
      </c>
      <c r="F124" s="19">
        <f>F118/F113</f>
        <v>0.05745861852378384</v>
      </c>
      <c r="G124" s="19">
        <f>G118/G113</f>
        <v>0.057433350326035804</v>
      </c>
      <c r="H124" s="19"/>
      <c r="I124" s="19"/>
      <c r="J124" s="19"/>
      <c r="K124" s="45"/>
    </row>
    <row r="125">
      <c r="B125" s="65" t="s">
        <v>780</v>
      </c>
      <c r="C125" s="19">
        <f>C119/C113</f>
        <v>0.006001779503356791</v>
      </c>
      <c r="D125" s="19">
        <f>D119/D113</f>
        <v>0.005969356549694964</v>
      </c>
      <c r="E125" s="19">
        <f>E119/E113</f>
        <v>0.005977604680525179</v>
      </c>
      <c r="F125" s="19">
        <f>F119/F113</f>
        <v>0.005835840588345266</v>
      </c>
      <c r="G125" s="19">
        <f>G119/G113</f>
        <v>0.005944411454948798</v>
      </c>
      <c r="H125" s="19"/>
      <c r="I125" s="19"/>
      <c r="J125" s="19"/>
      <c r="K125" s="45"/>
    </row>
    <row r="126">
      <c r="B126" s="77" t="s">
        <v>291</v>
      </c>
      <c r="C126" s="60">
        <f>C114+C115+C116+C117+C118+C119</f>
        <v>340.583</v>
      </c>
      <c r="D126" s="60">
        <f>D114+D115+D116+D117+D118+D119</f>
        <v>325.341</v>
      </c>
      <c r="E126" s="60">
        <f>E114+E115+E116+E117+E118+E119</f>
        <v>323.371</v>
      </c>
      <c r="F126" s="60">
        <f>F114+F115+F116+F117+F118+F119</f>
        <v>338.315</v>
      </c>
      <c r="G126" s="60">
        <f>G114+G115+G116+G117+G118+G119</f>
        <v>1327.6100000000001</v>
      </c>
      <c r="H126" s="60"/>
      <c r="I126" s="60"/>
      <c r="J126" s="60"/>
      <c r="K126" s="45"/>
    </row>
    <row r="127">
      <c r="B127" s="77" t="s">
        <v>348</v>
      </c>
      <c r="C127" s="60">
        <f>C113-C126</f>
        <v>339.382</v>
      </c>
      <c r="D127" s="60">
        <f>D113-D126</f>
        <v>382.60799999999995</v>
      </c>
      <c r="E127" s="60">
        <f>E113-E126</f>
        <v>401.33400000000006</v>
      </c>
      <c r="F127" s="60">
        <f>F113-F126</f>
        <v>405.194</v>
      </c>
      <c r="G127" s="60">
        <f>G113-G126</f>
        <v>1528.518</v>
      </c>
      <c r="H127" s="60"/>
      <c r="I127" s="60"/>
      <c r="J127" s="60"/>
      <c r="K127" s="45"/>
    </row>
    <row r="128">
      <c r="B128" s="49" t="s">
        <v>293</v>
      </c>
      <c r="C128" s="19">
        <f>C127/C113</f>
        <v>0.4991168663092953</v>
      </c>
      <c r="D128" s="19">
        <f>D127/D113</f>
        <v>0.5404457100723357</v>
      </c>
      <c r="E128" s="19">
        <f>E127/E113</f>
        <v>0.5537894729579622</v>
      </c>
      <c r="F128" s="19">
        <f>F127/F113</f>
        <v>0.5449752457603069</v>
      </c>
      <c r="G128" s="19">
        <f>G127/G113</f>
        <v>0.5351713928787505</v>
      </c>
      <c r="H128" s="19"/>
      <c r="I128" s="19"/>
      <c r="J128" s="19"/>
      <c r="K128" s="45"/>
    </row>
    <row r="129">
      <c r="B129" s="42" t="s">
        <v>294</v>
      </c>
      <c r="C129" s="12">
        <v>-6.048</v>
      </c>
      <c r="D129" s="12">
        <v>-6.11</v>
      </c>
      <c r="E129" s="12">
        <v>-5.217</v>
      </c>
      <c r="F129" s="12">
        <v>-3.902</v>
      </c>
      <c r="G129" s="20">
        <f>SUM(C129:F129)</f>
        <v>-21.277</v>
      </c>
      <c r="H129" s="20"/>
      <c r="I129" s="20"/>
      <c r="J129" s="20"/>
      <c r="K129" s="45"/>
    </row>
    <row r="130">
      <c r="B130" s="42" t="s">
        <v>295</v>
      </c>
      <c r="C130" s="12">
        <v>46.674</v>
      </c>
      <c r="D130" s="12">
        <v>46.633</v>
      </c>
      <c r="E130" s="12">
        <v>46.688</v>
      </c>
      <c r="F130" s="12">
        <v>45.505</v>
      </c>
      <c r="G130" s="20">
        <f>SUM(C130:F130)</f>
        <v>185.5</v>
      </c>
      <c r="H130" s="20"/>
      <c r="I130" s="20"/>
      <c r="J130" s="20"/>
      <c r="K130" s="45"/>
    </row>
    <row r="131">
      <c r="B131" s="42" t="s">
        <v>297</v>
      </c>
      <c r="C131" s="12">
        <v>2.863</v>
      </c>
      <c r="D131" s="12">
        <v>2.091</v>
      </c>
      <c r="E131" s="12">
        <v>2.927</v>
      </c>
      <c r="F131" s="12">
        <v>0.246</v>
      </c>
      <c r="G131" s="20">
        <f>SUM(C131:F131)</f>
        <v>8.127</v>
      </c>
      <c r="H131" s="20"/>
      <c r="I131" s="20"/>
      <c r="J131" s="20"/>
      <c r="K131" s="45"/>
    </row>
    <row r="132">
      <c r="B132" s="77" t="s">
        <v>298</v>
      </c>
      <c r="C132" s="60">
        <f>C129+C130+C131</f>
        <v>43.489</v>
      </c>
      <c r="D132" s="60">
        <f>D129+D130+D131</f>
        <v>42.614000000000004</v>
      </c>
      <c r="E132" s="60">
        <f>E129+E130+E131</f>
        <v>44.398</v>
      </c>
      <c r="F132" s="60">
        <f>F129+F130+F131</f>
        <v>41.849000000000004</v>
      </c>
      <c r="G132" s="60">
        <f>G129+G130+G131</f>
        <v>172.35000000000002</v>
      </c>
      <c r="H132" s="60"/>
      <c r="I132" s="60"/>
      <c r="J132" s="60"/>
      <c r="K132" s="45"/>
    </row>
    <row r="133">
      <c r="B133" s="77" t="s">
        <v>299</v>
      </c>
      <c r="C133" s="60">
        <f>C127-C132</f>
        <v>295.89300000000003</v>
      </c>
      <c r="D133" s="60">
        <f>D127-D132</f>
        <v>339.9939999999999</v>
      </c>
      <c r="E133" s="60">
        <f>E127-E132</f>
        <v>356.93600000000004</v>
      </c>
      <c r="F133" s="60">
        <f>F127-F132</f>
        <v>363.345</v>
      </c>
      <c r="G133" s="60">
        <f>G127-G132</f>
        <v>1356.1680000000001</v>
      </c>
      <c r="H133" s="60"/>
      <c r="I133" s="60"/>
      <c r="J133" s="60"/>
      <c r="K133" s="45"/>
    </row>
    <row r="134">
      <c r="B134" s="42" t="s">
        <v>300</v>
      </c>
      <c r="C134" s="12">
        <v>39.939</v>
      </c>
      <c r="D134" s="12">
        <v>73.236</v>
      </c>
      <c r="E134" s="12">
        <v>76.035</v>
      </c>
      <c r="F134" s="12">
        <v>57.83</v>
      </c>
      <c r="G134" s="20">
        <f>SUM(C134:F134)</f>
        <v>247.04</v>
      </c>
      <c r="H134" s="20"/>
      <c r="I134" s="20"/>
      <c r="J134" s="20"/>
      <c r="K134" s="45"/>
    </row>
    <row r="135">
      <c r="B135" s="49" t="s">
        <v>102</v>
      </c>
      <c r="C135" s="19">
        <f>C134/C133</f>
        <v>0.13497784672161894</v>
      </c>
      <c r="D135" s="19">
        <f>D134/D133</f>
        <v>0.21540380124355143</v>
      </c>
      <c r="E135" s="19">
        <f>E134/E133</f>
        <v>0.21302138198444537</v>
      </c>
      <c r="F135" s="19">
        <f>F134/F133</f>
        <v>0.159160026971611</v>
      </c>
      <c r="G135" s="19">
        <f>G134/G133</f>
        <v>0.18216032231994853</v>
      </c>
      <c r="H135" s="19"/>
      <c r="I135" s="19"/>
      <c r="J135" s="19"/>
      <c r="K135" s="45"/>
    </row>
    <row r="136">
      <c r="B136" s="77" t="s">
        <v>409</v>
      </c>
      <c r="C136" s="60">
        <f>C133-C134</f>
        <v>255.95400000000004</v>
      </c>
      <c r="D136" s="60">
        <f>D133-D134</f>
        <v>266.7579999999999</v>
      </c>
      <c r="E136" s="60">
        <f>E133-E134</f>
        <v>280.90100000000007</v>
      </c>
      <c r="F136" s="60">
        <f>F133-F134</f>
        <v>305.51500000000004</v>
      </c>
      <c r="G136" s="60">
        <f>G133-G134</f>
        <v>1109.1280000000002</v>
      </c>
      <c r="H136" s="60"/>
      <c r="I136" s="60"/>
      <c r="J136" s="60"/>
      <c r="K136" s="45"/>
    </row>
    <row r="137">
      <c r="B137" s="49" t="s">
        <v>304</v>
      </c>
      <c r="C137" s="19">
        <f>C136/C113</f>
        <v>0.37642231585449254</v>
      </c>
      <c r="D137" s="19">
        <f>D136/D113</f>
        <v>0.3768039788176831</v>
      </c>
      <c r="E137" s="19">
        <f>E136/E113</f>
        <v>0.3876073712752086</v>
      </c>
      <c r="F137" s="19">
        <f>F136/F113</f>
        <v>0.41090961911691726</v>
      </c>
      <c r="G137" s="19">
        <f>G136/G113</f>
        <v>0.38833273578775185</v>
      </c>
      <c r="H137" s="19"/>
      <c r="I137" s="19"/>
      <c r="J137" s="19"/>
      <c r="K137" s="45"/>
    </row>
    <row r="138">
      <c r="B138" s="42" t="s">
        <v>103</v>
      </c>
      <c r="C138" s="12">
        <v>79.508</v>
      </c>
      <c r="D138" s="12">
        <v>79.245</v>
      </c>
      <c r="E138" s="12">
        <v>78.729</v>
      </c>
      <c r="F138" s="12">
        <v>78.365</v>
      </c>
      <c r="G138" s="12">
        <v>78.96</v>
      </c>
      <c r="H138" s="20"/>
      <c r="I138" s="20"/>
      <c r="J138" s="20"/>
      <c r="K138" s="45"/>
    </row>
    <row r="139">
      <c r="B139" s="42" t="s">
        <v>309</v>
      </c>
      <c r="C139" s="97">
        <f>C136/C138</f>
        <v>3.2192232228203457</v>
      </c>
      <c r="D139" s="97">
        <f>D136/D138</f>
        <v>3.3662439270616433</v>
      </c>
      <c r="E139" s="97">
        <f>E136/E138</f>
        <v>3.567948278271032</v>
      </c>
      <c r="F139" s="97">
        <f>F136/F138</f>
        <v>3.898615453327379</v>
      </c>
      <c r="G139" s="97">
        <f>G136/G138</f>
        <v>14.046707193515708</v>
      </c>
      <c r="H139" s="97"/>
      <c r="I139" s="97"/>
      <c r="J139" s="97"/>
      <c r="K139" s="45"/>
    </row>
    <row r="140">
      <c r="B140" s="77" t="s">
        <v>781</v>
      </c>
      <c r="C140" s="44">
        <v>280.229</v>
      </c>
      <c r="D140" s="44">
        <v>288.835</v>
      </c>
      <c r="E140" s="44">
        <v>303.847</v>
      </c>
      <c r="F140" s="44">
        <v>327.347</v>
      </c>
      <c r="G140" s="60">
        <f>SUM(C140:F140)</f>
        <v>1200.2579999999998</v>
      </c>
      <c r="H140" s="60"/>
      <c r="I140" s="60"/>
      <c r="J140" s="60"/>
      <c r="K140" s="45"/>
    </row>
    <row r="141">
      <c r="B141" s="42" t="s">
        <v>782</v>
      </c>
      <c r="C141" s="92">
        <v>3.52</v>
      </c>
      <c r="D141" s="92">
        <v>3.64</v>
      </c>
      <c r="E141" s="92">
        <v>3.86</v>
      </c>
      <c r="F141" s="92">
        <v>4.18</v>
      </c>
      <c r="G141" s="92">
        <v>15.2</v>
      </c>
      <c r="H141" s="97"/>
      <c r="I141" s="97"/>
      <c r="J141" s="97"/>
      <c r="K141" s="45"/>
    </row>
    <row r="142">
      <c r="B142" s="42" t="s">
        <v>783</v>
      </c>
      <c r="C142" s="12">
        <v>1.506</v>
      </c>
      <c r="D142" s="12">
        <v>2.348</v>
      </c>
      <c r="E142" s="12">
        <v>3.097</v>
      </c>
      <c r="F142" s="12">
        <v>0</v>
      </c>
      <c r="G142" s="20">
        <f>SUM(C142:F142)</f>
        <v>6.9510000000000005</v>
      </c>
      <c r="H142" s="20"/>
      <c r="I142" s="20"/>
      <c r="J142" s="20"/>
      <c r="K142" s="45"/>
    </row>
    <row r="143">
      <c r="B143" s="77" t="s">
        <v>351</v>
      </c>
      <c r="C143" s="60">
        <f>C127+C118+C119+C142</f>
        <v>383.573</v>
      </c>
      <c r="D143" s="60">
        <f>D127+D118+D119+D142</f>
        <v>429.955</v>
      </c>
      <c r="E143" s="60">
        <f>E127+E118+E119+E142</f>
        <v>450.70200000000006</v>
      </c>
      <c r="F143" s="60">
        <f>F127+F118+F119+F142</f>
        <v>452.254</v>
      </c>
      <c r="G143" s="60">
        <f>G127+G118+G119+G142</f>
        <v>1716.4840000000002</v>
      </c>
      <c r="H143" s="60"/>
      <c r="I143" s="60"/>
      <c r="J143" s="60"/>
      <c r="K143" s="45"/>
    </row>
    <row r="144">
      <c r="B144" s="49" t="s">
        <v>352</v>
      </c>
      <c r="C144" s="19">
        <f>C143/C113</f>
        <v>0.5641069760943578</v>
      </c>
      <c r="D144" s="19">
        <f>D143/D113</f>
        <v>0.6073248214207521</v>
      </c>
      <c r="E144" s="19">
        <f>E143/E113</f>
        <v>0.6219109844695428</v>
      </c>
      <c r="F144" s="19">
        <f>F143/F113</f>
        <v>0.608269704872436</v>
      </c>
      <c r="G144" s="19">
        <f>G143/G113</f>
        <v>0.6009828691151097</v>
      </c>
      <c r="H144" s="19"/>
      <c r="I144" s="19"/>
      <c r="J144" s="19"/>
      <c r="K144" s="45"/>
    </row>
    <row r="145">
      <c r="B145" s="42" t="s">
        <v>258</v>
      </c>
      <c r="C145" s="20">
        <f>C113-C143</f>
        <v>296.39200000000005</v>
      </c>
      <c r="D145" s="20">
        <f>D113-D143</f>
        <v>277.99399999999997</v>
      </c>
      <c r="E145" s="20">
        <f>E113-E143</f>
        <v>274.003</v>
      </c>
      <c r="F145" s="20">
        <f>F113-F143</f>
        <v>291.255</v>
      </c>
      <c r="G145" s="20">
        <f>G113-G143</f>
        <v>1139.644</v>
      </c>
      <c r="H145" s="20"/>
      <c r="I145" s="20"/>
      <c r="J145" s="20"/>
      <c r="K145" s="45"/>
    </row>
    <row r="146">
      <c r="B146" s="42" t="s">
        <v>306</v>
      </c>
      <c r="C146" s="12">
        <v>79.195</v>
      </c>
      <c r="D146" s="12">
        <v>79.085</v>
      </c>
      <c r="E146" s="12">
        <v>78.499</v>
      </c>
      <c r="F146" s="12">
        <v>78.07</v>
      </c>
      <c r="G146" s="12">
        <v>78.71</v>
      </c>
      <c r="H146" s="20"/>
      <c r="I146" s="20"/>
      <c r="J146" s="20"/>
      <c r="K146" s="45"/>
    </row>
    <row r="147">
      <c r="B147" s="42" t="s">
        <v>784</v>
      </c>
      <c r="C147" s="20">
        <f>C138-C146</f>
        <v>0.3130000000000024</v>
      </c>
      <c r="D147" s="20">
        <f>D138-D146</f>
        <v>0.1600000000000108</v>
      </c>
      <c r="E147" s="20">
        <f>E138-E146</f>
        <v>0.23000000000000398</v>
      </c>
      <c r="F147" s="20">
        <f>F138-F146</f>
        <v>0.2950000000000017</v>
      </c>
      <c r="G147" s="20">
        <f>G138-G146</f>
        <v>0.25</v>
      </c>
      <c r="H147" s="20"/>
      <c r="I147" s="20"/>
      <c r="J147" s="20"/>
      <c r="K147" s="45"/>
    </row>
    <row r="148">
      <c r="B148" s="24" t="s">
        <v>785</v>
      </c>
      <c r="C148" s="10"/>
      <c r="D148" s="10"/>
      <c r="E148" s="10"/>
      <c r="F148" s="10"/>
      <c r="G148" s="10"/>
      <c r="H148" s="10"/>
      <c r="I148" s="10"/>
      <c r="J148" s="10"/>
      <c r="K148" s="45"/>
    </row>
    <row r="149">
      <c r="B149" s="24" t="s">
        <v>768</v>
      </c>
      <c r="C149" s="96" t="s">
        <v>769</v>
      </c>
      <c r="D149" s="96" t="s">
        <v>770</v>
      </c>
      <c r="E149" s="96" t="s">
        <v>771</v>
      </c>
      <c r="F149" s="96" t="s">
        <v>772</v>
      </c>
      <c r="G149" s="96" t="s">
        <v>773</v>
      </c>
      <c r="H149" s="70"/>
      <c r="I149" s="70"/>
      <c r="J149" s="70"/>
      <c r="K149" s="45"/>
    </row>
    <row r="150">
      <c r="B150" s="42" t="s">
        <v>409</v>
      </c>
      <c r="C150" s="20">
        <f>C136</f>
        <v>255.95400000000004</v>
      </c>
      <c r="D150" s="20">
        <f>D136</f>
        <v>266.7579999999999</v>
      </c>
      <c r="E150" s="20">
        <f>E136</f>
        <v>280.90100000000007</v>
      </c>
      <c r="F150" s="20">
        <f>F136</f>
        <v>305.51500000000004</v>
      </c>
      <c r="G150" s="20">
        <f>G136</f>
        <v>1109.1280000000002</v>
      </c>
      <c r="H150" s="20"/>
      <c r="I150" s="20"/>
      <c r="J150" s="20"/>
      <c r="K150" s="45"/>
    </row>
    <row r="151">
      <c r="B151" s="42" t="s">
        <v>786</v>
      </c>
      <c r="C151" s="20">
        <f>C118</f>
        <v>38.604</v>
      </c>
      <c r="D151" s="20">
        <f>D118</f>
        <v>40.773</v>
      </c>
      <c r="E151" s="20">
        <f>E118</f>
        <v>41.939</v>
      </c>
      <c r="F151" s="20">
        <f>F118</f>
        <v>42.721</v>
      </c>
      <c r="G151" s="20">
        <f>G118</f>
        <v>164.037</v>
      </c>
      <c r="H151" s="20"/>
      <c r="I151" s="20"/>
      <c r="J151" s="20"/>
      <c r="K151" s="45"/>
    </row>
    <row r="152">
      <c r="B152" s="42" t="s">
        <v>411</v>
      </c>
      <c r="C152" s="12">
        <v>34.336</v>
      </c>
      <c r="D152" s="12">
        <v>19.396</v>
      </c>
      <c r="E152" s="12">
        <v>18.503</v>
      </c>
      <c r="F152" s="12">
        <v>22.969</v>
      </c>
      <c r="G152" s="20">
        <f>SUM(C152:F152)</f>
        <v>95.20400000000001</v>
      </c>
      <c r="H152" s="20"/>
      <c r="I152" s="20"/>
      <c r="J152" s="20"/>
      <c r="K152" s="45"/>
    </row>
    <row r="153">
      <c r="B153" s="42" t="s">
        <v>787</v>
      </c>
      <c r="C153" s="20">
        <f>C119</f>
        <v>4.081</v>
      </c>
      <c r="D153" s="20">
        <f>D119</f>
        <v>4.226</v>
      </c>
      <c r="E153" s="20">
        <f>E119</f>
        <v>4.332</v>
      </c>
      <c r="F153" s="20">
        <f>F119</f>
        <v>4.339</v>
      </c>
      <c r="G153" s="20">
        <f>G119</f>
        <v>16.978</v>
      </c>
      <c r="H153" s="20"/>
      <c r="I153" s="20"/>
      <c r="J153" s="20"/>
      <c r="K153" s="45"/>
    </row>
    <row r="154">
      <c r="B154" s="42" t="s">
        <v>413</v>
      </c>
      <c r="C154" s="12">
        <v>5.813</v>
      </c>
      <c r="D154" s="12">
        <v>6.024</v>
      </c>
      <c r="E154" s="12">
        <v>7.745</v>
      </c>
      <c r="F154" s="12">
        <v>5.678</v>
      </c>
      <c r="G154" s="20">
        <f>SUM(C154:F154)</f>
        <v>25.259999999999998</v>
      </c>
      <c r="H154" s="20"/>
      <c r="I154" s="20"/>
      <c r="J154" s="20"/>
      <c r="K154" s="45"/>
    </row>
    <row r="155">
      <c r="B155" s="42" t="s">
        <v>788</v>
      </c>
      <c r="C155" s="12">
        <v>0</v>
      </c>
      <c r="D155" s="12">
        <v>0</v>
      </c>
      <c r="E155" s="12">
        <v>0</v>
      </c>
      <c r="F155" s="12">
        <v>0</v>
      </c>
      <c r="G155" s="20">
        <f>SUM(C155:F155)</f>
        <v>0</v>
      </c>
      <c r="H155" s="20"/>
      <c r="I155" s="20"/>
      <c r="J155" s="20"/>
      <c r="K155" s="45"/>
    </row>
    <row r="156">
      <c r="B156" s="42" t="s">
        <v>789</v>
      </c>
      <c r="C156" s="12">
        <v>-8.368</v>
      </c>
      <c r="D156" s="12">
        <v>51.915</v>
      </c>
      <c r="E156" s="12">
        <v>1.819</v>
      </c>
      <c r="F156" s="12">
        <v>-27.089</v>
      </c>
      <c r="G156" s="20">
        <f>SUM(C156:F156)</f>
        <v>18.276999999999997</v>
      </c>
      <c r="H156" s="20"/>
      <c r="I156" s="20"/>
      <c r="J156" s="20"/>
      <c r="K156" s="45"/>
    </row>
    <row r="157">
      <c r="B157" s="42" t="s">
        <v>418</v>
      </c>
      <c r="C157" s="12">
        <v>-30.283</v>
      </c>
      <c r="D157" s="12">
        <v>-39.844</v>
      </c>
      <c r="E157" s="12">
        <v>66.37</v>
      </c>
      <c r="F157" s="12">
        <v>76.5</v>
      </c>
      <c r="G157" s="20">
        <f>SUM(C157:F157)</f>
        <v>72.743</v>
      </c>
      <c r="H157" s="20"/>
      <c r="I157" s="20"/>
      <c r="J157" s="20"/>
      <c r="K157" s="45"/>
    </row>
    <row r="158">
      <c r="B158" s="42" t="s">
        <v>424</v>
      </c>
      <c r="C158" s="12">
        <v>-19.966</v>
      </c>
      <c r="D158" s="12">
        <v>-18.707</v>
      </c>
      <c r="E158" s="12">
        <v>-20.975</v>
      </c>
      <c r="F158" s="12">
        <v>-21.708</v>
      </c>
      <c r="G158" s="20">
        <f>SUM(C158:F158)</f>
        <v>-81.356</v>
      </c>
      <c r="H158" s="20"/>
      <c r="I158" s="20"/>
      <c r="J158" s="20"/>
      <c r="K158" s="45"/>
    </row>
    <row r="159">
      <c r="B159" s="42" t="s">
        <v>426</v>
      </c>
      <c r="C159" s="12">
        <v>-4.271</v>
      </c>
      <c r="D159" s="12">
        <v>-8.618</v>
      </c>
      <c r="E159" s="12">
        <v>-6.626</v>
      </c>
      <c r="F159" s="12">
        <v>-14.247</v>
      </c>
      <c r="G159" s="20">
        <f>SUM(C159:F159)</f>
        <v>-33.762</v>
      </c>
      <c r="H159" s="20"/>
      <c r="I159" s="20"/>
      <c r="J159" s="20"/>
      <c r="K159" s="45"/>
    </row>
    <row r="160">
      <c r="B160" s="42" t="s">
        <v>427</v>
      </c>
      <c r="C160" s="12">
        <v>-7.82</v>
      </c>
      <c r="D160" s="12">
        <v>-19.647</v>
      </c>
      <c r="E160" s="12">
        <v>0</v>
      </c>
      <c r="F160" s="12">
        <v>0</v>
      </c>
      <c r="G160" s="20">
        <f>SUM(C160:F160)</f>
        <v>-27.467</v>
      </c>
      <c r="H160" s="20"/>
      <c r="I160" s="20"/>
      <c r="J160" s="20"/>
      <c r="K160" s="45"/>
    </row>
    <row r="161">
      <c r="B161" s="42" t="s">
        <v>429</v>
      </c>
      <c r="C161" s="12">
        <v>-0.276</v>
      </c>
      <c r="D161" s="12">
        <v>-0.153</v>
      </c>
      <c r="E161" s="12">
        <v>-0.463</v>
      </c>
      <c r="F161" s="12">
        <v>-0.778</v>
      </c>
      <c r="G161" s="20">
        <f>SUM(C161:F161)</f>
        <v>-1.67</v>
      </c>
      <c r="H161" s="20"/>
      <c r="I161" s="20"/>
      <c r="J161" s="20"/>
      <c r="K161" s="45"/>
    </row>
    <row r="162">
      <c r="B162" s="42" t="s">
        <v>432</v>
      </c>
      <c r="C162" s="12">
        <v>-69.991</v>
      </c>
      <c r="D162" s="12">
        <v>-241.718</v>
      </c>
      <c r="E162" s="12">
        <v>-199.509</v>
      </c>
      <c r="F162" s="12">
        <v>-374.048</v>
      </c>
      <c r="G162" s="20">
        <f>SUM(C162:F162)</f>
        <v>-885.266</v>
      </c>
      <c r="H162" s="20"/>
      <c r="I162" s="20"/>
      <c r="J162" s="20"/>
      <c r="K162" s="45"/>
    </row>
    <row r="163">
      <c r="B163" s="42" t="s">
        <v>434</v>
      </c>
      <c r="C163" s="12">
        <v>-131.305</v>
      </c>
      <c r="D163" s="12">
        <v>-126.918</v>
      </c>
      <c r="E163" s="12">
        <v>-125.757</v>
      </c>
      <c r="F163" s="12">
        <v>-125.129</v>
      </c>
      <c r="G163" s="20">
        <f>SUM(C163:F163)</f>
        <v>-509.10900000000004</v>
      </c>
      <c r="H163" s="20"/>
      <c r="I163" s="20"/>
      <c r="J163" s="20"/>
      <c r="K163" s="45"/>
    </row>
    <row r="164">
      <c r="B164" s="42" t="s">
        <v>436</v>
      </c>
      <c r="C164" s="12">
        <v>-339.063</v>
      </c>
      <c r="D164" s="12">
        <v>0</v>
      </c>
      <c r="E164" s="12">
        <v>-25</v>
      </c>
      <c r="F164" s="12">
        <v>-195</v>
      </c>
      <c r="G164" s="20">
        <f>SUM(C164:F164)</f>
        <v>-559.063</v>
      </c>
      <c r="H164" s="20"/>
      <c r="I164" s="20"/>
      <c r="J164" s="20"/>
      <c r="K164" s="45"/>
    </row>
    <row r="165">
      <c r="B165" s="42" t="s">
        <v>438</v>
      </c>
      <c r="C165" s="12">
        <v>336.875</v>
      </c>
      <c r="D165" s="12">
        <v>0</v>
      </c>
      <c r="E165" s="12">
        <v>0</v>
      </c>
      <c r="F165" s="12">
        <v>220</v>
      </c>
      <c r="G165" s="20">
        <f>SUM(C165:F165)</f>
        <v>556.875</v>
      </c>
      <c r="H165" s="20"/>
      <c r="I165" s="20"/>
      <c r="J165" s="20"/>
      <c r="K165" s="45"/>
    </row>
    <row r="166">
      <c r="B166" s="42" t="s">
        <v>440</v>
      </c>
      <c r="C166" s="12">
        <v>-3.739</v>
      </c>
      <c r="D166" s="12">
        <v>0</v>
      </c>
      <c r="E166" s="12">
        <v>0</v>
      </c>
      <c r="F166" s="12">
        <v>0</v>
      </c>
      <c r="G166" s="20">
        <f>SUM(C166:F166)</f>
        <v>-3.739</v>
      </c>
      <c r="H166" s="20"/>
      <c r="I166" s="20"/>
      <c r="J166" s="20"/>
      <c r="K166" s="45"/>
    </row>
    <row r="167">
      <c r="B167" s="42" t="s">
        <v>441</v>
      </c>
      <c r="C167" s="12">
        <v>0</v>
      </c>
      <c r="D167" s="12">
        <v>0</v>
      </c>
      <c r="E167" s="12">
        <v>0</v>
      </c>
      <c r="F167" s="12">
        <v>0</v>
      </c>
      <c r="G167" s="20">
        <f>SUM(C167:F167)</f>
        <v>0</v>
      </c>
      <c r="H167" s="20"/>
      <c r="I167" s="20"/>
      <c r="J167" s="20"/>
      <c r="K167" s="45"/>
    </row>
    <row r="168">
      <c r="B168" s="42" t="s">
        <v>442</v>
      </c>
      <c r="C168" s="12">
        <v>0</v>
      </c>
      <c r="D168" s="12">
        <v>0</v>
      </c>
      <c r="E168" s="12">
        <v>0</v>
      </c>
      <c r="F168" s="12">
        <v>-2.006</v>
      </c>
      <c r="G168" s="20">
        <f>SUM(C168:F168)</f>
        <v>-2.006</v>
      </c>
      <c r="H168" s="20"/>
      <c r="I168" s="20"/>
      <c r="J168" s="20"/>
      <c r="K168" s="45"/>
    </row>
    <row r="169">
      <c r="B169" s="42" t="s">
        <v>444</v>
      </c>
      <c r="C169" s="12">
        <v>-2.959</v>
      </c>
      <c r="D169" s="12">
        <v>-1.401</v>
      </c>
      <c r="E169" s="12">
        <v>6.299</v>
      </c>
      <c r="F169" s="12">
        <v>-9.345</v>
      </c>
      <c r="G169" s="20">
        <f>SUM(C169:F169)</f>
        <v>-7.406000000000001</v>
      </c>
      <c r="H169" s="20"/>
      <c r="I169" s="20"/>
      <c r="J169" s="20"/>
      <c r="K169" s="45"/>
    </row>
    <row r="170">
      <c r="B170" s="77" t="s">
        <v>514</v>
      </c>
      <c r="C170" s="60">
        <f>C150+C151+C152+C153+C154+C155+C156+C157</f>
        <v>300.13700000000006</v>
      </c>
      <c r="D170" s="60">
        <f>D150+D151+D152+D153+D154+D155+D156+D157</f>
        <v>349.248</v>
      </c>
      <c r="E170" s="60">
        <f>E150+E151+E152+E153+E154+E155+E156+E157</f>
        <v>421.6090000000001</v>
      </c>
      <c r="F170" s="60">
        <f>F150+F151+F152+F153+F154+F155+F156+F157</f>
        <v>430.63300000000004</v>
      </c>
      <c r="G170" s="60">
        <f>G150+G151+G152+G153+G154+G155+G156+G157</f>
        <v>1501.6270000000002</v>
      </c>
      <c r="H170" s="60"/>
      <c r="I170" s="60"/>
      <c r="J170" s="60"/>
      <c r="K170" s="45"/>
    </row>
    <row r="171">
      <c r="B171" s="77" t="s">
        <v>430</v>
      </c>
      <c r="C171" s="60">
        <f>C158+C159+C160+C161</f>
        <v>-32.333000000000006</v>
      </c>
      <c r="D171" s="60">
        <f>D158+D159+D160+D161</f>
        <v>-47.125</v>
      </c>
      <c r="E171" s="60">
        <f>E158+E159+E160+E161</f>
        <v>-28.064000000000004</v>
      </c>
      <c r="F171" s="60">
        <f>F158+F159+F160+F161</f>
        <v>-36.733</v>
      </c>
      <c r="G171" s="60">
        <f>G158+G159+G160+G161</f>
        <v>-144.25499999999997</v>
      </c>
      <c r="H171" s="60"/>
      <c r="I171" s="60"/>
      <c r="J171" s="60"/>
      <c r="K171" s="45"/>
    </row>
    <row r="172">
      <c r="B172" s="77" t="s">
        <v>443</v>
      </c>
      <c r="C172" s="60">
        <f>C162+C163+C164+C165+C166+C167+C168</f>
        <v>-207.22299999999993</v>
      </c>
      <c r="D172" s="60">
        <f>D162+D163+D164+D165+D166+D167+D168</f>
        <v>-368.63599999999997</v>
      </c>
      <c r="E172" s="60">
        <f>E162+E163+E164+E165+E166+E167+E168</f>
        <v>-350.26599999999996</v>
      </c>
      <c r="F172" s="60">
        <f>F162+F163+F164+F165+F166+F167+F168</f>
        <v>-476.183</v>
      </c>
      <c r="G172" s="60">
        <f>G162+G163+G164+G165+G166+G167+G168</f>
        <v>-1402.3080000000002</v>
      </c>
      <c r="H172" s="60"/>
      <c r="I172" s="60"/>
      <c r="J172" s="60"/>
      <c r="K172" s="45"/>
    </row>
    <row r="173">
      <c r="B173" s="77" t="s">
        <v>445</v>
      </c>
      <c r="C173" s="60">
        <f>C170+C171+C172+C169</f>
        <v>57.6220000000001</v>
      </c>
      <c r="D173" s="60">
        <f>D170+D171+D172+D169</f>
        <v>-67.91399999999997</v>
      </c>
      <c r="E173" s="60">
        <f>E170+E171+E172+E169</f>
        <v>49.57800000000011</v>
      </c>
      <c r="F173" s="60">
        <f>F170+F171+F172+F169</f>
        <v>-91.62799999999996</v>
      </c>
      <c r="G173" s="60">
        <f>G170+G171+G172+G169</f>
        <v>-52.34199999999992</v>
      </c>
      <c r="H173" s="60"/>
      <c r="I173" s="60"/>
      <c r="J173" s="60"/>
      <c r="K173" s="45"/>
    </row>
    <row r="174">
      <c r="B174" s="42" t="s">
        <v>446</v>
      </c>
      <c r="C174" s="12">
        <v>461.693</v>
      </c>
      <c r="D174" s="20">
        <f>C175</f>
        <v>519.315</v>
      </c>
      <c r="E174" s="20">
        <f>D175</f>
        <v>451.40100000000007</v>
      </c>
      <c r="F174" s="20">
        <f>E175</f>
        <v>500.97900000000016</v>
      </c>
      <c r="G174" s="20">
        <f>C174</f>
        <v>461.693</v>
      </c>
      <c r="H174" s="20"/>
      <c r="I174" s="20"/>
      <c r="J174" s="20"/>
      <c r="K174" s="45"/>
    </row>
    <row r="175">
      <c r="B175" s="77" t="s">
        <v>448</v>
      </c>
      <c r="C175" s="60">
        <f>C174+C173</f>
        <v>519.315</v>
      </c>
      <c r="D175" s="60">
        <f>D174+D173</f>
        <v>451.40100000000007</v>
      </c>
      <c r="E175" s="60">
        <f>E174+E173</f>
        <v>500.97900000000016</v>
      </c>
      <c r="F175" s="60">
        <f>F174+F173</f>
        <v>409.3510000000002</v>
      </c>
      <c r="G175" s="60">
        <f>G174+G173</f>
        <v>409.35100000000006</v>
      </c>
      <c r="H175" s="60"/>
      <c r="I175" s="60"/>
      <c r="J175" s="60"/>
      <c r="K175" s="45"/>
    </row>
    <row r="176">
      <c r="B176" s="42" t="s">
        <v>452</v>
      </c>
      <c r="C176" s="20">
        <f>-(C158+C159)</f>
        <v>24.237000000000002</v>
      </c>
      <c r="D176" s="20">
        <f>-(D158+D159)</f>
        <v>27.325000000000003</v>
      </c>
      <c r="E176" s="20">
        <f>-(E158+E159)</f>
        <v>27.601000000000003</v>
      </c>
      <c r="F176" s="20">
        <f>-(F158+F159)</f>
        <v>35.955</v>
      </c>
      <c r="G176" s="20">
        <f>-(G158+G159)</f>
        <v>115.118</v>
      </c>
      <c r="H176" s="20"/>
      <c r="I176" s="20"/>
      <c r="J176" s="20"/>
      <c r="K176" s="45"/>
    </row>
    <row r="177">
      <c r="B177" s="77" t="s">
        <v>453</v>
      </c>
      <c r="C177" s="60">
        <f>C170-C176</f>
        <v>275.90000000000003</v>
      </c>
      <c r="D177" s="60">
        <f>D170-D176</f>
        <v>321.923</v>
      </c>
      <c r="E177" s="60">
        <f>E170-E176</f>
        <v>394.0080000000001</v>
      </c>
      <c r="F177" s="60">
        <f>F170-F176</f>
        <v>394.67800000000005</v>
      </c>
      <c r="G177" s="60">
        <f>G170-G176</f>
        <v>1386.5090000000002</v>
      </c>
      <c r="H177" s="60"/>
      <c r="I177" s="60"/>
      <c r="J177" s="60"/>
      <c r="K177" s="45"/>
    </row>
    <row r="178">
      <c r="B178" s="49" t="s">
        <v>454</v>
      </c>
      <c r="C178" s="19">
        <f>C177/C150</f>
        <v>1.0779280651992154</v>
      </c>
      <c r="D178" s="19">
        <f>D177/D150</f>
        <v>1.206797921711814</v>
      </c>
      <c r="E178" s="19">
        <f>E177/E150</f>
        <v>1.402657875906458</v>
      </c>
      <c r="F178" s="19">
        <f>F177/F150</f>
        <v>1.291844917598154</v>
      </c>
      <c r="G178" s="19">
        <f>G177/G150</f>
        <v>1.2500892593100166</v>
      </c>
      <c r="H178" s="19"/>
      <c r="I178" s="19"/>
      <c r="J178" s="19"/>
      <c r="K178" s="45"/>
    </row>
    <row r="179">
      <c r="B179" s="24" t="s">
        <v>790</v>
      </c>
      <c r="C179" s="10"/>
      <c r="D179" s="10"/>
      <c r="E179" s="10"/>
      <c r="F179" s="10"/>
      <c r="G179" s="10"/>
      <c r="H179" s="10"/>
      <c r="I179" s="10"/>
      <c r="J179" s="10"/>
      <c r="K179" s="45"/>
    </row>
    <row r="180">
      <c r="B180" s="24" t="s">
        <v>791</v>
      </c>
      <c r="C180" s="84">
        <v>45382</v>
      </c>
      <c r="D180" s="84">
        <v>45473</v>
      </c>
      <c r="E180" s="84">
        <v>45565</v>
      </c>
      <c r="F180" s="84">
        <v>45657</v>
      </c>
      <c r="G180" s="84">
        <v>45657</v>
      </c>
      <c r="H180" s="70"/>
      <c r="I180" s="70"/>
      <c r="J180" s="70"/>
      <c r="K180" s="45"/>
    </row>
    <row r="181">
      <c r="B181" s="42" t="s">
        <v>792</v>
      </c>
      <c r="C181" s="20" t="s">
        <v>34</v>
      </c>
      <c r="D181" s="20" t="s">
        <v>34</v>
      </c>
      <c r="E181" s="20" t="s">
        <v>34</v>
      </c>
      <c r="F181" s="12">
        <v>409.351</v>
      </c>
      <c r="G181" s="20">
        <f>F181</f>
        <v>409.351</v>
      </c>
      <c r="H181" s="20"/>
      <c r="I181" s="20"/>
      <c r="J181" s="20"/>
      <c r="K181" s="45"/>
    </row>
    <row r="182">
      <c r="B182" s="42" t="s">
        <v>367</v>
      </c>
      <c r="C182" s="20" t="s">
        <v>34</v>
      </c>
      <c r="D182" s="20" t="s">
        <v>34</v>
      </c>
      <c r="E182" s="20" t="s">
        <v>34</v>
      </c>
      <c r="F182" s="12">
        <v>820.709</v>
      </c>
      <c r="G182" s="20">
        <f>F182</f>
        <v>820.709</v>
      </c>
      <c r="H182" s="20"/>
      <c r="I182" s="20"/>
      <c r="J182" s="20"/>
      <c r="K182" s="45"/>
    </row>
    <row r="183">
      <c r="B183" s="42" t="s">
        <v>369</v>
      </c>
      <c r="C183" s="20" t="s">
        <v>34</v>
      </c>
      <c r="D183" s="20" t="s">
        <v>34</v>
      </c>
      <c r="E183" s="20" t="s">
        <v>34</v>
      </c>
      <c r="F183" s="12">
        <v>113.961</v>
      </c>
      <c r="G183" s="20">
        <f>F183</f>
        <v>113.961</v>
      </c>
      <c r="H183" s="20"/>
      <c r="I183" s="20"/>
      <c r="J183" s="20"/>
      <c r="K183" s="45"/>
    </row>
    <row r="184">
      <c r="B184" s="42" t="s">
        <v>793</v>
      </c>
      <c r="C184" s="20" t="s">
        <v>34</v>
      </c>
      <c r="D184" s="20" t="s">
        <v>34</v>
      </c>
      <c r="E184" s="20" t="s">
        <v>34</v>
      </c>
      <c r="F184" s="12">
        <v>70.885</v>
      </c>
      <c r="G184" s="20">
        <f>F184</f>
        <v>70.885</v>
      </c>
      <c r="H184" s="20"/>
      <c r="I184" s="20"/>
      <c r="J184" s="20"/>
      <c r="K184" s="45"/>
    </row>
    <row r="185">
      <c r="B185" s="42" t="s">
        <v>794</v>
      </c>
      <c r="C185" s="20" t="s">
        <v>34</v>
      </c>
      <c r="D185" s="20" t="s">
        <v>34</v>
      </c>
      <c r="E185" s="20" t="s">
        <v>34</v>
      </c>
      <c r="F185" s="12">
        <v>119.435</v>
      </c>
      <c r="G185" s="20">
        <f>F185</f>
        <v>119.435</v>
      </c>
      <c r="H185" s="20"/>
      <c r="I185" s="20"/>
      <c r="J185" s="20"/>
      <c r="K185" s="45"/>
    </row>
    <row r="186">
      <c r="B186" s="42" t="s">
        <v>375</v>
      </c>
      <c r="C186" s="20" t="s">
        <v>34</v>
      </c>
      <c r="D186" s="20" t="s">
        <v>34</v>
      </c>
      <c r="E186" s="20" t="s">
        <v>34</v>
      </c>
      <c r="F186" s="12">
        <v>2915.167</v>
      </c>
      <c r="G186" s="20">
        <f>F186</f>
        <v>2915.167</v>
      </c>
      <c r="H186" s="20"/>
      <c r="I186" s="20"/>
      <c r="J186" s="20"/>
      <c r="K186" s="45"/>
    </row>
    <row r="187">
      <c r="B187" s="42" t="s">
        <v>377</v>
      </c>
      <c r="C187" s="20" t="s">
        <v>34</v>
      </c>
      <c r="D187" s="20" t="s">
        <v>34</v>
      </c>
      <c r="E187" s="20" t="s">
        <v>34</v>
      </c>
      <c r="F187" s="12">
        <v>907.613</v>
      </c>
      <c r="G187" s="20">
        <f>F187</f>
        <v>907.613</v>
      </c>
      <c r="H187" s="20"/>
      <c r="I187" s="20"/>
      <c r="J187" s="20"/>
      <c r="K187" s="45"/>
    </row>
    <row r="188">
      <c r="B188" s="42" t="s">
        <v>379</v>
      </c>
      <c r="C188" s="20" t="s">
        <v>34</v>
      </c>
      <c r="D188" s="20" t="s">
        <v>34</v>
      </c>
      <c r="E188" s="20" t="s">
        <v>34</v>
      </c>
      <c r="F188" s="12">
        <v>88.318</v>
      </c>
      <c r="G188" s="20">
        <f>F188</f>
        <v>88.318</v>
      </c>
      <c r="H188" s="20"/>
      <c r="I188" s="20"/>
      <c r="J188" s="20"/>
      <c r="K188" s="45"/>
    </row>
    <row r="189">
      <c r="B189" s="42" t="s">
        <v>383</v>
      </c>
      <c r="C189" s="20" t="s">
        <v>34</v>
      </c>
      <c r="D189" s="20" t="s">
        <v>34</v>
      </c>
      <c r="E189" s="20" t="s">
        <v>34</v>
      </c>
      <c r="F189" s="12">
        <v>1123.423</v>
      </c>
      <c r="G189" s="20">
        <f>F189</f>
        <v>1123.423</v>
      </c>
      <c r="H189" s="20"/>
      <c r="I189" s="20"/>
      <c r="J189" s="20"/>
      <c r="K189" s="45"/>
    </row>
    <row r="190">
      <c r="B190" s="42" t="s">
        <v>385</v>
      </c>
      <c r="C190" s="20" t="s">
        <v>34</v>
      </c>
      <c r="D190" s="20" t="s">
        <v>34</v>
      </c>
      <c r="E190" s="20" t="s">
        <v>34</v>
      </c>
      <c r="F190" s="12">
        <v>462.231</v>
      </c>
      <c r="G190" s="20">
        <f>F190</f>
        <v>462.231</v>
      </c>
      <c r="H190" s="20"/>
      <c r="I190" s="20"/>
      <c r="J190" s="20"/>
      <c r="K190" s="45"/>
    </row>
    <row r="191">
      <c r="B191" s="42" t="s">
        <v>388</v>
      </c>
      <c r="C191" s="20" t="s">
        <v>34</v>
      </c>
      <c r="D191" s="20" t="s">
        <v>34</v>
      </c>
      <c r="E191" s="20" t="s">
        <v>34</v>
      </c>
      <c r="F191" s="12">
        <v>4510.816</v>
      </c>
      <c r="G191" s="20">
        <f>F191</f>
        <v>4510.816</v>
      </c>
      <c r="H191" s="20"/>
      <c r="I191" s="20"/>
      <c r="J191" s="20"/>
      <c r="K191" s="45"/>
    </row>
    <row r="192">
      <c r="B192" s="42" t="s">
        <v>390</v>
      </c>
      <c r="C192" s="20" t="s">
        <v>34</v>
      </c>
      <c r="D192" s="20" t="s">
        <v>34</v>
      </c>
      <c r="E192" s="20" t="s">
        <v>34</v>
      </c>
      <c r="F192" s="12">
        <v>121.153</v>
      </c>
      <c r="G192" s="20">
        <f>F192</f>
        <v>121.153</v>
      </c>
      <c r="H192" s="20"/>
      <c r="I192" s="20"/>
      <c r="J192" s="20"/>
      <c r="K192" s="45"/>
    </row>
    <row r="193">
      <c r="B193" s="42" t="s">
        <v>391</v>
      </c>
      <c r="C193" s="20" t="s">
        <v>34</v>
      </c>
      <c r="D193" s="20" t="s">
        <v>34</v>
      </c>
      <c r="E193" s="20" t="s">
        <v>34</v>
      </c>
      <c r="F193" s="12">
        <v>167.813</v>
      </c>
      <c r="G193" s="20">
        <f>F193</f>
        <v>167.813</v>
      </c>
      <c r="H193" s="20"/>
      <c r="I193" s="20"/>
      <c r="J193" s="20"/>
      <c r="K193" s="45"/>
    </row>
    <row r="194">
      <c r="B194" s="42" t="s">
        <v>393</v>
      </c>
      <c r="C194" s="20" t="s">
        <v>34</v>
      </c>
      <c r="D194" s="20" t="s">
        <v>34</v>
      </c>
      <c r="E194" s="20" t="s">
        <v>34</v>
      </c>
      <c r="F194" s="12">
        <v>-939.997</v>
      </c>
      <c r="G194" s="20">
        <f>F194</f>
        <v>-939.997</v>
      </c>
      <c r="H194" s="20"/>
      <c r="I194" s="20"/>
      <c r="J194" s="20"/>
      <c r="K194" s="45"/>
    </row>
    <row r="195">
      <c r="B195" s="77" t="s">
        <v>370</v>
      </c>
      <c r="C195" s="60" t="s">
        <v>34</v>
      </c>
      <c r="D195" s="60" t="s">
        <v>34</v>
      </c>
      <c r="E195" s="60" t="s">
        <v>34</v>
      </c>
      <c r="F195" s="60">
        <f>F181+F182+F183</f>
        <v>1344.021</v>
      </c>
      <c r="G195" s="60">
        <f>G181+G182+G183</f>
        <v>1344.021</v>
      </c>
      <c r="H195" s="60"/>
      <c r="I195" s="60"/>
      <c r="J195" s="60"/>
      <c r="K195" s="45"/>
    </row>
    <row r="196">
      <c r="B196" s="77" t="s">
        <v>381</v>
      </c>
      <c r="C196" s="60" t="s">
        <v>34</v>
      </c>
      <c r="D196" s="60" t="s">
        <v>34</v>
      </c>
      <c r="E196" s="60" t="s">
        <v>34</v>
      </c>
      <c r="F196" s="60">
        <f>F181+F182+F183+F184+F185+F186+F187+F188</f>
        <v>5445.439</v>
      </c>
      <c r="G196" s="60">
        <f>G181+G182+G183+G184+G185+G186+G187+G188</f>
        <v>5445.439</v>
      </c>
      <c r="H196" s="60"/>
      <c r="I196" s="60"/>
      <c r="J196" s="60"/>
      <c r="K196" s="45"/>
    </row>
    <row r="197">
      <c r="B197" s="77" t="s">
        <v>387</v>
      </c>
      <c r="C197" s="60" t="s">
        <v>34</v>
      </c>
      <c r="D197" s="60" t="s">
        <v>34</v>
      </c>
      <c r="E197" s="60" t="s">
        <v>34</v>
      </c>
      <c r="F197" s="60">
        <f>F189+F190</f>
        <v>1585.654</v>
      </c>
      <c r="G197" s="60">
        <f>G189+G190</f>
        <v>1585.654</v>
      </c>
      <c r="H197" s="60"/>
      <c r="I197" s="60"/>
      <c r="J197" s="60"/>
      <c r="K197" s="45"/>
    </row>
    <row r="198">
      <c r="B198" s="77" t="s">
        <v>392</v>
      </c>
      <c r="C198" s="60" t="s">
        <v>34</v>
      </c>
      <c r="D198" s="60" t="s">
        <v>34</v>
      </c>
      <c r="E198" s="60" t="s">
        <v>34</v>
      </c>
      <c r="F198" s="60">
        <f>F189+F190+F191+F192+F193</f>
        <v>6385.436</v>
      </c>
      <c r="G198" s="60">
        <f>G189+G190+G191+G192+G193</f>
        <v>6385.436</v>
      </c>
      <c r="H198" s="60"/>
      <c r="I198" s="60"/>
      <c r="J198" s="60"/>
      <c r="K198" s="45"/>
    </row>
    <row r="199">
      <c r="B199" s="65" t="s">
        <v>402</v>
      </c>
      <c r="C199" s="19" t="s">
        <v>34</v>
      </c>
      <c r="D199" s="19" t="s">
        <v>34</v>
      </c>
      <c r="E199" s="19" t="s">
        <v>34</v>
      </c>
      <c r="F199" s="19">
        <f>F182/F113</f>
        <v>1.1038319643743384</v>
      </c>
      <c r="G199" s="19" t="s">
        <v>34</v>
      </c>
      <c r="H199" s="19"/>
      <c r="I199" s="19"/>
      <c r="J199" s="19"/>
      <c r="K199" s="45"/>
    </row>
    <row r="200">
      <c r="B200" s="65" t="s">
        <v>405</v>
      </c>
      <c r="C200" s="19" t="s">
        <v>34</v>
      </c>
      <c r="D200" s="19" t="s">
        <v>34</v>
      </c>
      <c r="E200" s="19" t="s">
        <v>34</v>
      </c>
      <c r="F200" s="19">
        <f>F189/F113</f>
        <v>1.5109743123486064</v>
      </c>
      <c r="G200" s="19" t="s">
        <v>34</v>
      </c>
      <c r="H200" s="19"/>
      <c r="I200" s="19"/>
      <c r="J200" s="19"/>
      <c r="K200" s="45"/>
    </row>
    <row r="201">
      <c r="B201" s="42" t="s">
        <v>401</v>
      </c>
      <c r="C201" s="20" t="s">
        <v>34</v>
      </c>
      <c r="D201" s="20" t="s">
        <v>34</v>
      </c>
      <c r="E201" s="20" t="s">
        <v>34</v>
      </c>
      <c r="F201" s="20">
        <f>F191-F181</f>
        <v>4101.465</v>
      </c>
      <c r="G201" s="20">
        <f>G191-G181</f>
        <v>4101.465</v>
      </c>
      <c r="H201" s="20"/>
      <c r="I201" s="20"/>
      <c r="J201" s="20"/>
      <c r="K201" s="45"/>
    </row>
    <row r="202">
      <c r="B202" s="24" t="s">
        <v>795</v>
      </c>
      <c r="C202" s="10"/>
      <c r="D202" s="10"/>
      <c r="E202" s="10"/>
      <c r="F202" s="10"/>
      <c r="G202" s="10"/>
      <c r="H202" s="10"/>
      <c r="I202" s="10"/>
      <c r="J202" s="10"/>
      <c r="K202" s="45"/>
    </row>
    <row r="203">
      <c r="B203" s="24" t="s">
        <v>768</v>
      </c>
      <c r="C203" s="96" t="s">
        <v>769</v>
      </c>
      <c r="D203" s="96" t="s">
        <v>770</v>
      </c>
      <c r="E203" s="96" t="s">
        <v>771</v>
      </c>
      <c r="F203" s="96" t="s">
        <v>772</v>
      </c>
      <c r="G203" s="96" t="s">
        <v>773</v>
      </c>
      <c r="H203" s="70"/>
      <c r="I203" s="70"/>
      <c r="J203" s="70"/>
      <c r="K203" s="45"/>
    </row>
    <row r="204">
      <c r="B204" s="42" t="s">
        <v>796</v>
      </c>
      <c r="C204" s="12">
        <v>1468.9</v>
      </c>
      <c r="D204" s="12">
        <v>1582.6</v>
      </c>
      <c r="E204" s="12">
        <v>1631.9</v>
      </c>
      <c r="F204" s="12">
        <v>1761.8</v>
      </c>
      <c r="G204" s="20">
        <f>C204</f>
        <v>1468.9</v>
      </c>
      <c r="H204" s="20"/>
      <c r="I204" s="20"/>
      <c r="J204" s="20"/>
      <c r="K204" s="45"/>
    </row>
    <row r="205">
      <c r="B205" s="42" t="s">
        <v>797</v>
      </c>
      <c r="C205" s="12">
        <v>92.8</v>
      </c>
      <c r="D205" s="12">
        <v>21.2</v>
      </c>
      <c r="E205" s="12">
        <v>111.3</v>
      </c>
      <c r="F205" s="12">
        <v>-85.3</v>
      </c>
      <c r="G205" s="20">
        <f>SUM(C205:F205)</f>
        <v>140</v>
      </c>
      <c r="H205" s="20"/>
      <c r="I205" s="20"/>
      <c r="J205" s="20"/>
      <c r="K205" s="45"/>
    </row>
    <row r="206">
      <c r="B206" s="42" t="s">
        <v>798</v>
      </c>
      <c r="C206" s="12">
        <v>20.9</v>
      </c>
      <c r="D206" s="12">
        <v>28.1</v>
      </c>
      <c r="E206" s="12">
        <v>18.6</v>
      </c>
      <c r="F206" s="12">
        <v>48.2</v>
      </c>
      <c r="G206" s="20">
        <f>SUM(C206:F206)</f>
        <v>115.80000000000001</v>
      </c>
      <c r="H206" s="20"/>
      <c r="I206" s="20"/>
      <c r="J206" s="20"/>
      <c r="K206" s="45"/>
    </row>
    <row r="207">
      <c r="B207" s="77" t="s">
        <v>799</v>
      </c>
      <c r="C207" s="44">
        <v>1582.6</v>
      </c>
      <c r="D207" s="44">
        <v>1631.9</v>
      </c>
      <c r="E207" s="44">
        <v>1761.8</v>
      </c>
      <c r="F207" s="44">
        <v>1724.7</v>
      </c>
      <c r="G207" s="60">
        <f>F207</f>
        <v>1724.7</v>
      </c>
      <c r="H207" s="60"/>
      <c r="I207" s="60"/>
      <c r="J207" s="60"/>
      <c r="K207" s="45"/>
    </row>
    <row r="208">
      <c r="B208" s="42" t="s">
        <v>800</v>
      </c>
      <c r="C208" s="12">
        <v>1457.8</v>
      </c>
      <c r="D208" s="12">
        <v>1545.6</v>
      </c>
      <c r="E208" s="12">
        <v>1665.9</v>
      </c>
      <c r="F208" s="12">
        <v>1753.3</v>
      </c>
      <c r="G208" s="20" t="s">
        <v>34</v>
      </c>
      <c r="H208" s="20"/>
      <c r="I208" s="20"/>
      <c r="J208" s="20"/>
      <c r="K208" s="45"/>
    </row>
    <row r="209">
      <c r="B209" s="42" t="s">
        <v>801</v>
      </c>
      <c r="C209" s="12">
        <v>1503.8</v>
      </c>
      <c r="D209" s="12">
        <v>1599.6</v>
      </c>
      <c r="E209" s="12">
        <v>1656.2</v>
      </c>
      <c r="F209" s="12">
        <v>1749.3</v>
      </c>
      <c r="G209" s="20" t="s">
        <v>34</v>
      </c>
      <c r="H209" s="20"/>
      <c r="I209" s="20"/>
      <c r="J209" s="20"/>
      <c r="K209" s="45"/>
    </row>
    <row r="210">
      <c r="B210" s="42" t="s">
        <v>802</v>
      </c>
      <c r="C210" s="12">
        <v>1564.2</v>
      </c>
      <c r="D210" s="12">
        <v>1625.7</v>
      </c>
      <c r="E210" s="12">
        <v>1709.5</v>
      </c>
      <c r="F210" s="12">
        <v>1760.7</v>
      </c>
      <c r="G210" s="20" t="s">
        <v>34</v>
      </c>
      <c r="H210" s="20"/>
      <c r="I210" s="20"/>
      <c r="J210" s="20"/>
      <c r="K210" s="45"/>
    </row>
    <row r="211">
      <c r="B211" s="42" t="s">
        <v>803</v>
      </c>
      <c r="C211" s="12">
        <v>1508.8</v>
      </c>
      <c r="D211" s="12">
        <v>1590.6</v>
      </c>
      <c r="E211" s="12">
        <v>1677</v>
      </c>
      <c r="F211" s="12">
        <v>1755.4</v>
      </c>
      <c r="G211" s="12">
        <v>1632.9</v>
      </c>
      <c r="H211" s="20"/>
      <c r="I211" s="20"/>
      <c r="J211" s="20"/>
      <c r="K211" s="45"/>
    </row>
    <row r="212">
      <c r="B212" s="42" t="s">
        <v>215</v>
      </c>
      <c r="C212" s="81">
        <v>2.48</v>
      </c>
      <c r="D212" s="81">
        <v>2.47</v>
      </c>
      <c r="E212" s="81">
        <v>2.44</v>
      </c>
      <c r="F212" s="81">
        <v>2.44</v>
      </c>
      <c r="G212" s="79">
        <f>F212</f>
        <v>2.44</v>
      </c>
      <c r="H212" s="79"/>
      <c r="I212" s="79"/>
      <c r="J212" s="79"/>
      <c r="K212" s="45"/>
    </row>
    <row r="213">
      <c r="B213" s="77" t="s">
        <v>804</v>
      </c>
      <c r="C213" s="44">
        <v>619.431</v>
      </c>
      <c r="D213" s="44">
        <v>646.811</v>
      </c>
      <c r="E213" s="44">
        <v>683.462</v>
      </c>
      <c r="F213" s="44">
        <v>678.599</v>
      </c>
      <c r="G213" s="60">
        <f>F213</f>
        <v>678.599</v>
      </c>
      <c r="H213" s="60"/>
      <c r="I213" s="60"/>
      <c r="J213" s="60"/>
      <c r="K213" s="45"/>
    </row>
    <row r="214">
      <c r="B214" s="24" t="s">
        <v>805</v>
      </c>
      <c r="C214" s="10"/>
      <c r="D214" s="10"/>
      <c r="E214" s="10"/>
      <c r="F214" s="10"/>
      <c r="G214" s="10"/>
      <c r="H214" s="10"/>
      <c r="I214" s="10"/>
      <c r="J214" s="10"/>
      <c r="K214" s="45"/>
    </row>
    <row r="215">
      <c r="B215" s="42" t="s">
        <v>806</v>
      </c>
      <c r="C215" s="12">
        <v>373.872</v>
      </c>
      <c r="D215" s="12">
        <v>397.192</v>
      </c>
      <c r="E215" s="12">
        <v>404.882</v>
      </c>
      <c r="F215" s="12">
        <v>420.199</v>
      </c>
      <c r="G215" s="20">
        <f>SUM(C215:F215)</f>
        <v>1596.145</v>
      </c>
      <c r="H215" s="20"/>
      <c r="I215" s="20"/>
      <c r="J215" s="20"/>
      <c r="K215" s="45"/>
    </row>
    <row r="216">
      <c r="B216" s="77" t="s">
        <v>260</v>
      </c>
      <c r="C216" s="44">
        <v>277.76</v>
      </c>
      <c r="D216" s="44">
        <v>306.99</v>
      </c>
      <c r="E216" s="44">
        <v>314.148</v>
      </c>
      <c r="F216" s="44">
        <v>323.156</v>
      </c>
      <c r="G216" s="60">
        <f>SUM(C216:F216)</f>
        <v>1222.054</v>
      </c>
      <c r="H216" s="60"/>
      <c r="I216" s="60"/>
      <c r="J216" s="60"/>
      <c r="K216" s="45"/>
    </row>
    <row r="217">
      <c r="B217" s="42" t="s">
        <v>258</v>
      </c>
      <c r="C217" s="20">
        <f>C215-C216</f>
        <v>96.11200000000002</v>
      </c>
      <c r="D217" s="20">
        <f>D215-D216</f>
        <v>90.202</v>
      </c>
      <c r="E217" s="20">
        <f>E215-E216</f>
        <v>90.73399999999998</v>
      </c>
      <c r="F217" s="20">
        <f>F215-F216</f>
        <v>97.043</v>
      </c>
      <c r="G217" s="20">
        <f>G215-G216</f>
        <v>374.0909999999999</v>
      </c>
      <c r="H217" s="20"/>
      <c r="I217" s="20"/>
      <c r="J217" s="20"/>
      <c r="K217" s="45"/>
    </row>
    <row r="218">
      <c r="B218" s="65" t="s">
        <v>807</v>
      </c>
      <c r="C218" s="19">
        <f>C215/C113</f>
        <v>0.5498400652974785</v>
      </c>
      <c r="D218" s="19">
        <f>D215/D113</f>
        <v>0.5610460640526366</v>
      </c>
      <c r="E218" s="19">
        <f>E215/E113</f>
        <v>0.5586852581395189</v>
      </c>
      <c r="F218" s="19">
        <f>F215/F113</f>
        <v>0.5651565751053451</v>
      </c>
      <c r="G218" s="19">
        <f>G215/G113</f>
        <v>0.5588492532547561</v>
      </c>
      <c r="H218" s="19"/>
      <c r="I218" s="19"/>
      <c r="J218" s="19"/>
      <c r="K218" s="45"/>
    </row>
    <row r="219">
      <c r="B219" s="77" t="s">
        <v>171</v>
      </c>
      <c r="C219" s="44">
        <v>869.931</v>
      </c>
      <c r="D219" s="44">
        <v>891.633</v>
      </c>
      <c r="E219" s="44">
        <v>906.803</v>
      </c>
      <c r="F219" s="44">
        <v>934.251</v>
      </c>
      <c r="G219" s="60">
        <f>F219</f>
        <v>934.251</v>
      </c>
      <c r="H219" s="60"/>
      <c r="I219" s="60"/>
      <c r="J219" s="60"/>
      <c r="K219" s="45"/>
    </row>
    <row r="220">
      <c r="B220" s="65" t="s">
        <v>808</v>
      </c>
      <c r="C220" s="19">
        <f>C216/C215</f>
        <v>0.7429280609406428</v>
      </c>
      <c r="D220" s="19">
        <f>D216/D215</f>
        <v>0.7729007633587787</v>
      </c>
      <c r="E220" s="19">
        <f>E216/E215</f>
        <v>0.7759001388058744</v>
      </c>
      <c r="F220" s="19">
        <f>F216/F215</f>
        <v>0.7690546621957691</v>
      </c>
      <c r="G220" s="19">
        <f>G216/G215</f>
        <v>0.7656284360130189</v>
      </c>
      <c r="H220" s="19"/>
      <c r="I220" s="19"/>
      <c r="J220" s="19"/>
      <c r="K220" s="45"/>
    </row>
    <row r="221">
      <c r="B221" s="65" t="s">
        <v>262</v>
      </c>
      <c r="C221" s="19">
        <f>1-C220</f>
        <v>0.2570719390593572</v>
      </c>
      <c r="D221" s="19">
        <f>1-D220</f>
        <v>0.22709923664122134</v>
      </c>
      <c r="E221" s="19">
        <f>1-E220</f>
        <v>0.22409986119412562</v>
      </c>
      <c r="F221" s="19">
        <f>1-F220</f>
        <v>0.23094533780423088</v>
      </c>
      <c r="G221" s="19">
        <f>1-G220</f>
        <v>0.2343715639869811</v>
      </c>
      <c r="H221" s="19"/>
      <c r="I221" s="19"/>
      <c r="J221" s="19"/>
      <c r="K221" s="45"/>
    </row>
    <row r="222">
      <c r="B222" s="49" t="s">
        <v>809</v>
      </c>
      <c r="C222" s="9">
        <v>0.932</v>
      </c>
      <c r="D222" s="9">
        <v>0.952</v>
      </c>
      <c r="E222" s="9">
        <v>0.954</v>
      </c>
      <c r="F222" s="9">
        <v>0.95</v>
      </c>
      <c r="G222" s="9">
        <v>0.947</v>
      </c>
      <c r="H222" s="19"/>
      <c r="I222" s="19"/>
      <c r="J222" s="19"/>
      <c r="K222" s="45"/>
    </row>
    <row r="223">
      <c r="B223" s="65" t="s">
        <v>187</v>
      </c>
      <c r="C223" s="19">
        <f>1-C222</f>
        <v>0.06799999999999995</v>
      </c>
      <c r="D223" s="19">
        <f>1-D222</f>
        <v>0.04800000000000004</v>
      </c>
      <c r="E223" s="19">
        <f>1-E222</f>
        <v>0.04600000000000004</v>
      </c>
      <c r="F223" s="19">
        <f>1-F222</f>
        <v>0.050000000000000044</v>
      </c>
      <c r="G223" s="19">
        <f>1-G222</f>
        <v>0.05300000000000005</v>
      </c>
      <c r="H223" s="19"/>
      <c r="I223" s="19"/>
      <c r="J223" s="19"/>
      <c r="K223" s="45"/>
    </row>
    <row r="224">
      <c r="B224" s="42" t="s">
        <v>810</v>
      </c>
      <c r="C224" s="20" t="s">
        <v>34</v>
      </c>
      <c r="D224" s="20" t="s">
        <v>34</v>
      </c>
      <c r="E224" s="12">
        <v>707.2</v>
      </c>
      <c r="F224" s="12">
        <v>728.7</v>
      </c>
      <c r="G224" s="20">
        <f>F224</f>
        <v>728.7</v>
      </c>
      <c r="H224" s="20"/>
      <c r="I224" s="20"/>
      <c r="J224" s="20"/>
      <c r="K224" s="45"/>
    </row>
    <row r="225">
      <c r="B225" s="65" t="s">
        <v>179</v>
      </c>
      <c r="C225" s="19" t="s">
        <v>34</v>
      </c>
      <c r="D225" s="19" t="s">
        <v>34</v>
      </c>
      <c r="E225" s="19">
        <f>E224/E219</f>
        <v>0.7798827308687775</v>
      </c>
      <c r="F225" s="19">
        <f>F224/F219</f>
        <v>0.779983109464159</v>
      </c>
      <c r="G225" s="19">
        <f>G224/G219</f>
        <v>0.779983109464159</v>
      </c>
      <c r="H225" s="19"/>
      <c r="I225" s="19"/>
      <c r="J225" s="19"/>
      <c r="K225" s="45"/>
    </row>
    <row r="226">
      <c r="B226" s="42" t="s">
        <v>811</v>
      </c>
      <c r="C226" s="20" t="s">
        <v>34</v>
      </c>
      <c r="D226" s="20" t="s">
        <v>34</v>
      </c>
      <c r="E226" s="12">
        <v>97.6</v>
      </c>
      <c r="F226" s="12">
        <v>100.2</v>
      </c>
      <c r="G226" s="20">
        <f>F226</f>
        <v>100.2</v>
      </c>
      <c r="H226" s="20"/>
      <c r="I226" s="20"/>
      <c r="J226" s="20"/>
      <c r="K226" s="45"/>
    </row>
    <row r="227">
      <c r="B227" s="65" t="s">
        <v>179</v>
      </c>
      <c r="C227" s="19" t="s">
        <v>34</v>
      </c>
      <c r="D227" s="19" t="s">
        <v>34</v>
      </c>
      <c r="E227" s="19">
        <f>E226/E219</f>
        <v>0.10763087462216159</v>
      </c>
      <c r="F227" s="19">
        <f>F226/F219</f>
        <v>0.10725169146193048</v>
      </c>
      <c r="G227" s="19">
        <f>G226/G219</f>
        <v>0.10725169146193048</v>
      </c>
      <c r="H227" s="19"/>
      <c r="I227" s="19"/>
      <c r="J227" s="19"/>
      <c r="K227" s="45"/>
    </row>
    <row r="228">
      <c r="B228" s="42" t="s">
        <v>812</v>
      </c>
      <c r="C228" s="20" t="s">
        <v>34</v>
      </c>
      <c r="D228" s="20" t="s">
        <v>34</v>
      </c>
      <c r="E228" s="12">
        <v>102</v>
      </c>
      <c r="F228" s="12">
        <v>105.3</v>
      </c>
      <c r="G228" s="20">
        <f>F228</f>
        <v>105.3</v>
      </c>
      <c r="H228" s="20"/>
      <c r="I228" s="20"/>
      <c r="J228" s="20"/>
      <c r="K228" s="45"/>
    </row>
    <row r="229">
      <c r="B229" s="65" t="s">
        <v>179</v>
      </c>
      <c r="C229" s="19" t="s">
        <v>34</v>
      </c>
      <c r="D229" s="19" t="s">
        <v>34</v>
      </c>
      <c r="E229" s="19">
        <f>E228/E219</f>
        <v>0.11248308618299675</v>
      </c>
      <c r="F229" s="19">
        <f>F228/F219</f>
        <v>0.11271060988963351</v>
      </c>
      <c r="G229" s="19">
        <f>G228/G219</f>
        <v>0.11271060988963351</v>
      </c>
      <c r="H229" s="19"/>
      <c r="I229" s="19"/>
      <c r="J229" s="19"/>
      <c r="K229" s="45"/>
    </row>
    <row r="230">
      <c r="B230" s="24" t="s">
        <v>813</v>
      </c>
      <c r="C230" s="10"/>
      <c r="D230" s="10"/>
      <c r="E230" s="10"/>
      <c r="F230" s="10"/>
      <c r="G230" s="10"/>
      <c r="H230" s="10"/>
      <c r="I230" s="10"/>
      <c r="J230" s="10"/>
      <c r="K230" s="45"/>
    </row>
    <row r="231">
      <c r="B231" s="42" t="s">
        <v>806</v>
      </c>
      <c r="C231" s="12">
        <v>163.966</v>
      </c>
      <c r="D231" s="12">
        <v>165.995</v>
      </c>
      <c r="E231" s="12">
        <v>172.376</v>
      </c>
      <c r="F231" s="12">
        <v>172.752</v>
      </c>
      <c r="G231" s="20">
        <f>SUM(C231:F231)</f>
        <v>675.089</v>
      </c>
      <c r="H231" s="20"/>
      <c r="I231" s="20"/>
      <c r="J231" s="20"/>
      <c r="K231" s="45"/>
    </row>
    <row r="232">
      <c r="B232" s="77" t="s">
        <v>260</v>
      </c>
      <c r="C232" s="44">
        <v>72.212</v>
      </c>
      <c r="D232" s="44">
        <v>81.672</v>
      </c>
      <c r="E232" s="44">
        <v>90.287</v>
      </c>
      <c r="F232" s="44">
        <v>84.124</v>
      </c>
      <c r="G232" s="60">
        <f>SUM(C232:F232)</f>
        <v>328.295</v>
      </c>
      <c r="H232" s="60"/>
      <c r="I232" s="60"/>
      <c r="J232" s="60"/>
      <c r="K232" s="45"/>
    </row>
    <row r="233">
      <c r="B233" s="42" t="s">
        <v>258</v>
      </c>
      <c r="C233" s="20">
        <f>C231-C232</f>
        <v>91.754</v>
      </c>
      <c r="D233" s="20">
        <f>D231-D232</f>
        <v>84.32300000000001</v>
      </c>
      <c r="E233" s="20">
        <f>E231-E232</f>
        <v>82.089</v>
      </c>
      <c r="F233" s="20">
        <f>F231-F232</f>
        <v>88.62800000000001</v>
      </c>
      <c r="G233" s="20">
        <f>G231-G232</f>
        <v>346.79400000000004</v>
      </c>
      <c r="H233" s="20"/>
      <c r="I233" s="20"/>
      <c r="J233" s="20"/>
      <c r="K233" s="45"/>
    </row>
    <row r="234">
      <c r="B234" s="65" t="s">
        <v>807</v>
      </c>
      <c r="C234" s="19">
        <f>C231/C113</f>
        <v>0.24113888214834586</v>
      </c>
      <c r="D234" s="19">
        <f>D231/D113</f>
        <v>0.23447310470104488</v>
      </c>
      <c r="E234" s="19">
        <f>E231/E113</f>
        <v>0.23785678310484956</v>
      </c>
      <c r="F234" s="19">
        <f>F231/F113</f>
        <v>0.23234688483932273</v>
      </c>
      <c r="G234" s="19">
        <f>G231/G113</f>
        <v>0.2363651068859659</v>
      </c>
      <c r="H234" s="19"/>
      <c r="I234" s="19"/>
      <c r="J234" s="19"/>
      <c r="K234" s="45"/>
    </row>
    <row r="235">
      <c r="B235" s="77" t="s">
        <v>171</v>
      </c>
      <c r="C235" s="44">
        <v>662.079</v>
      </c>
      <c r="D235" s="44">
        <v>674.609</v>
      </c>
      <c r="E235" s="44">
        <v>691.333</v>
      </c>
      <c r="F235" s="44">
        <v>698.377</v>
      </c>
      <c r="G235" s="60">
        <f>F235</f>
        <v>698.377</v>
      </c>
      <c r="H235" s="60"/>
      <c r="I235" s="60"/>
      <c r="J235" s="60"/>
      <c r="K235" s="45"/>
    </row>
    <row r="236">
      <c r="B236" s="65" t="s">
        <v>808</v>
      </c>
      <c r="C236" s="19">
        <f>C232/C231</f>
        <v>0.44040837734652305</v>
      </c>
      <c r="D236" s="19">
        <f>D232/D231</f>
        <v>0.4920148197234856</v>
      </c>
      <c r="E236" s="19">
        <f>E232/E231</f>
        <v>0.5237794124472085</v>
      </c>
      <c r="F236" s="19">
        <f>F232/F231</f>
        <v>0.4869639714735574</v>
      </c>
      <c r="G236" s="19">
        <f>G232/G231</f>
        <v>0.4862988435598862</v>
      </c>
      <c r="H236" s="19"/>
      <c r="I236" s="19"/>
      <c r="J236" s="19"/>
      <c r="K236" s="45"/>
    </row>
    <row r="237">
      <c r="B237" s="65" t="s">
        <v>262</v>
      </c>
      <c r="C237" s="19">
        <f>1-C236</f>
        <v>0.559591622653477</v>
      </c>
      <c r="D237" s="19">
        <f>1-D236</f>
        <v>0.5079851802765144</v>
      </c>
      <c r="E237" s="19">
        <f>1-E236</f>
        <v>0.4762205875527915</v>
      </c>
      <c r="F237" s="19">
        <f>1-F236</f>
        <v>0.5130360285264426</v>
      </c>
      <c r="G237" s="19">
        <f>1-G236</f>
        <v>0.5137011564401138</v>
      </c>
      <c r="H237" s="19"/>
      <c r="I237" s="19"/>
      <c r="J237" s="19"/>
      <c r="K237" s="45"/>
    </row>
    <row r="238">
      <c r="B238" s="49" t="s">
        <v>809</v>
      </c>
      <c r="C238" s="9">
        <v>0.935</v>
      </c>
      <c r="D238" s="9">
        <v>0.958</v>
      </c>
      <c r="E238" s="9">
        <v>0.938</v>
      </c>
      <c r="F238" s="9">
        <v>0.933</v>
      </c>
      <c r="G238" s="9">
        <v>0.941</v>
      </c>
      <c r="H238" s="19"/>
      <c r="I238" s="19"/>
      <c r="J238" s="19"/>
      <c r="K238" s="45"/>
    </row>
    <row r="239">
      <c r="B239" s="65" t="s">
        <v>187</v>
      </c>
      <c r="C239" s="19">
        <f>1-C238</f>
        <v>0.06499999999999995</v>
      </c>
      <c r="D239" s="19">
        <f>1-D238</f>
        <v>0.04200000000000004</v>
      </c>
      <c r="E239" s="19">
        <f>1-E238</f>
        <v>0.062000000000000055</v>
      </c>
      <c r="F239" s="19">
        <f>1-F238</f>
        <v>0.06699999999999995</v>
      </c>
      <c r="G239" s="19">
        <f>1-G238</f>
        <v>0.05900000000000005</v>
      </c>
      <c r="H239" s="19"/>
      <c r="I239" s="19"/>
      <c r="J239" s="19"/>
      <c r="K239" s="45"/>
    </row>
    <row r="240">
      <c r="B240" s="42" t="s">
        <v>814</v>
      </c>
      <c r="C240" s="20" t="s">
        <v>34</v>
      </c>
      <c r="D240" s="20" t="s">
        <v>34</v>
      </c>
      <c r="E240" s="12">
        <v>467.9</v>
      </c>
      <c r="F240" s="12">
        <v>470.1</v>
      </c>
      <c r="G240" s="20">
        <f>F240</f>
        <v>470.1</v>
      </c>
      <c r="H240" s="20"/>
      <c r="I240" s="20"/>
      <c r="J240" s="20"/>
      <c r="K240" s="45"/>
    </row>
    <row r="241">
      <c r="B241" s="65" t="s">
        <v>179</v>
      </c>
      <c r="C241" s="19" t="s">
        <v>34</v>
      </c>
      <c r="D241" s="19" t="s">
        <v>34</v>
      </c>
      <c r="E241" s="19">
        <f>E240/E235</f>
        <v>0.6768084266192992</v>
      </c>
      <c r="F241" s="19">
        <f>F240/F235</f>
        <v>0.673132133503824</v>
      </c>
      <c r="G241" s="19">
        <f>G240/G235</f>
        <v>0.673132133503824</v>
      </c>
      <c r="H241" s="19"/>
      <c r="I241" s="19"/>
      <c r="J241" s="19"/>
      <c r="K241" s="45"/>
    </row>
    <row r="242">
      <c r="B242" s="42" t="s">
        <v>815</v>
      </c>
      <c r="C242" s="20" t="s">
        <v>34</v>
      </c>
      <c r="D242" s="20" t="s">
        <v>34</v>
      </c>
      <c r="E242" s="12">
        <v>223.4</v>
      </c>
      <c r="F242" s="12">
        <v>228.3</v>
      </c>
      <c r="G242" s="20">
        <f>F242</f>
        <v>228.3</v>
      </c>
      <c r="H242" s="20"/>
      <c r="I242" s="20"/>
      <c r="J242" s="20"/>
      <c r="K242" s="45"/>
    </row>
    <row r="243">
      <c r="B243" s="65" t="s">
        <v>179</v>
      </c>
      <c r="C243" s="19" t="s">
        <v>34</v>
      </c>
      <c r="D243" s="19" t="s">
        <v>34</v>
      </c>
      <c r="E243" s="19">
        <f>E242/E235</f>
        <v>0.323143839510048</v>
      </c>
      <c r="F243" s="19">
        <f>F242/F235</f>
        <v>0.326900799997709</v>
      </c>
      <c r="G243" s="19">
        <f>G242/G235</f>
        <v>0.326900799997709</v>
      </c>
      <c r="H243" s="19"/>
      <c r="I243" s="19"/>
      <c r="J243" s="19"/>
      <c r="K243" s="45"/>
    </row>
    <row r="244">
      <c r="B244" s="24" t="s">
        <v>816</v>
      </c>
      <c r="C244" s="10"/>
      <c r="D244" s="10"/>
      <c r="E244" s="10"/>
      <c r="F244" s="10"/>
      <c r="G244" s="10"/>
      <c r="H244" s="10"/>
      <c r="I244" s="10"/>
      <c r="J244" s="10"/>
      <c r="K244" s="45"/>
    </row>
    <row r="245">
      <c r="B245" s="42" t="s">
        <v>806</v>
      </c>
      <c r="C245" s="12">
        <v>77.884</v>
      </c>
      <c r="D245" s="12">
        <v>79.855</v>
      </c>
      <c r="E245" s="12">
        <v>83.643</v>
      </c>
      <c r="F245" s="12">
        <v>85.219</v>
      </c>
      <c r="G245" s="20">
        <f>SUM(C245:F245)</f>
        <v>326.601</v>
      </c>
      <c r="H245" s="20"/>
      <c r="I245" s="20"/>
      <c r="J245" s="20"/>
      <c r="K245" s="45"/>
    </row>
    <row r="246">
      <c r="B246" s="77" t="s">
        <v>260</v>
      </c>
      <c r="C246" s="44">
        <v>21.091</v>
      </c>
      <c r="D246" s="44">
        <v>23.93</v>
      </c>
      <c r="E246" s="44">
        <v>29.989</v>
      </c>
      <c r="F246" s="44">
        <v>29.698</v>
      </c>
      <c r="G246" s="60">
        <f>SUM(C246:F246)</f>
        <v>104.708</v>
      </c>
      <c r="H246" s="60"/>
      <c r="I246" s="60"/>
      <c r="J246" s="60"/>
      <c r="K246" s="45"/>
    </row>
    <row r="247">
      <c r="B247" s="42" t="s">
        <v>258</v>
      </c>
      <c r="C247" s="20">
        <f>C245-C246</f>
        <v>56.793</v>
      </c>
      <c r="D247" s="20">
        <f>D245-D246</f>
        <v>55.925000000000004</v>
      </c>
      <c r="E247" s="20">
        <f>E245-E246</f>
        <v>53.653999999999996</v>
      </c>
      <c r="F247" s="20">
        <f>F245-F246</f>
        <v>55.520999999999994</v>
      </c>
      <c r="G247" s="20">
        <f>G245-G246</f>
        <v>221.893</v>
      </c>
      <c r="H247" s="20"/>
      <c r="I247" s="20"/>
      <c r="J247" s="20"/>
      <c r="K247" s="45"/>
    </row>
    <row r="248">
      <c r="B248" s="65" t="s">
        <v>807</v>
      </c>
      <c r="C248" s="19">
        <f>C245/C113</f>
        <v>0.11454118962005397</v>
      </c>
      <c r="D248" s="19">
        <f>D245/D113</f>
        <v>0.11279767327872489</v>
      </c>
      <c r="E248" s="19">
        <f>E245/E113</f>
        <v>0.11541661779620672</v>
      </c>
      <c r="F248" s="19">
        <f>F245/F113</f>
        <v>0.11461730792767806</v>
      </c>
      <c r="G248" s="19">
        <f>G245/G113</f>
        <v>0.11435096746364308</v>
      </c>
      <c r="H248" s="19"/>
      <c r="I248" s="19"/>
      <c r="J248" s="19"/>
      <c r="K248" s="45"/>
    </row>
    <row r="249">
      <c r="B249" s="77" t="s">
        <v>171</v>
      </c>
      <c r="C249" s="44">
        <v>320.611</v>
      </c>
      <c r="D249" s="44">
        <v>333.683</v>
      </c>
      <c r="E249" s="44">
        <v>344.015</v>
      </c>
      <c r="F249" s="44">
        <v>343.741</v>
      </c>
      <c r="G249" s="60">
        <f>F249</f>
        <v>343.741</v>
      </c>
      <c r="H249" s="60"/>
      <c r="I249" s="60"/>
      <c r="J249" s="60"/>
      <c r="K249" s="45"/>
    </row>
    <row r="250">
      <c r="B250" s="65" t="s">
        <v>808</v>
      </c>
      <c r="C250" s="19">
        <f>C246/C245</f>
        <v>0.27080016434697757</v>
      </c>
      <c r="D250" s="19">
        <f>D246/D245</f>
        <v>0.299668148519191</v>
      </c>
      <c r="E250" s="19">
        <f>E246/E245</f>
        <v>0.3585356814078883</v>
      </c>
      <c r="F250" s="19">
        <f>F246/F245</f>
        <v>0.34849036013095674</v>
      </c>
      <c r="G250" s="19">
        <f>G246/G245</f>
        <v>0.320599140847701</v>
      </c>
      <c r="H250" s="19"/>
      <c r="I250" s="19"/>
      <c r="J250" s="19"/>
      <c r="K250" s="45"/>
    </row>
    <row r="251">
      <c r="B251" s="65" t="s">
        <v>262</v>
      </c>
      <c r="C251" s="19">
        <f>1-C250</f>
        <v>0.7291998356530225</v>
      </c>
      <c r="D251" s="19">
        <f>1-D250</f>
        <v>0.700331851480809</v>
      </c>
      <c r="E251" s="19">
        <f>1-E250</f>
        <v>0.6414643185921117</v>
      </c>
      <c r="F251" s="19">
        <f>1-F250</f>
        <v>0.6515096398690432</v>
      </c>
      <c r="G251" s="19">
        <f>1-G250</f>
        <v>0.679400859152299</v>
      </c>
      <c r="H251" s="19"/>
      <c r="I251" s="19"/>
      <c r="J251" s="19"/>
      <c r="K251" s="45"/>
    </row>
    <row r="252">
      <c r="B252" s="49" t="s">
        <v>809</v>
      </c>
      <c r="C252" s="9">
        <v>0.908</v>
      </c>
      <c r="D252" s="9">
        <v>0.943</v>
      </c>
      <c r="E252" s="9">
        <v>0.93</v>
      </c>
      <c r="F252" s="9">
        <v>0.931</v>
      </c>
      <c r="G252" s="9">
        <v>0.928</v>
      </c>
      <c r="H252" s="19"/>
      <c r="I252" s="19"/>
      <c r="J252" s="19"/>
      <c r="K252" s="45"/>
    </row>
    <row r="253">
      <c r="B253" s="65" t="s">
        <v>187</v>
      </c>
      <c r="C253" s="19">
        <f>1-C252</f>
        <v>0.09199999999999997</v>
      </c>
      <c r="D253" s="19">
        <f>1-D252</f>
        <v>0.05700000000000005</v>
      </c>
      <c r="E253" s="19">
        <f>1-E252</f>
        <v>0.06999999999999995</v>
      </c>
      <c r="F253" s="19">
        <f>1-F252</f>
        <v>0.06899999999999995</v>
      </c>
      <c r="G253" s="19">
        <f>1-G252</f>
        <v>0.07199999999999995</v>
      </c>
      <c r="H253" s="19"/>
      <c r="I253" s="19"/>
      <c r="J253" s="19"/>
      <c r="K253" s="45"/>
    </row>
    <row r="254">
      <c r="B254" s="24" t="s">
        <v>817</v>
      </c>
      <c r="C254" s="10"/>
      <c r="D254" s="10"/>
      <c r="E254" s="10"/>
      <c r="F254" s="10"/>
      <c r="G254" s="10"/>
      <c r="H254" s="10"/>
      <c r="I254" s="10"/>
      <c r="J254" s="10"/>
      <c r="K254" s="45"/>
    </row>
    <row r="255">
      <c r="B255" s="42" t="s">
        <v>806</v>
      </c>
      <c r="C255" s="12">
        <v>64.243</v>
      </c>
      <c r="D255" s="12">
        <v>64.907</v>
      </c>
      <c r="E255" s="12">
        <v>63.804</v>
      </c>
      <c r="F255" s="12">
        <v>65.339</v>
      </c>
      <c r="G255" s="20">
        <f>SUM(C255:F255)</f>
        <v>258.293</v>
      </c>
      <c r="H255" s="20"/>
      <c r="I255" s="20"/>
      <c r="J255" s="20"/>
      <c r="K255" s="45"/>
    </row>
    <row r="256">
      <c r="B256" s="77" t="s">
        <v>260</v>
      </c>
      <c r="C256" s="44">
        <v>12.51</v>
      </c>
      <c r="D256" s="44">
        <v>17.363</v>
      </c>
      <c r="E256" s="44">
        <v>16.278</v>
      </c>
      <c r="F256" s="44">
        <v>15.276</v>
      </c>
      <c r="G256" s="60">
        <f>SUM(C256:F256)</f>
        <v>61.42699999999999</v>
      </c>
      <c r="H256" s="60"/>
      <c r="I256" s="60"/>
      <c r="J256" s="60"/>
      <c r="K256" s="45"/>
    </row>
    <row r="257">
      <c r="B257" s="42" t="s">
        <v>258</v>
      </c>
      <c r="C257" s="20">
        <f>C255-C256</f>
        <v>51.733</v>
      </c>
      <c r="D257" s="20">
        <f>D255-D256</f>
        <v>47.544</v>
      </c>
      <c r="E257" s="20">
        <f>E255-E256</f>
        <v>47.526</v>
      </c>
      <c r="F257" s="20">
        <f>F255-F256</f>
        <v>50.063</v>
      </c>
      <c r="G257" s="20">
        <f>G255-G256</f>
        <v>196.866</v>
      </c>
      <c r="H257" s="20"/>
      <c r="I257" s="20"/>
      <c r="J257" s="20"/>
      <c r="K257" s="45"/>
    </row>
    <row r="258">
      <c r="B258" s="65" t="s">
        <v>807</v>
      </c>
      <c r="C258" s="19">
        <f>C255/C113</f>
        <v>0.0944798629341216</v>
      </c>
      <c r="D258" s="19">
        <f>D255/D113</f>
        <v>0.09168315796759371</v>
      </c>
      <c r="E258" s="19">
        <f>E255/E113</f>
        <v>0.08804134095942487</v>
      </c>
      <c r="F258" s="19">
        <f>F255/F113</f>
        <v>0.08787923212765414</v>
      </c>
      <c r="G258" s="19">
        <f>G255/G113</f>
        <v>0.09043467239563492</v>
      </c>
      <c r="H258" s="19"/>
      <c r="I258" s="19"/>
      <c r="J258" s="19"/>
      <c r="K258" s="45"/>
    </row>
    <row r="259">
      <c r="B259" s="77" t="s">
        <v>171</v>
      </c>
      <c r="C259" s="44">
        <v>254.432</v>
      </c>
      <c r="D259" s="44">
        <v>260.556</v>
      </c>
      <c r="E259" s="44">
        <v>268.577</v>
      </c>
      <c r="F259" s="44">
        <v>266.719</v>
      </c>
      <c r="G259" s="60">
        <f>F259</f>
        <v>266.719</v>
      </c>
      <c r="H259" s="60"/>
      <c r="I259" s="60"/>
      <c r="J259" s="60"/>
      <c r="K259" s="45"/>
    </row>
    <row r="260">
      <c r="B260" s="65" t="s">
        <v>808</v>
      </c>
      <c r="C260" s="19">
        <f>C256/C255</f>
        <v>0.19472938685926872</v>
      </c>
      <c r="D260" s="19">
        <f>D256/D255</f>
        <v>0.2675058160136811</v>
      </c>
      <c r="E260" s="19">
        <f>E256/E255</f>
        <v>0.2551250705284935</v>
      </c>
      <c r="F260" s="19">
        <f>F256/F255</f>
        <v>0.23379604830193298</v>
      </c>
      <c r="G260" s="19">
        <f>G256/G255</f>
        <v>0.23781906594448937</v>
      </c>
      <c r="H260" s="19"/>
      <c r="I260" s="19"/>
      <c r="J260" s="19"/>
      <c r="K260" s="45"/>
    </row>
    <row r="261">
      <c r="B261" s="65" t="s">
        <v>262</v>
      </c>
      <c r="C261" s="19">
        <f>1-C260</f>
        <v>0.8052706131407312</v>
      </c>
      <c r="D261" s="19">
        <f>1-D260</f>
        <v>0.7324941839863188</v>
      </c>
      <c r="E261" s="19">
        <f>1-E260</f>
        <v>0.7448749294715065</v>
      </c>
      <c r="F261" s="19">
        <f>1-F260</f>
        <v>0.766203951698067</v>
      </c>
      <c r="G261" s="19">
        <f>1-G260</f>
        <v>0.7621809340555106</v>
      </c>
      <c r="H261" s="19"/>
      <c r="I261" s="19"/>
      <c r="J261" s="19"/>
      <c r="K261" s="45"/>
    </row>
    <row r="262">
      <c r="B262" s="49" t="s">
        <v>809</v>
      </c>
      <c r="C262" s="9">
        <v>0.922</v>
      </c>
      <c r="D262" s="9">
        <v>0.912</v>
      </c>
      <c r="E262" s="9">
        <v>0.927</v>
      </c>
      <c r="F262" s="9">
        <v>0.864</v>
      </c>
      <c r="G262" s="9">
        <v>0.906</v>
      </c>
      <c r="H262" s="19"/>
      <c r="I262" s="19"/>
      <c r="J262" s="19"/>
      <c r="K262" s="45"/>
    </row>
    <row r="263">
      <c r="B263" s="65" t="s">
        <v>187</v>
      </c>
      <c r="C263" s="19">
        <f>1-C262</f>
        <v>0.07799999999999996</v>
      </c>
      <c r="D263" s="19">
        <f>1-D262</f>
        <v>0.08799999999999997</v>
      </c>
      <c r="E263" s="19">
        <f>1-E262</f>
        <v>0.07299999999999995</v>
      </c>
      <c r="F263" s="19">
        <f>1-F262</f>
        <v>0.136</v>
      </c>
      <c r="G263" s="19">
        <f>1-G262</f>
        <v>0.09399999999999997</v>
      </c>
      <c r="H263" s="19"/>
      <c r="I263" s="19"/>
      <c r="J263" s="19"/>
      <c r="K263" s="45"/>
    </row>
    <row r="264">
      <c r="B264" s="42" t="s">
        <v>818</v>
      </c>
      <c r="C264" s="20" t="s">
        <v>34</v>
      </c>
      <c r="D264" s="20" t="s">
        <v>34</v>
      </c>
      <c r="E264" s="12">
        <v>158.4</v>
      </c>
      <c r="F264" s="12">
        <v>154.3</v>
      </c>
      <c r="G264" s="20">
        <f>F264</f>
        <v>154.3</v>
      </c>
      <c r="H264" s="20"/>
      <c r="I264" s="20"/>
      <c r="J264" s="20"/>
      <c r="K264" s="45"/>
    </row>
    <row r="265">
      <c r="B265" s="65" t="s">
        <v>179</v>
      </c>
      <c r="C265" s="19" t="s">
        <v>34</v>
      </c>
      <c r="D265" s="19" t="s">
        <v>34</v>
      </c>
      <c r="E265" s="19">
        <f>E264/E259</f>
        <v>0.5897749993484178</v>
      </c>
      <c r="F265" s="19">
        <f>F264/F259</f>
        <v>0.5785114671245769</v>
      </c>
      <c r="G265" s="19">
        <f>G264/G259</f>
        <v>0.5785114671245769</v>
      </c>
      <c r="H265" s="19"/>
      <c r="I265" s="19"/>
      <c r="J265" s="19"/>
      <c r="K265" s="45"/>
    </row>
    <row r="266">
      <c r="B266" s="42" t="s">
        <v>819</v>
      </c>
      <c r="C266" s="20" t="s">
        <v>34</v>
      </c>
      <c r="D266" s="20" t="s">
        <v>34</v>
      </c>
      <c r="E266" s="12">
        <v>110.2</v>
      </c>
      <c r="F266" s="12">
        <v>112.5</v>
      </c>
      <c r="G266" s="20">
        <f>F266</f>
        <v>112.5</v>
      </c>
      <c r="H266" s="20"/>
      <c r="I266" s="20"/>
      <c r="J266" s="20"/>
      <c r="K266" s="45"/>
    </row>
    <row r="267">
      <c r="B267" s="65" t="s">
        <v>179</v>
      </c>
      <c r="C267" s="19" t="s">
        <v>34</v>
      </c>
      <c r="D267" s="19" t="s">
        <v>34</v>
      </c>
      <c r="E267" s="19">
        <f>E266/E259</f>
        <v>0.4103106371729523</v>
      </c>
      <c r="F267" s="19">
        <f>F266/F259</f>
        <v>0.42179222327618204</v>
      </c>
      <c r="G267" s="19">
        <f>G266/G259</f>
        <v>0.42179222327618204</v>
      </c>
      <c r="H267" s="19"/>
      <c r="I267" s="19"/>
      <c r="J267" s="19"/>
      <c r="K267" s="45"/>
    </row>
    <row r="268">
      <c r="B268" s="24" t="s">
        <v>820</v>
      </c>
      <c r="C268" s="10"/>
      <c r="D268" s="10"/>
      <c r="E268" s="10"/>
      <c r="F268" s="10"/>
      <c r="G268" s="10"/>
      <c r="H268" s="10"/>
      <c r="I268" s="10"/>
      <c r="J268" s="10"/>
      <c r="K268" s="45"/>
    </row>
    <row r="269">
      <c r="B269" s="24" t="s">
        <v>768</v>
      </c>
      <c r="C269" s="96" t="s">
        <v>769</v>
      </c>
      <c r="D269" s="96" t="s">
        <v>770</v>
      </c>
      <c r="E269" s="96" t="s">
        <v>771</v>
      </c>
      <c r="F269" s="96" t="s">
        <v>772</v>
      </c>
      <c r="G269" s="96" t="s">
        <v>773</v>
      </c>
      <c r="H269" s="70"/>
      <c r="I269" s="70"/>
      <c r="J269" s="70"/>
      <c r="K269" s="45"/>
    </row>
    <row r="270">
      <c r="B270" s="54" t="s">
        <v>821</v>
      </c>
      <c r="C270" s="20"/>
      <c r="D270" s="12">
        <v>571.118</v>
      </c>
      <c r="E270" s="20"/>
      <c r="F270" s="20"/>
      <c r="G270" s="20"/>
      <c r="H270" s="20"/>
      <c r="I270" s="20"/>
      <c r="J270" s="20"/>
      <c r="K270" s="45"/>
    </row>
    <row r="271">
      <c r="B271" s="54" t="s">
        <v>822</v>
      </c>
      <c r="C271" s="20"/>
      <c r="D271" s="20"/>
      <c r="E271" s="12">
        <v>868.695</v>
      </c>
      <c r="F271" s="20"/>
      <c r="G271" s="20"/>
      <c r="H271" s="20"/>
      <c r="I271" s="20"/>
      <c r="J271" s="20"/>
      <c r="K271" s="45"/>
    </row>
    <row r="272">
      <c r="B272" s="42" t="s">
        <v>459</v>
      </c>
      <c r="C272" s="20">
        <f>D270-D272</f>
        <v>280.67500000000007</v>
      </c>
      <c r="D272" s="12">
        <v>290.443</v>
      </c>
      <c r="E272" s="12">
        <v>297.577</v>
      </c>
      <c r="F272" s="20">
        <f>G272-E271</f>
        <v>300.303</v>
      </c>
      <c r="G272" s="12">
        <v>1168.998</v>
      </c>
      <c r="H272" s="20"/>
      <c r="I272" s="20"/>
      <c r="J272" s="20"/>
      <c r="K272" s="45"/>
    </row>
    <row r="273">
      <c r="B273" s="65" t="s">
        <v>119</v>
      </c>
      <c r="C273" s="19">
        <f>C272/C300</f>
        <v>0.41277859889847285</v>
      </c>
      <c r="D273" s="19">
        <f>D272/D300</f>
        <v>0.4102597785998709</v>
      </c>
      <c r="E273" s="19">
        <f>E272/E300</f>
        <v>0.4106181135772487</v>
      </c>
      <c r="F273" s="19">
        <f>F272/F300</f>
        <v>0.40389961654801754</v>
      </c>
      <c r="G273" s="19">
        <f>G272/G300</f>
        <v>0.40929468147085846</v>
      </c>
      <c r="H273" s="19"/>
      <c r="I273" s="19"/>
      <c r="J273" s="19"/>
      <c r="K273" s="45"/>
    </row>
    <row r="274">
      <c r="B274" s="54" t="s">
        <v>823</v>
      </c>
      <c r="C274" s="20"/>
      <c r="D274" s="12">
        <v>63.345</v>
      </c>
      <c r="E274" s="20"/>
      <c r="F274" s="20"/>
      <c r="G274" s="20"/>
      <c r="H274" s="20"/>
      <c r="I274" s="20"/>
      <c r="J274" s="20"/>
      <c r="K274" s="45"/>
    </row>
    <row r="275">
      <c r="B275" s="54" t="s">
        <v>824</v>
      </c>
      <c r="C275" s="20"/>
      <c r="D275" s="20"/>
      <c r="E275" s="12">
        <v>95.976</v>
      </c>
      <c r="F275" s="20"/>
      <c r="G275" s="20"/>
      <c r="H275" s="20"/>
      <c r="I275" s="20"/>
      <c r="J275" s="20"/>
      <c r="K275" s="45"/>
    </row>
    <row r="276">
      <c r="B276" s="42" t="s">
        <v>461</v>
      </c>
      <c r="C276" s="20">
        <f>D274-D276</f>
        <v>30.359</v>
      </c>
      <c r="D276" s="12">
        <v>32.986</v>
      </c>
      <c r="E276" s="12">
        <v>32.631</v>
      </c>
      <c r="F276" s="20">
        <f>G276-E275</f>
        <v>32.97399999999999</v>
      </c>
      <c r="G276" s="12">
        <v>128.95</v>
      </c>
      <c r="H276" s="20"/>
      <c r="I276" s="20"/>
      <c r="J276" s="20"/>
      <c r="K276" s="45"/>
    </row>
    <row r="277">
      <c r="B277" s="65" t="s">
        <v>119</v>
      </c>
      <c r="C277" s="19">
        <f>C276/C300</f>
        <v>0.04464788628826485</v>
      </c>
      <c r="D277" s="19">
        <f>D276/D300</f>
        <v>0.04659375180980551</v>
      </c>
      <c r="E277" s="19">
        <f>E276/E300</f>
        <v>0.045026597029136</v>
      </c>
      <c r="F277" s="19">
        <f>F276/F300</f>
        <v>0.0443491605347077</v>
      </c>
      <c r="G277" s="19">
        <f>G276/G300</f>
        <v>0.045148536760257235</v>
      </c>
      <c r="H277" s="19"/>
      <c r="I277" s="19"/>
      <c r="J277" s="19"/>
      <c r="K277" s="45"/>
    </row>
    <row r="278">
      <c r="B278" s="54" t="s">
        <v>825</v>
      </c>
      <c r="C278" s="20"/>
      <c r="D278" s="12">
        <v>229.538</v>
      </c>
      <c r="E278" s="20"/>
      <c r="F278" s="20"/>
      <c r="G278" s="20"/>
      <c r="H278" s="20"/>
      <c r="I278" s="20"/>
      <c r="J278" s="20"/>
      <c r="K278" s="45"/>
    </row>
    <row r="279">
      <c r="B279" s="54" t="s">
        <v>826</v>
      </c>
      <c r="C279" s="20"/>
      <c r="D279" s="20"/>
      <c r="E279" s="12">
        <v>351.922</v>
      </c>
      <c r="F279" s="20"/>
      <c r="G279" s="20"/>
      <c r="H279" s="20"/>
      <c r="I279" s="20"/>
      <c r="J279" s="20"/>
      <c r="K279" s="45"/>
    </row>
    <row r="280">
      <c r="B280" s="42" t="s">
        <v>463</v>
      </c>
      <c r="C280" s="20">
        <f>D278-D280</f>
        <v>113.293</v>
      </c>
      <c r="D280" s="12">
        <v>116.245</v>
      </c>
      <c r="E280" s="12">
        <v>122.384</v>
      </c>
      <c r="F280" s="20">
        <f>G280-E279</f>
        <v>127.75199999999995</v>
      </c>
      <c r="G280" s="12">
        <v>479.674</v>
      </c>
      <c r="H280" s="20"/>
      <c r="I280" s="20"/>
      <c r="J280" s="20"/>
      <c r="K280" s="45"/>
    </row>
    <row r="281">
      <c r="B281" s="65" t="s">
        <v>119</v>
      </c>
      <c r="C281" s="19">
        <f>C280/C300</f>
        <v>0.1666159287610392</v>
      </c>
      <c r="D281" s="19">
        <f>D280/D300</f>
        <v>0.16419968105047117</v>
      </c>
      <c r="E281" s="19">
        <f>E280/E300</f>
        <v>0.16887423158388587</v>
      </c>
      <c r="F281" s="19">
        <f>F280/F300</f>
        <v>0.17182307140868497</v>
      </c>
      <c r="G281" s="19">
        <f>G280/G300</f>
        <v>0.16794555426087346</v>
      </c>
      <c r="H281" s="19"/>
      <c r="I281" s="19"/>
      <c r="J281" s="19"/>
      <c r="K281" s="45"/>
    </row>
    <row r="282">
      <c r="B282" s="54" t="s">
        <v>827</v>
      </c>
      <c r="C282" s="20"/>
      <c r="D282" s="12">
        <v>308.962</v>
      </c>
      <c r="E282" s="20"/>
      <c r="F282" s="20"/>
      <c r="G282" s="20"/>
      <c r="H282" s="20"/>
      <c r="I282" s="20"/>
      <c r="J282" s="20"/>
      <c r="K282" s="45"/>
    </row>
    <row r="283">
      <c r="B283" s="54" t="s">
        <v>828</v>
      </c>
      <c r="C283" s="20"/>
      <c r="D283" s="20"/>
      <c r="E283" s="12">
        <v>466.701</v>
      </c>
      <c r="F283" s="20"/>
      <c r="G283" s="20"/>
      <c r="H283" s="20"/>
      <c r="I283" s="20"/>
      <c r="J283" s="20"/>
      <c r="K283" s="45"/>
    </row>
    <row r="284">
      <c r="B284" s="42" t="s">
        <v>464</v>
      </c>
      <c r="C284" s="20">
        <f>D282-D284</f>
        <v>151.684</v>
      </c>
      <c r="D284" s="12">
        <v>157.278</v>
      </c>
      <c r="E284" s="12">
        <v>157.739</v>
      </c>
      <c r="F284" s="20">
        <f>G284-E283</f>
        <v>165.43200000000002</v>
      </c>
      <c r="G284" s="12">
        <v>632.133</v>
      </c>
      <c r="H284" s="20"/>
      <c r="I284" s="20"/>
      <c r="J284" s="20"/>
      <c r="K284" s="45"/>
    </row>
    <row r="285">
      <c r="B285" s="65" t="s">
        <v>119</v>
      </c>
      <c r="C285" s="19">
        <f>C284/C300</f>
        <v>0.2230761877449575</v>
      </c>
      <c r="D285" s="19">
        <f>D284/D300</f>
        <v>0.22216007085256143</v>
      </c>
      <c r="E285" s="19">
        <f>E284/E300</f>
        <v>0.2176595994232136</v>
      </c>
      <c r="F285" s="19">
        <f>F284/F300</f>
        <v>0.22250167785460567</v>
      </c>
      <c r="G285" s="19">
        <f>G284/G300</f>
        <v>0.22132516469850091</v>
      </c>
      <c r="H285" s="19"/>
      <c r="I285" s="19"/>
      <c r="J285" s="19"/>
      <c r="K285" s="45"/>
    </row>
    <row r="286">
      <c r="B286" s="54" t="s">
        <v>829</v>
      </c>
      <c r="C286" s="20"/>
      <c r="D286" s="12">
        <v>55.544</v>
      </c>
      <c r="E286" s="20"/>
      <c r="F286" s="20"/>
      <c r="G286" s="20"/>
      <c r="H286" s="20"/>
      <c r="I286" s="20"/>
      <c r="J286" s="20"/>
      <c r="K286" s="45"/>
    </row>
    <row r="287">
      <c r="B287" s="54" t="s">
        <v>830</v>
      </c>
      <c r="C287" s="20"/>
      <c r="D287" s="20"/>
      <c r="E287" s="12">
        <v>84.377</v>
      </c>
      <c r="F287" s="20"/>
      <c r="G287" s="20"/>
      <c r="H287" s="20"/>
      <c r="I287" s="20"/>
      <c r="J287" s="20"/>
      <c r="K287" s="45"/>
    </row>
    <row r="288">
      <c r="B288" s="42" t="s">
        <v>466</v>
      </c>
      <c r="C288" s="20">
        <f>D286-D288</f>
        <v>26.572999999999997</v>
      </c>
      <c r="D288" s="12">
        <v>28.971</v>
      </c>
      <c r="E288" s="12">
        <v>28.833</v>
      </c>
      <c r="F288" s="20">
        <f>G288-E287</f>
        <v>29.78</v>
      </c>
      <c r="G288" s="12">
        <v>114.157</v>
      </c>
      <c r="H288" s="20"/>
      <c r="I288" s="20"/>
      <c r="J288" s="20"/>
      <c r="K288" s="45"/>
    </row>
    <row r="289">
      <c r="B289" s="65" t="s">
        <v>119</v>
      </c>
      <c r="C289" s="19">
        <f>C288/C300</f>
        <v>0.03907995264462141</v>
      </c>
      <c r="D289" s="19">
        <f>D288/D300</f>
        <v>0.0409224393282567</v>
      </c>
      <c r="E289" s="19">
        <f>E288/E300</f>
        <v>0.039785843895102146</v>
      </c>
      <c r="F289" s="19">
        <f>F288/F300</f>
        <v>0.04005331475476424</v>
      </c>
      <c r="G289" s="19">
        <f>G288/G300</f>
        <v>0.03996914704102897</v>
      </c>
      <c r="H289" s="19"/>
      <c r="I289" s="19"/>
      <c r="J289" s="19"/>
      <c r="K289" s="45"/>
    </row>
    <row r="290">
      <c r="B290" s="54" t="s">
        <v>831</v>
      </c>
      <c r="C290" s="20"/>
      <c r="D290" s="12">
        <v>159.407</v>
      </c>
      <c r="E290" s="20"/>
      <c r="F290" s="20"/>
      <c r="G290" s="20"/>
      <c r="H290" s="20"/>
      <c r="I290" s="20"/>
      <c r="J290" s="20"/>
      <c r="K290" s="45"/>
    </row>
    <row r="291">
      <c r="B291" s="54" t="s">
        <v>832</v>
      </c>
      <c r="C291" s="20"/>
      <c r="D291" s="20"/>
      <c r="E291" s="12">
        <v>244.948</v>
      </c>
      <c r="F291" s="20"/>
      <c r="G291" s="20"/>
      <c r="H291" s="20"/>
      <c r="I291" s="20"/>
      <c r="J291" s="20"/>
      <c r="K291" s="45"/>
    </row>
    <row r="292">
      <c r="B292" s="42" t="s">
        <v>467</v>
      </c>
      <c r="C292" s="20">
        <f>D290-D292</f>
        <v>77.38100000000001</v>
      </c>
      <c r="D292" s="12">
        <v>82.026</v>
      </c>
      <c r="E292" s="12">
        <v>85.541</v>
      </c>
      <c r="F292" s="20">
        <f>G292-E291</f>
        <v>87.268</v>
      </c>
      <c r="G292" s="12">
        <v>332.216</v>
      </c>
      <c r="H292" s="20"/>
      <c r="I292" s="20"/>
      <c r="J292" s="20"/>
      <c r="K292" s="45"/>
    </row>
    <row r="293">
      <c r="B293" s="65" t="s">
        <v>119</v>
      </c>
      <c r="C293" s="19">
        <f>C292/C300</f>
        <v>0.11380144566264444</v>
      </c>
      <c r="D293" s="19">
        <f>D292/D300</f>
        <v>0.11586427835903435</v>
      </c>
      <c r="E293" s="19">
        <f>E292/E300</f>
        <v>0.11803561449141375</v>
      </c>
      <c r="F293" s="19">
        <f>F292/F300</f>
        <v>0.11737315889921977</v>
      </c>
      <c r="G293" s="19">
        <f>G292/G300</f>
        <v>0.11631691576848097</v>
      </c>
      <c r="H293" s="19"/>
      <c r="I293" s="19"/>
      <c r="J293" s="19"/>
      <c r="K293" s="45"/>
    </row>
    <row r="294">
      <c r="B294" s="77" t="s">
        <v>462</v>
      </c>
      <c r="C294" s="60">
        <f>C272+C276</f>
        <v>311.03400000000005</v>
      </c>
      <c r="D294" s="60">
        <f>D272+D276</f>
        <v>323.429</v>
      </c>
      <c r="E294" s="60">
        <f>E272+E276</f>
        <v>330.20799999999997</v>
      </c>
      <c r="F294" s="60">
        <f>F272+F276</f>
        <v>333.277</v>
      </c>
      <c r="G294" s="60">
        <f>G272+G276</f>
        <v>1297.948</v>
      </c>
      <c r="H294" s="60"/>
      <c r="I294" s="60"/>
      <c r="J294" s="60"/>
      <c r="K294" s="45"/>
    </row>
    <row r="295">
      <c r="B295" s="65" t="s">
        <v>119</v>
      </c>
      <c r="C295" s="19">
        <f>C294/C300</f>
        <v>0.4574264851867377</v>
      </c>
      <c r="D295" s="19">
        <f>D294/D300</f>
        <v>0.4568535304096764</v>
      </c>
      <c r="E295" s="19">
        <f>E294/E300</f>
        <v>0.4556447106063847</v>
      </c>
      <c r="F295" s="19">
        <f>F294/F300</f>
        <v>0.44824877708272526</v>
      </c>
      <c r="G295" s="19">
        <f>G294/G300</f>
        <v>0.4544432182311157</v>
      </c>
      <c r="H295" s="19"/>
      <c r="I295" s="19"/>
      <c r="J295" s="19"/>
      <c r="K295" s="45"/>
    </row>
    <row r="296">
      <c r="B296" s="77" t="s">
        <v>465</v>
      </c>
      <c r="C296" s="60">
        <f>C280+C284</f>
        <v>264.977</v>
      </c>
      <c r="D296" s="60">
        <f>D280+D284</f>
        <v>273.523</v>
      </c>
      <c r="E296" s="60">
        <f>E280+E284</f>
        <v>280.123</v>
      </c>
      <c r="F296" s="60">
        <f>F280+F284</f>
        <v>293.18399999999997</v>
      </c>
      <c r="G296" s="60">
        <f>G280+G284</f>
        <v>1111.807</v>
      </c>
      <c r="H296" s="60"/>
      <c r="I296" s="60"/>
      <c r="J296" s="60"/>
      <c r="K296" s="45"/>
    </row>
    <row r="297">
      <c r="B297" s="65" t="s">
        <v>119</v>
      </c>
      <c r="C297" s="19">
        <f>C296/C300</f>
        <v>0.38969211650599667</v>
      </c>
      <c r="D297" s="19">
        <f>D296/D300</f>
        <v>0.3863597519030326</v>
      </c>
      <c r="E297" s="19">
        <f>E296/E300</f>
        <v>0.3865338310070995</v>
      </c>
      <c r="F297" s="19">
        <f>F296/F300</f>
        <v>0.39432474926329064</v>
      </c>
      <c r="G297" s="19">
        <f>G296/G300</f>
        <v>0.3892707189593744</v>
      </c>
      <c r="H297" s="19"/>
      <c r="I297" s="19"/>
      <c r="J297" s="19"/>
      <c r="K297" s="45"/>
    </row>
    <row r="298">
      <c r="B298" s="77" t="s">
        <v>468</v>
      </c>
      <c r="C298" s="60">
        <f>C288+C292</f>
        <v>103.95400000000001</v>
      </c>
      <c r="D298" s="60">
        <f>D288+D292</f>
        <v>110.997</v>
      </c>
      <c r="E298" s="60">
        <f>E288+E292</f>
        <v>114.374</v>
      </c>
      <c r="F298" s="60">
        <f>F288+F292</f>
        <v>117.048</v>
      </c>
      <c r="G298" s="60">
        <f>G288+G292</f>
        <v>446.373</v>
      </c>
      <c r="H298" s="60"/>
      <c r="I298" s="60"/>
      <c r="J298" s="60"/>
      <c r="K298" s="45"/>
    </row>
    <row r="299">
      <c r="B299" s="65" t="s">
        <v>119</v>
      </c>
      <c r="C299" s="19">
        <f>C298/C300</f>
        <v>0.15288139830726585</v>
      </c>
      <c r="D299" s="19">
        <f>D298/D300</f>
        <v>0.15678671768729105</v>
      </c>
      <c r="E299" s="19">
        <f>E298/E300</f>
        <v>0.1578214583865159</v>
      </c>
      <c r="F299" s="19">
        <f>F298/F300</f>
        <v>0.15742647365398402</v>
      </c>
      <c r="G299" s="19">
        <f>G298/G300</f>
        <v>0.15628606280950993</v>
      </c>
      <c r="H299" s="19"/>
      <c r="I299" s="19"/>
      <c r="J299" s="19"/>
      <c r="K299" s="45"/>
    </row>
    <row r="300">
      <c r="B300" s="77" t="s">
        <v>469</v>
      </c>
      <c r="C300" s="60">
        <f>C294+C296+C298</f>
        <v>679.9649999999999</v>
      </c>
      <c r="D300" s="60">
        <f>D294+D296+D298</f>
        <v>707.949</v>
      </c>
      <c r="E300" s="60">
        <f>E294+E296+E298</f>
        <v>724.7049999999999</v>
      </c>
      <c r="F300" s="60">
        <f>F294+F296+F298</f>
        <v>743.509</v>
      </c>
      <c r="G300" s="60">
        <f>G294+G296+G298</f>
        <v>2856.128</v>
      </c>
      <c r="H300" s="60"/>
      <c r="I300" s="60"/>
      <c r="J300" s="60"/>
      <c r="K300" s="45"/>
    </row>
  </sheetData>
</worksheet>
</file>