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Family of Apps" sheetId="3" r:id="rId4"/>
    <sheet name="Segment - Reality Labs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D30" authorId="0">
      <text>
        <t>Observation date (end of Q3 2026 averaging period), not a publication date. FRED release table was undated in the original run's web-search result (web_search/exa_web_search_b2138990.jsonl); no capture timestamp recorded. Used in narrative only (FoA I38); no numeric dependency.</t>
      </text>
    </comment>
  </commentList>
</comments>
</file>

<file path=xl/sharedStrings.xml><?xml version="1.0" encoding="utf-8"?>
<sst xmlns="http://schemas.openxmlformats.org/spreadsheetml/2006/main" count="1806" uniqueCount="930">
  <si>
    <t>Company Model — built by Shortcut</t>
  </si>
  <si>
    <t>Meta Platforms, Inc. (NasdaqGS: META)</t>
  </si>
  <si>
    <t>Cover — Company Model</t>
  </si>
  <si>
    <t>$ millions, except per share</t>
  </si>
  <si>
    <t>Period</t>
  </si>
  <si>
    <t>3Q25A</t>
  </si>
  <si>
    <t>4Q25A</t>
  </si>
  <si>
    <t>1Q26A</t>
  </si>
  <si>
    <t>2Q26A</t>
  </si>
  <si>
    <t>FY25A</t>
  </si>
  <si>
    <t>3Q26E</t>
  </si>
  <si>
    <t>Notes</t>
  </si>
  <si>
    <t>Period end</t>
  </si>
  <si>
    <t>Days in period</t>
  </si>
  <si>
    <t>Rows 5–7 are the workbook-standard period band; they do not label the columns of the table(s) below (see each table's own header row).</t>
  </si>
  <si>
    <t>Company</t>
  </si>
  <si>
    <t>Meta Platforms, Inc.</t>
  </si>
  <si>
    <t>Ticker / exchange</t>
  </si>
  <si>
    <t>META — Nasdaq Global Select Market (NasdaqGS: META)</t>
  </si>
  <si>
    <t>Fiscal year end</t>
  </si>
  <si>
    <t>December 31 (FQ3 2026 = quarter ended 2026-09-30; label is exact, not shorthand)</t>
  </si>
  <si>
    <t>Reporting currency</t>
  </si>
  <si>
    <t>USD; amounts in $ millions; EPS in USD per diluted common share (Class A + B)</t>
  </si>
  <si>
    <t>EPS basis</t>
  </si>
  <si>
    <t>Model normalized EPS: GAAP excl. ~$10bn 3Q26 accrual (assumed CapIQ treatment)</t>
  </si>
  <si>
    <t>Assumption, not proven equal to consensus basis: CapIQ history excluded 3Q25 OBBBA / 1Q26 CAMT tax items but kept 2Q26 legal/severance (6.18 = GAAP; IS I79)</t>
  </si>
  <si>
    <t>Information cutoff</t>
  </si>
  <si>
    <t>2026-10-18 21:34:46 UTC</t>
  </si>
  <si>
    <t>Expected report date</t>
  </si>
  <si>
    <t>2026-10-21 after close (issuer, S13); CapIQ snapshot listed 2026-10-28 (unconfirmed)</t>
  </si>
  <si>
    <t>3Q26E headline</t>
  </si>
  <si>
    <t>Estimate</t>
  </si>
  <si>
    <t>Consensus</t>
  </si>
  <si>
    <t>Variance</t>
  </si>
  <si>
    <t>Guidance mid</t>
  </si>
  <si>
    <t>Est − guide</t>
  </si>
  <si>
    <t>Revenue ($m)</t>
  </si>
  <si>
    <t>Revenue variance (%)</t>
  </si>
  <si>
    <t>Net income — normalized ($m)</t>
  </si>
  <si>
    <t>Consensus = CapIQ net income excl. exceptional items; guidance column = guidance-implied at revenue midpoint with model $ costs held fixed (fixed-cost basis; Meta does not guide NI)</t>
  </si>
  <si>
    <t>Net income variance (%)</t>
  </si>
  <si>
    <t>Normalized EPS ($) — scored</t>
  </si>
  <si>
    <t>Consensus = frozen CapIQ normalized mean (11 estimates, median 6.95, low 3.92); guidance column = fixed-cost basis (model $ costs at midpoint revenue), so G22 assumes 100% drop-through of the revenue gap</t>
  </si>
  <si>
    <t>Normalized EPS variance (%)</t>
  </si>
  <si>
    <t>Net income — GAAP ($m)</t>
  </si>
  <si>
    <t>GAAP diluted EPS ($)</t>
  </si>
  <si>
    <t>GAAP consensus (44 est.) mixes analysts with and without the accrual; guidance column = fixed-cost basis (Guidance H47)</t>
  </si>
  <si>
    <t>Cover links to statements (linkage only)</t>
  </si>
  <si>
    <t>Direct-link identity (C18/C20/C22/C25 = statement cells); cannot fail, so not validation evidence and excluded from C27</t>
  </si>
  <si>
    <t>Historical ties + 3Q26E BS articulation</t>
  </si>
  <si>
    <t>Genuine checks only: historical C:G ties (segments, EPS vs reported &amp; CapIQ, BS, CFO, cash, Geo) plus 3Q26E BS H41 roll-forward articulation. Forecast identities excluded (0 by construction): Cover links, IS H52, IS row 73, CF H64, Geo H45/H83</t>
  </si>
  <si>
    <t>P(beat consensus EPS)</t>
  </si>
  <si>
    <t>Confidence</t>
  </si>
  <si>
    <t>Newer consensus (not baseline)</t>
  </si>
  <si>
    <t>Zacks 2026-10-16: EPS $6.67, revenue $63.18bn (S19); Visible Alpha mixed-basis EPS $5.60 (S25)</t>
  </si>
  <si>
    <t>Key driver</t>
  </si>
  <si>
    <t>Ads = 3Q25 × (1+12.5% impressions) × (1+10.4% price); expenses ex-accrual 66.4% of revenue; tax 16%</t>
  </si>
  <si>
    <t>Key risk</t>
  </si>
  <si>
    <t>Unresolved (F1): CapIQ classification of the accrual cannot be verified before the report; EPS not adjusted, basis risk reflected only via P(beat) (Inputs C223)</t>
  </si>
  <si>
    <t>Revenue summary</t>
  </si>
  <si>
    <t>Revenue by segment</t>
  </si>
  <si>
    <t>Family of Apps revenue</t>
  </si>
  <si>
    <t>Linked from Segment - Family of Apps</t>
  </si>
  <si>
    <t>FoA — % Y/Y</t>
  </si>
  <si>
    <t>FoA — % Q/Q</t>
  </si>
  <si>
    <t>n/a</t>
  </si>
  <si>
    <t>FoA — % of total revenue</t>
  </si>
  <si>
    <t>FoA — FX impact (%)</t>
  </si>
  <si>
    <t>n/d</t>
  </si>
  <si>
    <t>Issuer discloses FX for total and advertising only</t>
  </si>
  <si>
    <t>FoA — M&amp;A / scope (%)</t>
  </si>
  <si>
    <t>FoA — organic growth (%)</t>
  </si>
  <si>
    <t>n/a: M&amp;A/FX not disclosed for FoA</t>
  </si>
  <si>
    <t>Advertising</t>
  </si>
  <si>
    <t>Advertising — % Y/Y</t>
  </si>
  <si>
    <t>Advertising — % Q/Q</t>
  </si>
  <si>
    <t>Advertising — % of total revenue</t>
  </si>
  <si>
    <t>Advertising — FX impact on Y/Y growth (pts)</t>
  </si>
  <si>
    <t>Linked from FoA row 38: (reported − constant-currency ads) ÷ year-ago advertising revenue (Inputs row 125) in C:G; 3Q26E = guided ~1pt headwind; same growth-point basis throughout</t>
  </si>
  <si>
    <t>Advertising — M&amp;A / scope (%)</t>
  </si>
  <si>
    <t>Advertising — organic growth (%)</t>
  </si>
  <si>
    <t>n/a: M&amp;A not disclosed; constant-currency growth on FoA tab</t>
  </si>
  <si>
    <t>Other revenue</t>
  </si>
  <si>
    <t>Other revenue — % Y/Y</t>
  </si>
  <si>
    <t>Other revenue — % Q/Q</t>
  </si>
  <si>
    <t>Other revenue — % of total</t>
  </si>
  <si>
    <t>Other revenue — FX impact (%)</t>
  </si>
  <si>
    <t>Other revenue — M&amp;A / scope (%)</t>
  </si>
  <si>
    <t>Other revenue — organic (%)</t>
  </si>
  <si>
    <t>Reality Labs revenue</t>
  </si>
  <si>
    <t>Linked from Segment - Reality Labs</t>
  </si>
  <si>
    <t>RL — % Y/Y</t>
  </si>
  <si>
    <t>RL — % Q/Q</t>
  </si>
  <si>
    <t>RL — % of total revenue</t>
  </si>
  <si>
    <t>RL — FX impact (%)</t>
  </si>
  <si>
    <t>RL — M&amp;A / scope (%)</t>
  </si>
  <si>
    <t>RL — organic growth (%)</t>
  </si>
  <si>
    <t>Total revenue</t>
  </si>
  <si>
    <t>Memo: total revenue as reported</t>
  </si>
  <si>
    <t>S6,S5,S4,S3; FY S5</t>
  </si>
  <si>
    <t>Check: segments − reported total</t>
  </si>
  <si>
    <t>Total revenue — % Y/Y</t>
  </si>
  <si>
    <t>Total revenue — % Q/Q</t>
  </si>
  <si>
    <t>Total revenue — change Q/Q ($m)</t>
  </si>
  <si>
    <t>FX adj. to constant currency ($m)</t>
  </si>
  <si>
    <t>S6,S5,S4,S3; FY = 9M + 4Q = +418 (ties to S5)</t>
  </si>
  <si>
    <t>Revenue ex-FX (constant currency)</t>
  </si>
  <si>
    <t>Total revenue — FX impact on Y/Y growth (pts)</t>
  </si>
  <si>
    <t>Growth points throughout: C:G = (reported − constant-currency revenue) ÷ year-ago revenue (Inputs row 124; S3–S6 FX tables); 3Q26E = issuer guide ~1pt headwind (S3), linked from Guidance. Diagnostic only; revenue unchanged</t>
  </si>
  <si>
    <t>Total revenue — M&amp;A / scope (%)</t>
  </si>
  <si>
    <t>Not disclosed; not set to zero</t>
  </si>
  <si>
    <t>Total — organic growth (%)</t>
  </si>
  <si>
    <t>Organic = Y/Y − M&amp;A pts − FX pts (additive, matching growth-point FX); returns n/a: M&amp;A not disclosed</t>
  </si>
  <si>
    <t>Total — const.-ccy growth (%)</t>
  </si>
  <si>
    <t>Guidance cross-check (3Q26)</t>
  </si>
  <si>
    <t>Revenue guidance — low</t>
  </si>
  <si>
    <t>Revenue guidance — high</t>
  </si>
  <si>
    <t>Revenue guidance — midpoint</t>
  </si>
  <si>
    <t>Estimate vs guidance midpoint (%)</t>
  </si>
  <si>
    <t>Geography: more than one geography is disclosed — see Geo tab (revenue by user geography).</t>
  </si>
  <si>
    <t>Segment - Family of Apps (FoA)</t>
  </si>
  <si>
    <t>Users — Family daily active people (DAP, billions; monthly average for last month of period)</t>
  </si>
  <si>
    <t>DAP — opening (prior period close)</t>
  </si>
  <si>
    <t>Opening = prior close (S7)</t>
  </si>
  <si>
    <t>Gross additions</t>
  </si>
  <si>
    <t>Not disclosed by Meta (S3,S7)</t>
  </si>
  <si>
    <t>Churn / deactivations</t>
  </si>
  <si>
    <t>Net additions</t>
  </si>
  <si>
    <t>DAP — closing</t>
  </si>
  <si>
    <t>S6,S5,S4,S3; 3Q26E assumption +0.02bn (Iran/Russia disruptions largely lapped)</t>
  </si>
  <si>
    <t>DAP — average (ARPP basis)</t>
  </si>
  <si>
    <t>Closing DAP — % Y/Y</t>
  </si>
  <si>
    <t>Closing DAP — change Q/Q (bn)</t>
  </si>
  <si>
    <t>Family ARPP ($ per average DAP)</t>
  </si>
  <si>
    <t>ARPP = FoA revenue / average DAP (S7 definition); FY not meaningful on this basis</t>
  </si>
  <si>
    <t>ARPP — % Y/Y</t>
  </si>
  <si>
    <t>ARPP — change Q/Q ($)</t>
  </si>
  <si>
    <t>Memo: ARPP as reported ($)</t>
  </si>
  <si>
    <t>S7</t>
  </si>
  <si>
    <t>Advertising drivers (issuer-reported Y/Y rates)</t>
  </si>
  <si>
    <t>Ad impressions delivered — % Y/Y</t>
  </si>
  <si>
    <t>S6,S5,S4,S3; 3Q26E assumption: decel vs 14% on tougher comp (3Q25 +14%)</t>
  </si>
  <si>
    <t>Impressions growth — change (bps)</t>
  </si>
  <si>
    <t>Quarterly: vs prior quarter; FY: vs FY24</t>
  </si>
  <si>
    <t>Average price per ad — % Y/Y</t>
  </si>
  <si>
    <t>S6,S5,S4,S3; 3Q26E assumption: FX swings from tailwind to ~1pt headwind (S3)</t>
  </si>
  <si>
    <t>Price growth — change (bps)</t>
  </si>
  <si>
    <t>Implied ad growth (imp × price)</t>
  </si>
  <si>
    <t>Reported − implied ad growth</t>
  </si>
  <si>
    <t>Revenue build</t>
  </si>
  <si>
    <t>Advertising revenue</t>
  </si>
  <si>
    <t>S6,S5,S4,S3; 3Q26E = 3Q25 × (1+impressions) × (1+price)</t>
  </si>
  <si>
    <t>Advertising — change Q/Q ($m)</t>
  </si>
  <si>
    <t>S6,S5,S4,S3 (negative = FX tailwind removed); FY derived = 9M + 4Q = +422 vs reported FY +420 (S5; quarterly rounding, immaterial)</t>
  </si>
  <si>
    <t>Advertising ex-FX</t>
  </si>
  <si>
    <t>FX impact on Y/Y growth (pts)</t>
  </si>
  <si>
    <t>Growth points throughout: C:G = (reported − ex-FX ads) ÷ year-ago ads (Inputs row 125; S3–S6); 3Q26E = issuer guide ~1pt FX headwind to total-revenue Y/Y (S3) applied to ads (cc growth = Y/Y − H38), linked from Guidance; Q3 avg EUR per USD 0.869 vs 0.860 in 2Q (S21)</t>
  </si>
  <si>
    <t>M&amp;A / scope impact (%)</t>
  </si>
  <si>
    <t>Organic growth (%)</t>
  </si>
  <si>
    <t>Organic = Y/Y − M&amp;A pts − FX pts (additive, matching growth-point FX); returns n/a because M&amp;A impact is not disclosed</t>
  </si>
  <si>
    <t>Constant-currency growth (%)</t>
  </si>
  <si>
    <t>S6,S5,S4,S3</t>
  </si>
  <si>
    <t>3Q26E assumption 65% (2Q26 +73%, 1Q26 +74%; S8)</t>
  </si>
  <si>
    <t>Other revenue — change Q/Q ($m)</t>
  </si>
  <si>
    <t>Not disclosed for this line</t>
  </si>
  <si>
    <t>Not disclosed</t>
  </si>
  <si>
    <t>n/a: FX and M&amp;A not disclosed</t>
  </si>
  <si>
    <t>Memo: FoA revenue as reported</t>
  </si>
  <si>
    <t>S6,S5,S4,S3,S5 (FY)</t>
  </si>
  <si>
    <t>Check: build − reported (0 = OK)</t>
  </si>
  <si>
    <t>FoA revenue — % Y/Y</t>
  </si>
  <si>
    <t>FoA revenue — % Q/Q</t>
  </si>
  <si>
    <t>FoA revenue — change Q/Q ($m)</t>
  </si>
  <si>
    <t>Ad mix (% of FoA revenue)</t>
  </si>
  <si>
    <t>Ad mix — change Y/Y (bps)</t>
  </si>
  <si>
    <t>Segment profitability</t>
  </si>
  <si>
    <t>FoA income from operations</t>
  </si>
  <si>
    <t>S6,S5,S7 (1Q26 FoA 26,900 / RL −4,028),S3; 3Q26E = consolidated EBIT − RL</t>
  </si>
  <si>
    <t>FoA op. income — % Y/Y</t>
  </si>
  <si>
    <t>FoA op. income — chg Q/Q ($m)</t>
  </si>
  <si>
    <t>FoA operating margin</t>
  </si>
  <si>
    <t>FoA op. margin — chg Y/Y (bps)</t>
  </si>
  <si>
    <t>FoA op. margin — chg Q/Q (bps)</t>
  </si>
  <si>
    <t>FoA costs &amp; expenses (derived)</t>
  </si>
  <si>
    <t>of which: disclosed legal charges</t>
  </si>
  <si>
    <t>Assumed booked in FoA (youth-safety litigation relates to FoA apps)</t>
  </si>
  <si>
    <t>FoA op. income excl. legal charges</t>
  </si>
  <si>
    <t>FoA op. margin excl. legal charges</t>
  </si>
  <si>
    <t>Margin ex-legal — chg Q/Q (bps)</t>
  </si>
  <si>
    <t>3Q25 Q/Q vs 2Q25 reported FoA margin (Inputs F129/F127); 2Q25 legal n/d, treated as none (same N() convention as row 67)</t>
  </si>
  <si>
    <t>Segment - Reality Labs (RL)</t>
  </si>
  <si>
    <t>Unit drivers</t>
  </si>
  <si>
    <t>Quest headset units shipped</t>
  </si>
  <si>
    <t>Not disclosed (S3,S7,S8)</t>
  </si>
  <si>
    <t>AI glasses units sold</t>
  </si>
  <si>
    <t>Not disclosed; 2Q26 call: glasses revenue grew strongly (S8)</t>
  </si>
  <si>
    <t>Average selling price ($)</t>
  </si>
  <si>
    <t>Revenue</t>
  </si>
  <si>
    <t>RL revenue — % Y/Y</t>
  </si>
  <si>
    <t>3Q26E assumption +10%: new Meta Glasses line + Connect (Sep 23) launches vs 3Q25 retailer Quest stocking (S6,S8)</t>
  </si>
  <si>
    <t>RL revenue — % Q/Q</t>
  </si>
  <si>
    <t>RL revenue — change Q/Q ($m)</t>
  </si>
  <si>
    <t>FX impact (%)</t>
  </si>
  <si>
    <t>Not disclosed for RL</t>
  </si>
  <si>
    <t>RL revenue — % of total revenue</t>
  </si>
  <si>
    <t>Profitability</t>
  </si>
  <si>
    <t>RL income (loss) from operations</t>
  </si>
  <si>
    <t>S6,S5,S4,S3; 3Q26E assumption −4,700 (FY26 RL loss guided similar to FY25 −19.2bn; S5)</t>
  </si>
  <si>
    <t>RL op. loss — % Y/Y (+ = loss widening)</t>
  </si>
  <si>
    <t>RL op. loss — chg Q/Q ($m)</t>
  </si>
  <si>
    <t>RL costs &amp; expenses (derived)</t>
  </si>
  <si>
    <t>RL costs — % Y/Y</t>
  </si>
  <si>
    <t>RL operating margin</t>
  </si>
  <si>
    <t>RL op. margin — chg Y/Y (bps) — memo, n/m</t>
  </si>
  <si>
    <t>Not meaningful: margins of −630% to −1,072% on a small revenue base; arithmetic kept for traceability only</t>
  </si>
  <si>
    <t>Income Statement</t>
  </si>
  <si>
    <t>Linked from Revenue summary</t>
  </si>
  <si>
    <t>Revenue — % Y/Y</t>
  </si>
  <si>
    <t>Cost of revenue</t>
  </si>
  <si>
    <t>Cost of revenue — % of revenue</t>
  </si>
  <si>
    <t>3Q26E assumption 19.7% (2Q26 18.6%): depreciation on 2Q26 $31bn capex, cloud and Muse inference (S3,S24)</t>
  </si>
  <si>
    <t>Cost of revenue — % Y/Y</t>
  </si>
  <si>
    <t>CoR — change Q/Q ($m)</t>
  </si>
  <si>
    <t>CoR % — change Y/Y (bps)</t>
  </si>
  <si>
    <t>Gross profit (derived)</t>
  </si>
  <si>
    <t>Gross margin (derived)</t>
  </si>
  <si>
    <t>Gross margin — change Y/Y (bps)</t>
  </si>
  <si>
    <t>Research &amp; development</t>
  </si>
  <si>
    <t>R&amp;D — % of revenue</t>
  </si>
  <si>
    <t>3Q26E assumption 35.3%: AI talent, SBC and infrastructure, partly offset by May-26 headcount reduction (S8)</t>
  </si>
  <si>
    <t>R&amp;D — % Y/Y</t>
  </si>
  <si>
    <t>R&amp;D — change Q/Q ($m)</t>
  </si>
  <si>
    <t>R&amp;D % — change Y/Y (bps)</t>
  </si>
  <si>
    <t>Marketing &amp; sales</t>
  </si>
  <si>
    <t>M&amp;S — % of revenue</t>
  </si>
  <si>
    <t>3Q26E assumption 5.55% (Muse launch, Connect)</t>
  </si>
  <si>
    <t>M&amp;S — % Y/Y</t>
  </si>
  <si>
    <t>M&amp;S — change Q/Q ($m)</t>
  </si>
  <si>
    <t>M&amp;S % — change Y/Y (bps)</t>
  </si>
  <si>
    <t>G&amp;A excl. disclosed legal charges</t>
  </si>
  <si>
    <t>G&amp;A ex-legal — % Y/Y</t>
  </si>
  <si>
    <t>Year-ago G&amp;A as reported (no separately disclosed legal items)</t>
  </si>
  <si>
    <t>G&amp;A ex-legal — change Q/Q ($m)</t>
  </si>
  <si>
    <t>G&amp;A ex-legal — % of revenue</t>
  </si>
  <si>
    <t>3Q26E assumption 5.85%: includes ordinary legal accruals (e.g. New Mexico $567m order, S22)</t>
  </si>
  <si>
    <t>G&amp;A ex-legal % — chg Y/Y (bps)</t>
  </si>
  <si>
    <t>G&amp;A ex-legal % — chg Q/Q (bps)</t>
  </si>
  <si>
    <t>Disclosed legal charges (in G&amp;A)</t>
  </si>
  <si>
    <t>2Q26 $2.40bn (S3); 3Q26E ~$10bn accrual for Aug-26 multistate youth-safety settlement (S14,S16)</t>
  </si>
  <si>
    <t>G&amp;A (as reported)</t>
  </si>
  <si>
    <t>G&amp;A — % Y/Y</t>
  </si>
  <si>
    <t>G&amp;A — change Q/Q ($m)</t>
  </si>
  <si>
    <t>Memo: severance (disclosed)</t>
  </si>
  <si>
    <t>2Q26 $1.18bn May-26 headcount reduction (S3)</t>
  </si>
  <si>
    <t>Total costs &amp; expenses</t>
  </si>
  <si>
    <t>Total costs — % Y/Y</t>
  </si>
  <si>
    <t>Memo: total costs ex-legal</t>
  </si>
  <si>
    <t>Income from operations</t>
  </si>
  <si>
    <t>Op. income — % Y/Y</t>
  </si>
  <si>
    <t>Op. income — change Q/Q ($m)</t>
  </si>
  <si>
    <t>Operating margin</t>
  </si>
  <si>
    <t>Op. margin — chg Y/Y (bps)</t>
  </si>
  <si>
    <t>Op. margin — chg Q/Q (bps)</t>
  </si>
  <si>
    <t>Memo: op. income ex-legal</t>
  </si>
  <si>
    <t>Memo: op. margin ex-legal</t>
  </si>
  <si>
    <t>Check: segments − EBIT</t>
  </si>
  <si>
    <t>3Q26E (H52) is 0 by construction: FoA EBIT is derived as consolidated EBIT − RL; historical C:G are genuine ties</t>
  </si>
  <si>
    <t>Interest &amp; other income, net</t>
  </si>
  <si>
    <t>S6,S5,S4,S3; 3Q26E assumption −150: full quarter of May-26 $25bn notes vs ~$90bn cash (S3)</t>
  </si>
  <si>
    <t>Other income — change Y/Y ($m)</t>
  </si>
  <si>
    <t>$ change shown; % growth not meaningful on a near-zero/negative base</t>
  </si>
  <si>
    <t>Other income — change Q/Q ($m)</t>
  </si>
  <si>
    <t>Income before income taxes</t>
  </si>
  <si>
    <t>Provision for income taxes</t>
  </si>
  <si>
    <t>Effective tax rate</t>
  </si>
  <si>
    <t>3Q26E = midpoint of 15-17% guide (S3), linked from Guidance; settlement accrual assumed tax-effected at same rate</t>
  </si>
  <si>
    <t>Tax rate — change Q/Q (bps)</t>
  </si>
  <si>
    <t>3Q25 vs 2Q25 rate derived from Inputs: 1 − NI F137 ÷ (op. income F136 + interest &amp; other F141)</t>
  </si>
  <si>
    <t>Net income (GAAP)</t>
  </si>
  <si>
    <t>Net income — % Y/Y</t>
  </si>
  <si>
    <t>Net income — change Q/Q ($m)</t>
  </si>
  <si>
    <t>Net margin</t>
  </si>
  <si>
    <t>Net margin — change Y/Y (bps)</t>
  </si>
  <si>
    <t>Net margin — chg Q/Q (bps)</t>
  </si>
  <si>
    <t>Basic weighted shares (m)</t>
  </si>
  <si>
    <t>Diluted weighted shares (m)</t>
  </si>
  <si>
    <t>Basic EPS (GAAP)</t>
  </si>
  <si>
    <t>Diluted EPS (GAAP)</t>
  </si>
  <si>
    <t>Diluted EPS (GAAP) — % Y/Y</t>
  </si>
  <si>
    <t>Memo: diluted EPS as reported</t>
  </si>
  <si>
    <t>Check: EPS vs reported (TRUE)</t>
  </si>
  <si>
    <t>Check: EPS − NI / diluted shares</t>
  </si>
  <si>
    <t>Identity in every column (row 69 = row 60 / row 67); arithmetic check only, not a validation test</t>
  </si>
  <si>
    <t>GAAP to normalized bridge (model basis: excl. settlement accrual = assumed CapIQ treatment, not proven consensus basis)</t>
  </si>
  <si>
    <t>GAAP net income</t>
  </si>
  <si>
    <t>+ OBBBA one-time tax charge</t>
  </si>
  <si>
    <t>S6: $15.93bn non-cash charge; FY = 3Q + 4Q (no 1H25 item)</t>
  </si>
  <si>
    <t>− CAMT transitional tax benefit</t>
  </si>
  <si>
    <t>S4: $8.03bn benefit</t>
  </si>
  <si>
    <t>+ Settlement accrual (pre-tax)</t>
  </si>
  <si>
    <t>2Q26 $2.40bn legal and $1.18bn severance were NOT excluded in CapIQ normalized actual (6.18 = GAAP; S2)</t>
  </si>
  <si>
    <t>− Tax effect of settlement accrual</t>
  </si>
  <si>
    <t>Unverified assumption: accrual deductible at 16%. If non-deductible, GAAP NI −1,600 (GAAP EPS ≈ $3.07 vs $3.69); normalized EPS unchanged</t>
  </si>
  <si>
    <t>Normalized net income</t>
  </si>
  <si>
    <t>Normalized diluted EPS</t>
  </si>
  <si>
    <t>Normalized diluted EPS — % Y/Y</t>
  </si>
  <si>
    <t>Y/Y base = GAAP diluted EPS (Inputs row 138). 1Q25/2Q25 CapIQ normalized = GAAP (S2); 3Q24, 4Q24, FY24 normalized not in S2, so C83, D83, G83 assume normalized = GAAP (unverified)</t>
  </si>
  <si>
    <t>CapIQ normalized EPS actual</t>
  </si>
  <si>
    <t>S2</t>
  </si>
  <si>
    <t>Check: vs CapIQ actual (TRUE)</t>
  </si>
  <si>
    <t>CapIQ normalized consensus</t>
  </si>
  <si>
    <t>S2 history; 3Q26 S1</t>
  </si>
  <si>
    <t>Surprise vs consensus ($/sh)</t>
  </si>
  <si>
    <t>Memo: charges kept in CapIQ basis</t>
  </si>
  <si>
    <t>2Q26 legal 2,400 + severance 1,180</t>
  </si>
  <si>
    <t>Memo items</t>
  </si>
  <si>
    <t>Depreciation &amp; amortization</t>
  </si>
  <si>
    <t>Share-based compensation</t>
  </si>
  <si>
    <t>SBC — % of revenue</t>
  </si>
  <si>
    <t>SBC % — change Q/Q (bps)</t>
  </si>
  <si>
    <t>EBITDA</t>
  </si>
  <si>
    <t>Not issuer-defined; Meta does not report EBITDA (not relabelled from EBIT)</t>
  </si>
  <si>
    <t>Balance Sheet</t>
  </si>
  <si>
    <t>Assets</t>
  </si>
  <si>
    <t>Cash and cash equivalents</t>
  </si>
  <si>
    <t>S6,S5,S4,S3; 3Q26E = CF ending cash − restricted cash</t>
  </si>
  <si>
    <t>Marketable securities</t>
  </si>
  <si>
    <t>Accounts receivable, net</t>
  </si>
  <si>
    <t>Days sales outstanding (days)</t>
  </si>
  <si>
    <t>3Q26E assumption 31.5 days (3Q25 31.1, 2Q26 32.6)</t>
  </si>
  <si>
    <t>DSO — change Y/Y (days)</t>
  </si>
  <si>
    <t>Year-ago AR available only at Dec-24 (S5); Sep-24/Mar-25/Jun-25 balances not in sources. FY24 comparative uses FY24 day count (366, leap year) from G6</t>
  </si>
  <si>
    <t>DSO — change Q/Q (days)</t>
  </si>
  <si>
    <t>3Q25 n/d: Jun-25 AR balance not in sources (see I14)</t>
  </si>
  <si>
    <t>Prepaid &amp; other current assets</t>
  </si>
  <si>
    <t>Total current assets</t>
  </si>
  <si>
    <t>Non-marketable equity investments</t>
  </si>
  <si>
    <t>Property and equipment, net</t>
  </si>
  <si>
    <t>Operating lease ROU assets</t>
  </si>
  <si>
    <t>3Q26E held flat</t>
  </si>
  <si>
    <t>Goodwill</t>
  </si>
  <si>
    <t>Other assets</t>
  </si>
  <si>
    <t>Total assets</t>
  </si>
  <si>
    <t>Liabilities and stockholders' equity</t>
  </si>
  <si>
    <t>Accounts payable</t>
  </si>
  <si>
    <t>Operating lease liab., current</t>
  </si>
  <si>
    <t>Accrued &amp; other current liab.</t>
  </si>
  <si>
    <t>3Q26E includes current portion of settlement accrual; finance-lease principal paid down here</t>
  </si>
  <si>
    <t>Total current liabilities</t>
  </si>
  <si>
    <t>Operating lease liab., non-current</t>
  </si>
  <si>
    <t>Long-term debt</t>
  </si>
  <si>
    <t>No 3Q26 issuance found; euro debut flagged for autumn (S23)</t>
  </si>
  <si>
    <t>Long-term income taxes</t>
  </si>
  <si>
    <t>Other liabilities</t>
  </si>
  <si>
    <t>3Q26E includes non-current portion of settlement accrual</t>
  </si>
  <si>
    <t>Total liabilities</t>
  </si>
  <si>
    <t>Common stock &amp; APIC</t>
  </si>
  <si>
    <t>Repurchases (CF H48, 0 in 3Q26E) and share-settlement taxes are routed to APIC; issuer may allocate repurchases partly to retained earnings — classification caveat, total equity unaffected</t>
  </si>
  <si>
    <t>Accumulated OCI (loss)</t>
  </si>
  <si>
    <t>Retained earnings</t>
  </si>
  <si>
    <t>Total stockholders' equity</t>
  </si>
  <si>
    <t>Total liabilities &amp; equity</t>
  </si>
  <si>
    <t>Memo: total assets as reported</t>
  </si>
  <si>
    <t>Check: assets − liab. − equity</t>
  </si>
  <si>
    <t>3Q26E H41 tests articulation of the CF-mapped roll-forward (not an independent forecast check). CF H17:H19 are not mapped to BS lines: simplified roll-forward valid only while they are 0; a non-zero input would show here</t>
  </si>
  <si>
    <t>Check: total assets − reported</t>
  </si>
  <si>
    <t>Balance sheet metrics</t>
  </si>
  <si>
    <t>Net cash (cash + securities − debt)</t>
  </si>
  <si>
    <t>Long-term debt / equity</t>
  </si>
  <si>
    <t>Cash Flow Statement</t>
  </si>
  <si>
    <t>Operating activities</t>
  </si>
  <si>
    <t>Net income</t>
  </si>
  <si>
    <t>Linked from Income Statement</t>
  </si>
  <si>
    <t>Depreciation and amortization</t>
  </si>
  <si>
    <t>S6,S5,S4,S3; 3Q26E 7,300 (2Q26 capex $31bn ramping into service)</t>
  </si>
  <si>
    <t>D&amp;A — % Y/Y</t>
  </si>
  <si>
    <t>D&amp;A — chg Q/Q ($m)</t>
  </si>
  <si>
    <t>3Q26E 7,000 (2Q26 included severance-related acceleration)</t>
  </si>
  <si>
    <t>SBC — % Y/Y</t>
  </si>
  <si>
    <t>SBC — chg Q/Q ($m)</t>
  </si>
  <si>
    <t>Deferred income taxes</t>
  </si>
  <si>
    <t>3Q26E 0 (assumption); not mapped to a BS line — BS roll-forward valid only while 0 (see BS I41). Unresolved: cash vs deferred timing of the 1,600 accrual tax benefit is source-limited (if deductible only when paid, CFO/FCF ≈1,600 lower; EPS unchanged)</t>
  </si>
  <si>
    <t>Unrealized (gain) loss, equity</t>
  </si>
  <si>
    <t>FY reported −1,138 (S5) vs 9M+4Q −1,044: reclass with Other; combined ties within 1. 3Q26E 0, unmapped to BS (valid while 0)</t>
  </si>
  <si>
    <t>Other</t>
  </si>
  <si>
    <t>FY reported −416 (S5) vs 9M+4Q −509 (reclass). 3Q26E 0, unmapped to BS (valid while 0)</t>
  </si>
  <si>
    <t>Change in accounts receivable</t>
  </si>
  <si>
    <t>Change in prepaid &amp; other</t>
  </si>
  <si>
    <t>Change in other assets</t>
  </si>
  <si>
    <t>Change in accounts payable</t>
  </si>
  <si>
    <t>Change in accrued &amp; other</t>
  </si>
  <si>
    <t>3Q26E: current portion of settlement accrual (non-cash in 3Q)</t>
  </si>
  <si>
    <t>Change in other liabilities</t>
  </si>
  <si>
    <t>3Q26E: non-current remainder of settlement accrual</t>
  </si>
  <si>
    <t>Cash from operations</t>
  </si>
  <si>
    <t>Memo: accrual — current share (%)</t>
  </si>
  <si>
    <t>Assumption: one of 10 annual installments of $12.7bn fixed amount (~$1.27bn) is current (S15)</t>
  </si>
  <si>
    <t>Memo: CFO as reported</t>
  </si>
  <si>
    <t>Check: CFO − reported (0 = OK)</t>
  </si>
  <si>
    <t>Investing activities</t>
  </si>
  <si>
    <t>Purchases of P&amp;E</t>
  </si>
  <si>
    <t>3Q26E −37,000: FY26 capex incl. finance leases guided $130-145bn; 1H26 $50.9bn (S3)</t>
  </si>
  <si>
    <t>Purchases of P&amp;E — % Y/Y</t>
  </si>
  <si>
    <t>Purchases of P&amp;E — chg Q/Q ($m)</t>
  </si>
  <si>
    <t>Purchases of marketable securities</t>
  </si>
  <si>
    <t>Sales &amp; maturities of securities</t>
  </si>
  <si>
    <t>3Q26E assumption: net liquidation to fund capex</t>
  </si>
  <si>
    <t>Securities sales — % Y/Y</t>
  </si>
  <si>
    <t>Securities sales — chg Q/Q ($m)</t>
  </si>
  <si>
    <t>Purchases of non-marketable equity</t>
  </si>
  <si>
    <t>Payments for held-for-sale assets</t>
  </si>
  <si>
    <t>Proceeds from Venture distribution</t>
  </si>
  <si>
    <t>Acquisitions &amp; intangibles</t>
  </si>
  <si>
    <t>Other investing activities</t>
  </si>
  <si>
    <t>Cash from investing</t>
  </si>
  <si>
    <t>Financing activities</t>
  </si>
  <si>
    <t>Taxes paid on net share settlement</t>
  </si>
  <si>
    <t>Settlement taxes — % Y/Y</t>
  </si>
  <si>
    <t>Settlement taxes — chg Q/Q ($m)</t>
  </si>
  <si>
    <t>Repurchases of Class A stock</t>
  </si>
  <si>
    <t>No repurchases since 3Q25 (S3,S4,S5)</t>
  </si>
  <si>
    <t>Dividends &amp; dividend equivalents</t>
  </si>
  <si>
    <t>Dividends — % Y/Y</t>
  </si>
  <si>
    <t>Dividends — chg Q/Q ($m)</t>
  </si>
  <si>
    <t>Proceeds from long-term debt, net</t>
  </si>
  <si>
    <t>Finance lease principal paid</t>
  </si>
  <si>
    <t>Finance lease pmts — % Y/Y</t>
  </si>
  <si>
    <t>Finance lease pmts — chg Q/Q ($m)</t>
  </si>
  <si>
    <t>Other financing activities</t>
  </si>
  <si>
    <t>Cash from financing</t>
  </si>
  <si>
    <t>FX effect on cash</t>
  </si>
  <si>
    <t>Net change in cash</t>
  </si>
  <si>
    <t>Cash &amp; restricted cash — beginning</t>
  </si>
  <si>
    <t>Cash &amp; restricted cash — end</t>
  </si>
  <si>
    <t>Restricted cash in prepaid &amp; other</t>
  </si>
  <si>
    <t>S6,S5,S4,S3; 3Q26E flat</t>
  </si>
  <si>
    <t>Restricted cash in other assets</t>
  </si>
  <si>
    <t>Check: CF cash − BS cash</t>
  </si>
  <si>
    <t>3Q26E (H64) is 0 by construction: BS cash H10 is derived from CF H61 less restricted cash; historical C:G are genuine ties</t>
  </si>
  <si>
    <t>Free cash flow (issuer definition) and capex</t>
  </si>
  <si>
    <t>Capex incl. finance lease principal</t>
  </si>
  <si>
    <t>Free cash flow (issuer def.)</t>
  </si>
  <si>
    <t>Memo: free cash flow as reported</t>
  </si>
  <si>
    <t>FCF margin</t>
  </si>
  <si>
    <t>FCF margin — change Q/Q (bps)</t>
  </si>
  <si>
    <t>3Q25 n/d: 2Q25 CFO not in sources (Inputs), so 2Q25 FCF margin unavailable</t>
  </si>
  <si>
    <t>Cash paid for income taxes, net</t>
  </si>
  <si>
    <t>S6,S5,S4,S3; not forecast</t>
  </si>
  <si>
    <t>Revenue by user geography</t>
  </si>
  <si>
    <t>Total revenue by user geography</t>
  </si>
  <si>
    <t>US &amp; Canada</t>
  </si>
  <si>
    <t>S7; FY25 = 1Q25+2Q25 (Inputs) + 3Q25 + 4Q25</t>
  </si>
  <si>
    <t>US &amp; Canada — % Y/Y</t>
  </si>
  <si>
    <t>3Q26E assumption (2Q26: US&amp;C +31.6%, EU +24.0%, APAC +19.2%, RoW +36.5%; S7)</t>
  </si>
  <si>
    <t>US &amp; Canada — % Q/Q</t>
  </si>
  <si>
    <t>US &amp; Canada — % of total</t>
  </si>
  <si>
    <t>US &amp; Canada — change Q/Q ($m)</t>
  </si>
  <si>
    <t>US &amp; Canada — FX impact (%)</t>
  </si>
  <si>
    <t>Not disclosed by region</t>
  </si>
  <si>
    <t>US &amp; Canada — M&amp;A / scope (%)</t>
  </si>
  <si>
    <t>US &amp; Canada — organic (%)</t>
  </si>
  <si>
    <t>Europe</t>
  </si>
  <si>
    <t>Europe — % Y/Y</t>
  </si>
  <si>
    <t>Europe — % Q/Q</t>
  </si>
  <si>
    <t>Europe — % of total</t>
  </si>
  <si>
    <t>Europe — change Q/Q ($m)</t>
  </si>
  <si>
    <t>Europe — FX impact (%)</t>
  </si>
  <si>
    <t>Europe — M&amp;A / scope (%)</t>
  </si>
  <si>
    <t>Europe — organic (%)</t>
  </si>
  <si>
    <t>Asia-Pacific</t>
  </si>
  <si>
    <t>Asia-Pacific — % Y/Y</t>
  </si>
  <si>
    <t>Asia-Pacific — % Q/Q</t>
  </si>
  <si>
    <t>Asia-Pacific — % of total</t>
  </si>
  <si>
    <t>Asia-Pacific — change Q/Q ($m)</t>
  </si>
  <si>
    <t>Asia-Pacific — FX impact (%)</t>
  </si>
  <si>
    <t>Asia-Pacific — M&amp;A / scope (%)</t>
  </si>
  <si>
    <t>Asia-Pacific — organic (%)</t>
  </si>
  <si>
    <t>Rest of World</t>
  </si>
  <si>
    <t>S7; FY25 = 1Q25+2Q25 (Inputs) + 3Q25 + 4Q25; 3Q26E = total − other regions (plug)</t>
  </si>
  <si>
    <t>Rest of World — % Y/Y</t>
  </si>
  <si>
    <t>FY24 by user geography not in sources</t>
  </si>
  <si>
    <t>Rest of World — % Q/Q</t>
  </si>
  <si>
    <t>Rest of World — % of total</t>
  </si>
  <si>
    <t>Rest of World — change Q/Q ($m)</t>
  </si>
  <si>
    <t>Rest of World — FX impact (%)</t>
  </si>
  <si>
    <t>Rest of World — M&amp;A / scope (%)</t>
  </si>
  <si>
    <t>Rest of World — organic (%)</t>
  </si>
  <si>
    <t>Total revenue — sum of geos</t>
  </si>
  <si>
    <t>Total revenue (Revenue summary)</t>
  </si>
  <si>
    <t>Memo: rounding diff. (sum − total)</t>
  </si>
  <si>
    <t>FY25: quarterly user-geo figures sum to 200,965 vs reported 200,966 (issuer rounding, S7)</t>
  </si>
  <si>
    <t>Check: geo sum − total (±2)</t>
  </si>
  <si>
    <t>3Q26E (H45) is 0 by construction: Rest of World revenue (H34) is the plug to total</t>
  </si>
  <si>
    <t>Advertising revenue by user geography</t>
  </si>
  <si>
    <t>3Q26E assumption</t>
  </si>
  <si>
    <t>US &amp; Canada — % of ad revenue</t>
  </si>
  <si>
    <t>Europe — % of ad revenue</t>
  </si>
  <si>
    <t>Asia-Pacific — % of ad revenue</t>
  </si>
  <si>
    <t>S7; 3Q26E plug to FoA advertising</t>
  </si>
  <si>
    <t>Rest of World — % of ad revenue</t>
  </si>
  <si>
    <t>Advertising — sum of geos</t>
  </si>
  <si>
    <t>Advertising revenue (FoA segment)</t>
  </si>
  <si>
    <t>Memo: rounding diff. (sum − ads)</t>
  </si>
  <si>
    <t>Check: geo sum − ads (±2)</t>
  </si>
  <si>
    <t>3Q26E (H83) is 0 by construction: Rest of World ads (H72) is the plug to total ads</t>
  </si>
  <si>
    <t>Non-advertising revenue by user geography (derived: revenue − advertising)</t>
  </si>
  <si>
    <t>Non-advertising revenue — total</t>
  </si>
  <si>
    <t>Regional ad metrics, 2Q26 (% Y/Y, issuer slides)</t>
  </si>
  <si>
    <t>Ad impressions — US &amp; Canada</t>
  </si>
  <si>
    <t>S7 (2Q26 per slide summary); earlier quarters not machine-readable in source — unavailable</t>
  </si>
  <si>
    <t>Ad impressions — Europe</t>
  </si>
  <si>
    <t>Ad impressions — Asia-Pacific</t>
  </si>
  <si>
    <t>Ad impressions — Rest of World</t>
  </si>
  <si>
    <t>Price per ad — US &amp; Canada</t>
  </si>
  <si>
    <t>S7; other quarters in slides not machine-readable — unavailable</t>
  </si>
  <si>
    <t>Price per ad — Europe</t>
  </si>
  <si>
    <t>Price per ad — Asia-Pacific</t>
  </si>
  <si>
    <t>Price per ad — Rest of World</t>
  </si>
  <si>
    <t>Share Count</t>
  </si>
  <si>
    <t>Weighted-average shares (millions)</t>
  </si>
  <si>
    <t>Weighted-average basic shares</t>
  </si>
  <si>
    <t>Basic shares — % Y/Y</t>
  </si>
  <si>
    <t>Net change in basic shares Q/Q</t>
  </si>
  <si>
    <t>3Q26E +6m: RSU vesting net of withholding; no buybacks since 3Q25 (S3,S4,S5); 2Q25 basic 2,518 (S3)</t>
  </si>
  <si>
    <t>Dilutive securities</t>
  </si>
  <si>
    <t>3Q26E 23m (2Q26 23m; share price ~$650-760 in 3Q, S20)</t>
  </si>
  <si>
    <t>Dilutive securities — chg Q/Q (m)</t>
  </si>
  <si>
    <t>Weighted-average diluted shares</t>
  </si>
  <si>
    <t>Diluted shares — % Y/Y</t>
  </si>
  <si>
    <t>Diluted shares — change Q/Q (m)</t>
  </si>
  <si>
    <t>Capital return and issuance ($ millions, cash flow statement)</t>
  </si>
  <si>
    <t>Shares repurchased (m)</t>
  </si>
  <si>
    <t>Not in press releases; 10-Q share counts not extracted — unavailable</t>
  </si>
  <si>
    <t>Dividends &amp; equivalents paid</t>
  </si>
  <si>
    <t>Total cash returned &amp; withheld</t>
  </si>
  <si>
    <t>Share-based compensation (non-cash)</t>
  </si>
  <si>
    <t>Share count behind forecast EPS (3Q26E)</t>
  </si>
  <si>
    <t>Diluted shares</t>
  </si>
  <si>
    <t>GAAP diluted EPS</t>
  </si>
  <si>
    <t>Guidance</t>
  </si>
  <si>
    <t>Metric / guidance item</t>
  </si>
  <si>
    <t>Date given</t>
  </si>
  <si>
    <t>Low</t>
  </si>
  <si>
    <t>High</t>
  </si>
  <si>
    <t>Midpoint</t>
  </si>
  <si>
    <t>Actual / est.</t>
  </si>
  <si>
    <t>Beat / miss</t>
  </si>
  <si>
    <t>3Q25</t>
  </si>
  <si>
    <t>4Q25</t>
  </si>
  <si>
    <t>Total expenses ($m)</t>
  </si>
  <si>
    <t>FY25</t>
  </si>
  <si>
    <t>Capex incl. finance leases ($m)</t>
  </si>
  <si>
    <t>Tax rate</t>
  </si>
  <si>
    <t>1Q26</t>
  </si>
  <si>
    <t>FY26</t>
  </si>
  <si>
    <t>pending</t>
  </si>
  <si>
    <t>2Q26</t>
  </si>
  <si>
    <t>Tax rate (rest of 2026)</t>
  </si>
  <si>
    <t>3Q26</t>
  </si>
  <si>
    <t>Total expenses ex-accrual ($m)</t>
  </si>
  <si>
    <t>Tax rate (3Q26-4Q26)</t>
  </si>
  <si>
    <t>FX impact on 3Q26 revenue growth</t>
  </si>
  <si>
    <t>Settlement legal accrual ($m)</t>
  </si>
  <si>
    <t>Revenue guidance track record (actual vs midpoint)</t>
  </si>
  <si>
    <t>3Q25 actual vs guidance midpoint (%)</t>
  </si>
  <si>
    <t>4Q25 actual vs guidance midpoint (%)</t>
  </si>
  <si>
    <t>1Q26 actual vs guidance midpoint (%)</t>
  </si>
  <si>
    <t>2Q26 actual vs guidance midpoint (%)</t>
  </si>
  <si>
    <t>Avg. beat vs mid, last 4Q (%)</t>
  </si>
  <si>
    <t>3Q26E vs guidance midpoint (%)</t>
  </si>
  <si>
    <t>Guidance-implied 3Q26 EPS (revenue midpoint; model $ expenses held fixed — fixed-cost basis, 100% drop-through of revenue gap; model other income and share count; tax midpoint)</t>
  </si>
  <si>
    <t>Revenue at guidance midpoint ($m)</t>
  </si>
  <si>
    <t>Costs excl. accrual (model, $m)</t>
  </si>
  <si>
    <t>Interest &amp; other income (model, $m)</t>
  </si>
  <si>
    <t>Pre-tax income ex-accrual ($m)</t>
  </si>
  <si>
    <t>Tax rate (guidance midpoint)</t>
  </si>
  <si>
    <t>Implied normalized NI ($m)</t>
  </si>
  <si>
    <t>Implied normalized EPS ($)</t>
  </si>
  <si>
    <t>Implied GAAP net income ($m)</t>
  </si>
  <si>
    <t>Implied GAAP diluted EPS ($)</t>
  </si>
  <si>
    <t>Sources</t>
  </si>
  <si>
    <t>What it feeds</t>
  </si>
  <si>
    <t>ID</t>
  </si>
  <si>
    <t>Published</t>
  </si>
  <si>
    <t>Publisher</t>
  </si>
  <si>
    <t>URL or file</t>
  </si>
  <si>
    <t>Cover consensus; Inputs A; prior calibration</t>
  </si>
  <si>
    <t>S1</t>
  </si>
  <si>
    <t>S&amp;P Capital IQ (supplied)</t>
  </si>
  <si>
    <t>META_consensus.json (attached file)</t>
  </si>
  <si>
    <t>Inputs B; IS normalized check; prior b/n</t>
  </si>
  <si>
    <t>META_history.csv (attached file)</t>
  </si>
  <si>
    <t>2Q26 IS/BS/CF/segments; 3Q26 guidance</t>
  </si>
  <si>
    <t>S3</t>
  </si>
  <si>
    <t>Meta Platforms (8-K Ex. 99.1)</t>
  </si>
  <si>
    <t>https://investor.atmeta.com/investor-news/press-release-details/2026/Meta-Reports-Second-Quarter-2026-Results/default.aspx</t>
  </si>
  <si>
    <t>1Q26 statements; 1Q25 comparatives; guidance</t>
  </si>
  <si>
    <t>S4</t>
  </si>
  <si>
    <t>https://investor.atmeta.com/investor-news/press-release-details/2026/Meta-Reports-First-Quarter-2026-Results/default.aspx</t>
  </si>
  <si>
    <t>4Q25 and FY25 statements; FY24; guidance</t>
  </si>
  <si>
    <t>S5</t>
  </si>
  <si>
    <t>https://investor.atmeta.com/investor-news/press-release-details/2026/Meta-Reports-Fourth-Quarter-and-Full-Year-2025-Results/default.aspx</t>
  </si>
  <si>
    <t>3Q25 statements; 9M25 YTD; 3Q24 comparatives</t>
  </si>
  <si>
    <t>S6</t>
  </si>
  <si>
    <t>https://investor.atmeta.com/investor-news/press-release-details/2025/Meta-Reports-Third-Quarter-2025-Results/default.aspx</t>
  </si>
  <si>
    <t>User geography, DAP, ARPP, segment history</t>
  </si>
  <si>
    <t>Meta Platforms</t>
  </si>
  <si>
    <t>https://s21.q4cdn.com/399680738/files/doc_financials/2026/q2/Earnings-Presentation-Q2-2026.pdf</t>
  </si>
  <si>
    <t>Expense drivers, other revenue, RL commentary</t>
  </si>
  <si>
    <t>S8</t>
  </si>
  <si>
    <t>https://s21.q4cdn.com/399680738/files/doc_financials/2026/q2/META-Q2-2026-Earnings-Call-Transcript.pdf</t>
  </si>
  <si>
    <t>Checked: customer-address geography (unused)</t>
  </si>
  <si>
    <t>S9</t>
  </si>
  <si>
    <t>SEC EDGAR (Form 10-Q)</t>
  </si>
  <si>
    <t>https://www.sec.gov/Archives/edgar/data/1326801/000162828026050705/meta-20260630.htm</t>
  </si>
  <si>
    <t>Checked: FY25 annual statements (tie to S5)</t>
  </si>
  <si>
    <t>S10</t>
  </si>
  <si>
    <t>SEC EDGAR (Form 10-K)</t>
  </si>
  <si>
    <t>https://www.sec.gov/Archives/edgar/data/1326801/000162828026003942/meta-20251231.htm</t>
  </si>
  <si>
    <t>3Q25 revenue guidance</t>
  </si>
  <si>
    <t>S11</t>
  </si>
  <si>
    <t>https://investor.atmeta.com/investor-news/press-release-details/2025/Meta-Reports-Second-Quarter-2025-Results/default.aspx</t>
  </si>
  <si>
    <t>FY24 impressions +11%, price +10%</t>
  </si>
  <si>
    <t>S12</t>
  </si>
  <si>
    <t>https://investor.atmeta.com/investor-news/press-release-details/2025/Meta-Reports-Fourth-Quarter-and-Full-Year-2024-Results/default.aspx</t>
  </si>
  <si>
    <t>Report date Oct 21, 2026 (issuer)</t>
  </si>
  <si>
    <t>S13</t>
  </si>
  <si>
    <t>Meta Platforms (PR Newswire)</t>
  </si>
  <si>
    <t>https://investor.atmeta.com/investor-news/press-release-details/2026/Meta-to-Announce-Third-Quarter-2026-Results/default.aspx</t>
  </si>
  <si>
    <t>~$10bn 3Q26 legal accrual; other guidance unchanged</t>
  </si>
  <si>
    <t>S14</t>
  </si>
  <si>
    <t>Investing.com</t>
  </si>
  <si>
    <t>https://www.investing.com/news/stock-market-news/meta-to-pay-up-to-1668-billion-in-mass-social-media-settlement-4877295</t>
  </si>
  <si>
    <t>Settlement terms: ~$18bn over 10 years; $12.7bn fixed</t>
  </si>
  <si>
    <t>S15</t>
  </si>
  <si>
    <t>CNBC</t>
  </si>
  <si>
    <t>https://www.cnbc.com/2026/08/26/meta-social-media-trial-settlement.html</t>
  </si>
  <si>
    <t>$10bn charge booked in 3Q26</t>
  </si>
  <si>
    <t>S16</t>
  </si>
  <si>
    <t>https://www.cnbc.com/2026/09/02/meta-18-billion-settlement-ai-products.html</t>
  </si>
  <si>
    <t>BofA EPS 3.79 incl. / 7.08 ex charge; S&amp;P 500</t>
  </si>
  <si>
    <t>S17</t>
  </si>
  <si>
    <t>TheStreet via Wichita Eagle</t>
  </si>
  <si>
    <t>https://www.kansas.com/news/business/article317672117.html</t>
  </si>
  <si>
    <t>BofA revenue $63.8bn; JPM adds $10bn accrual</t>
  </si>
  <si>
    <t>S18</t>
  </si>
  <si>
    <t>IBTimes Australia</t>
  </si>
  <si>
    <t>https://www.ibtimes.com.au/bank-america-meta-revenue-ai-legal-charge-1876929</t>
  </si>
  <si>
    <t>Newer consensus (separate): EPS 6.67, rev $63.18bn</t>
  </si>
  <si>
    <t>S19</t>
  </si>
  <si>
    <t>Zacks via Yahoo Finance</t>
  </si>
  <si>
    <t>https://finance.yahoo.com/markets/stocks/articles/ahead-meta-platforms-meta-q3-121522821.html</t>
  </si>
  <si>
    <t>Market cap $1.81T at Oct 16, 2026 close</t>
  </si>
  <si>
    <t>S20</t>
  </si>
  <si>
    <t>StockAnalysis.com</t>
  </si>
  <si>
    <t>https://stockanalysis.com/stocks/meta/market-cap/</t>
  </si>
  <si>
    <t>Q3 2026 avg EUR per USD 0.86889 (narrative only); D30 = observation date, not publication</t>
  </si>
  <si>
    <t>S21</t>
  </si>
  <si>
    <t>FRED / St. Louis Fed</t>
  </si>
  <si>
    <t>https://fred.stlouisfed.org/release/tables?eid=717192&amp;rid=205</t>
  </si>
  <si>
    <t>New Mexico $567m order (ordinary legal accruals)</t>
  </si>
  <si>
    <t>S22</t>
  </si>
  <si>
    <t>Reuters</t>
  </si>
  <si>
    <t>https://www.reuters.com/world/new-mexico-court-orders-meta-pay-567-mln-teen-mental-health-fund-2026-08-06/</t>
  </si>
  <si>
    <t>No 3Q26 bond issuance; euro roadshow</t>
  </si>
  <si>
    <t>S23</t>
  </si>
  <si>
    <t>El Fondo / Bloomberg</t>
  </si>
  <si>
    <t>https://www.el-fondo.com/en/news/meta-meets-european-bond-investors-in-roadshow</t>
  </si>
  <si>
    <t>Muse agent launched Sep 8 (compute cost)</t>
  </si>
  <si>
    <t>S24</t>
  </si>
  <si>
    <t>https://www.reuters.com/business/wall-street-expects-metas-ai-agent-shape-into-new-revenue-engine-2026-09-22/</t>
  </si>
  <si>
    <t>Mixed-basis consensus EPS $5.60 (context only)</t>
  </si>
  <si>
    <t>S25</t>
  </si>
  <si>
    <t>Investopedia (Visible Alpha)</t>
  </si>
  <si>
    <t>https://www.investopedia.com/here-is-how-much-meta-stock-is-expected-to-move-after-earnings-q3-fy2026-12177333</t>
  </si>
  <si>
    <t>Playbook reference: S&amp;P 500 beat rate 78%</t>
  </si>
  <si>
    <t>S26</t>
  </si>
  <si>
    <t>FactSet</t>
  </si>
  <si>
    <t>https://insight.factset.com/sp-500-earnings-season-update-july-31-2026</t>
  </si>
  <si>
    <t>Tab coverage: all standard tabs carry content (two reported segments, four disclosed user geographies) — no tab omitted.</t>
  </si>
  <si>
    <t>Inputs tab (after Sources) holds the raw CapIQ snapshot, year-ago comparatives, 9M25 YTD and prior calibration.</t>
  </si>
  <si>
    <t>Information cutoff 2026-10-18T21:34:46Z; source dates on or before cutoff (S21 D30 = observation date; FRED page undated, retrieved via web search in the original run); target-quarter actuals not seen.</t>
  </si>
  <si>
    <t>Inputs — CapIQ snapshot, comparatives, YTD and prior calibration</t>
  </si>
  <si>
    <t>Rows 5–7 are the workbook-standard period band. Section C columns hold year-ago comparatives for the band period (see row 123); section D column G holds 9M25 YTD (to 2025-09-30), used to derive FY25A. Sections A, B and E use their own field headers.</t>
  </si>
  <si>
    <t>A. CapIQ consensus snapshot — META_consensus.json (file S1); blanks preserved as blank</t>
  </si>
  <si>
    <t>source</t>
  </si>
  <si>
    <t>S&amp;P Capital IQ</t>
  </si>
  <si>
    <t>S1 top-level field</t>
  </si>
  <si>
    <t>ticker</t>
  </si>
  <si>
    <t>META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</si>
  <si>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</si>
  <si>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</si>
  <si>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</si>
  <si>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</si>
  <si>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</si>
  <si>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</si>
  <si>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</si>
  <si>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</si>
  <si>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</si>
  <si>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</si>
  <si>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</si>
  <si>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</si>
  <si>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</si>
  <si>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</si>
  <si>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</si>
  <si>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</si>
  <si>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</si>
  <si>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</si>
  <si>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S1 metric_units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</si>
  <si>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</si>
  <si>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</si>
  <si>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</si>
  <si>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</si>
  <si>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</si>
  <si>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summary_row (complete, field: value)</t>
  </si>
  <si>
    <t>S1 summary_row</t>
  </si>
  <si>
    <t>company_name</t>
  </si>
  <si>
    <t>exchange_ticker</t>
  </si>
  <si>
    <t>NasdaqGS:META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</si>
  <si>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</si>
  <si>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</si>
  <si>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</si>
  <si>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</si>
  <si>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</si>
  <si>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</si>
  <si>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</si>
  <si>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</si>
  <si>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</si>
  <si>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</si>
  <si>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</si>
  <si>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</si>
  <si>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</si>
  <si>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</si>
  <si>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</si>
  <si>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</si>
  <si>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</si>
  <si>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</si>
  <si>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S1 summary_row (blank in source)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</si>
  <si>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</si>
  <si>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</si>
  <si>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</si>
  <si>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</si>
  <si>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</si>
  <si>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</si>
  <si>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</si>
  <si>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</si>
  <si>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</si>
  <si>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</si>
  <si>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</si>
  <si>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</si>
  <si>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</si>
  <si>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</si>
  <si>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</si>
  <si>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</si>
  <si>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</si>
  <si>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</si>
  <si>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</si>
  <si>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</si>
  <si>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</si>
  <si>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</si>
  <si>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</si>
  <si>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</si>
  <si>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</si>
  <si>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</si>
  <si>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</si>
  <si>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</si>
  <si>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</si>
  <si>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</si>
  <si>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</si>
  <si>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</si>
  <si>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</si>
  <si>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</si>
  <si>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</si>
  <si>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</si>
  <si>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</si>
  <si>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</si>
  <si>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</si>
  <si>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</si>
  <si>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</si>
  <si>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</si>
  <si>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</si>
  <si>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</si>
  <si>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</si>
  <si>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</si>
  <si>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</si>
  <si>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estimates_captured_at</t>
  </si>
  <si>
    <t>notes</t>
  </si>
  <si>
    <t>CapIQ expects FQ3 2026 release Oct-28-2026, outside the Oct 19-23 window. Normalized-EPS panel is thin relative to GAAP (11 of 17 contributors file normalized, 44 of 45 file GAAP), so the normalized consensus rests on a much smaller sample than the headline coverage of 64 suggests. PRICE/WK52 to backfill.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</si>
  <si>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</si>
  <si>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</si>
  <si>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S1 target_manifest</t>
  </si>
  <si>
    <t>B. CapIQ history — META_history.csv (file S2); six rows, columns B..I as in file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</si>
  <si>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</si>
  <si>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</si>
  <si>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</si>
  <si>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</si>
  <si>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</si>
  <si>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</si>
  <si>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</si>
  <si>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Strict beat flag (normalized actual &gt; normalized consensus)</t>
  </si>
  <si>
    <t xml:space="preserve">  2025-03-31 beat?</t>
  </si>
  <si>
    <t xml:space="preserve">  2025-06-30 beat?</t>
  </si>
  <si>
    <t xml:space="preserve">  2025-09-30 beat?</t>
  </si>
  <si>
    <t xml:space="preserve">  2025-12-31 beat?</t>
  </si>
  <si>
    <t xml:space="preserve">  2026-03-31 beat?</t>
  </si>
  <si>
    <t xml:space="preserve">  2026-06-30 beat?</t>
  </si>
  <si>
    <t>Normalized EPS surprise, $ per share (actual − consensus)</t>
  </si>
  <si>
    <t xml:space="preserve">  2025-03-31 surprise ($)</t>
  </si>
  <si>
    <t xml:space="preserve">  2025-06-30 surprise ($)</t>
  </si>
  <si>
    <t xml:space="preserve">  2025-09-30 surprise ($)</t>
  </si>
  <si>
    <t xml:space="preserve">  2025-12-31 surprise ($)</t>
  </si>
  <si>
    <t xml:space="preserve">  2026-03-31 surprise ($)</t>
  </si>
  <si>
    <t xml:space="preserve">  2026-06-30 surprise ($)</t>
  </si>
  <si>
    <t>C. Year-ago comparatives (reported) — column = comparable period for the period above it</t>
  </si>
  <si>
    <t>Comparable period →</t>
  </si>
  <si>
    <t>3Q24A</t>
  </si>
  <si>
    <t>4Q24A</t>
  </si>
  <si>
    <t>1Q25A</t>
  </si>
  <si>
    <t>2Q25A</t>
  </si>
  <si>
    <t>FY24A</t>
  </si>
  <si>
    <t>S6,S5,S4,S3 prior-year columns</t>
  </si>
  <si>
    <t>S6,S5,S4,S3,S7</t>
  </si>
  <si>
    <t>FoA other revenue</t>
  </si>
  <si>
    <t>S7,S5</t>
  </si>
  <si>
    <t>General &amp; administrative</t>
  </si>
  <si>
    <t>Diluted EPS ($)</t>
  </si>
  <si>
    <t>Accounts receivable (balance)</t>
  </si>
  <si>
    <t>S5 (Dec 31, 2024 balance)</t>
  </si>
  <si>
    <t>CF: depreciation &amp; amortization</t>
  </si>
  <si>
    <t>CF: share-based compensation</t>
  </si>
  <si>
    <t>CF: purchases of P&amp;E</t>
  </si>
  <si>
    <t>CF: sales &amp; maturities of securities</t>
  </si>
  <si>
    <t>CF: taxes on net share settlement</t>
  </si>
  <si>
    <t>CF: dividends paid</t>
  </si>
  <si>
    <t>CF: finance lease principal</t>
  </si>
  <si>
    <t>Family ARPP ($)</t>
  </si>
  <si>
    <t>S7 (ARPP as reported)</t>
  </si>
  <si>
    <t>Family DAP (bn)</t>
  </si>
  <si>
    <t>S7 (DAP, bn; FY = December)</t>
  </si>
  <si>
    <t>Ad impressions Y/Y (%)</t>
  </si>
  <si>
    <t>S7 (2Q25), S12 (FY24)</t>
  </si>
  <si>
    <t>Avg price per ad Y/Y (%)</t>
  </si>
  <si>
    <t>Revenue (user geo) — US &amp; Canada</t>
  </si>
  <si>
    <t>S7 revenue by user geography</t>
  </si>
  <si>
    <t>Revenue (user geo) — Europe</t>
  </si>
  <si>
    <t>Revenue (user geo) — Asia-Pacific</t>
  </si>
  <si>
    <t>Revenue (user geo) — Rest of World</t>
  </si>
  <si>
    <t>Ad revenue (user geo) — US &amp; Canada</t>
  </si>
  <si>
    <t>S7 ad revenue by user geography</t>
  </si>
  <si>
    <t>Ad revenue (user geo) — Europe</t>
  </si>
  <si>
    <t>Ad revenue (user geo) — Asia-Pacific</t>
  </si>
  <si>
    <t>Ad revenue (user geo) — Rest of World</t>
  </si>
  <si>
    <t>D. 9M25 YTD reported (nine months ended Sep 30, 2025; S6) — FY25 flows = 9M25 + 4Q25</t>
  </si>
  <si>
    <t>Revenue — 9M25</t>
  </si>
  <si>
    <t>S6 nine-month column</t>
  </si>
  <si>
    <t>Advertising revenue — 9M25</t>
  </si>
  <si>
    <t>FoA other revenue — 9M25</t>
  </si>
  <si>
    <t>Reality Labs revenue — 9M25</t>
  </si>
  <si>
    <t>FoA income from operations — 9M25</t>
  </si>
  <si>
    <t>RL income (loss) from operations — 9M25</t>
  </si>
  <si>
    <t>FX adjustment to constant-currency revenue — 9M25</t>
  </si>
  <si>
    <t>FX adjustment to constant-currency ad revenue — 9M25</t>
  </si>
  <si>
    <t>Cost of revenue — 9M25</t>
  </si>
  <si>
    <t>Research &amp; development — 9M25</t>
  </si>
  <si>
    <t>Marketing &amp; sales — 9M25</t>
  </si>
  <si>
    <t>General &amp; administrative — 9M25</t>
  </si>
  <si>
    <t>Interest &amp; other income, net — 9M25</t>
  </si>
  <si>
    <t>Provision for income taxes — 9M25</t>
  </si>
  <si>
    <t>Depreciation &amp; amortization — 9M25</t>
  </si>
  <si>
    <t>Share-based compensation — 9M25</t>
  </si>
  <si>
    <t>Deferred income taxes — 9M25</t>
  </si>
  <si>
    <t>Unrealized (gain) loss on equity investments — 9M25</t>
  </si>
  <si>
    <t>Other operating adjustments — 9M25</t>
  </si>
  <si>
    <t>Change in accounts receivable — 9M25</t>
  </si>
  <si>
    <t>Change in prepaid &amp; other current assets — 9M25</t>
  </si>
  <si>
    <t>Change in other assets — 9M25</t>
  </si>
  <si>
    <t>Change in accounts payable — 9M25</t>
  </si>
  <si>
    <t>Change in accrued &amp; other current liabilities — 9M25</t>
  </si>
  <si>
    <t>Change in other liabilities — 9M25</t>
  </si>
  <si>
    <t>Purchases of property &amp; equipment — 9M25</t>
  </si>
  <si>
    <t>Purchases of marketable securities — 9M25</t>
  </si>
  <si>
    <t>Sales &amp; maturities of marketable securities — 9M25</t>
  </si>
  <si>
    <t>Purchases of non-marketable equity investments — 9M25</t>
  </si>
  <si>
    <t>Payments for held-for-sale assets — 9M25</t>
  </si>
  <si>
    <t>Proceeds from Venture distribution — 9M25</t>
  </si>
  <si>
    <t>Acquisitions of businesses &amp; intangibles — 9M25</t>
  </si>
  <si>
    <t>Other investing activities — 9M25</t>
  </si>
  <si>
    <t>Taxes paid on net share settlement — 9M25</t>
  </si>
  <si>
    <t>Repurchases of Class A common stock — 9M25</t>
  </si>
  <si>
    <t>Dividends &amp; dividend equivalents — 9M25</t>
  </si>
  <si>
    <t>Proceeds from long-term debt, net — 9M25</t>
  </si>
  <si>
    <t>Principal payments on finance leases — 9M25</t>
  </si>
  <si>
    <t>Other financing activities — 9M25</t>
  </si>
  <si>
    <t>Effect of FX on cash — 9M25</t>
  </si>
  <si>
    <t>Cash paid for income taxes, net — 9M25</t>
  </si>
  <si>
    <t>Cash, cash equivalents &amp; restricted cash — Dec 31, 2024</t>
  </si>
  <si>
    <t>S5 / S6</t>
  </si>
  <si>
    <t>Cash, cash equivalents &amp; restricted cash — Jun 30, 2025</t>
  </si>
  <si>
    <t>S6 (beginning of 3Q25)</t>
  </si>
  <si>
    <t>E. Size-aware prior calibration (playbook §7) — see artifacts/prior-calibration.json</t>
  </si>
  <si>
    <t>Market capitalization, $bn (close Oct 16, 2026)</t>
  </si>
  <si>
    <t>S20 stockanalysis.com: $1.81T at Oct 16, 2026 close ($709.33)</t>
  </si>
  <si>
    <t>Size bucket</t>
  </si>
  <si>
    <t>large (&gt;$10B)</t>
  </si>
  <si>
    <t>Playbook: large includes mega above $10B</t>
  </si>
  <si>
    <t>S&amp;P 500 member</t>
  </si>
  <si>
    <t>Yes</t>
  </si>
  <si>
    <t>S17 (Oct 18, 2026: S&amp;P 500 index funds hold Meta)</t>
  </si>
  <si>
    <t>Cohort prior (large OR S&amp;P 500, applied once)</t>
  </si>
  <si>
    <t>Playbook §7</t>
  </si>
  <si>
    <t>b = strict normalized-EPS beats in six history pairs</t>
  </si>
  <si>
    <t>n = valid history pairs</t>
  </si>
  <si>
    <t>All six pairs are CapIQ normalized actual vs consensus; 2Q26 pair basis unresolved (actual 6.18 kept legal/severance; consensus 7.40 likely ex-charge). Excluding it gives 0.865; retained per frozen method</t>
  </si>
  <si>
    <t>Pseudo-observation weight</t>
  </si>
  <si>
    <t>Playbook §7 fixed experimental weight</t>
  </si>
  <si>
    <t>Starting probability = (8×prior + b)/(8 + n)</t>
  </si>
  <si>
    <t>Model normalized EPS, 3Q26E ($)</t>
  </si>
  <si>
    <t>Frozen CapIQ normalized EPS consensus ($)</t>
  </si>
  <si>
    <t>Assumed s.d. of normalized EPS outcome around model ($)</t>
  </si>
  <si>
    <t>Judgment (unchanged): s.d. of the five ex-charge surprises 2025-26 ≈ 0.37; all six incl. basis-mixed 2Q26 ≈ 0.91. Sensitivity of C225: 0.37→0.53, 0.40→0.52, 0.91→0.49, 0.97 (consensus s.d.)→0.48. Probability never feeds EPS</t>
  </si>
  <si>
    <t>P(beat | charge excluded) — model distribution</t>
  </si>
  <si>
    <t>Weight on size/history starting probability</t>
  </si>
  <si>
    <t>Judgment: equal weight prior vs quarter-specific model view</t>
  </si>
  <si>
    <t>P(beat | charge excluded) — blended</t>
  </si>
  <si>
    <t>P(CapIQ normalized actual excludes the ~$10B settlement accrual)</t>
  </si>
  <si>
    <t>Judgment: 10 of 11 normalized contributors appear ex-charge (mean 6.76, low 3.92); but CapIQ kept 2Q26 legal/severance in its 6.18 actual</t>
  </si>
  <si>
    <t>P(beat | charge included) = GAAP-basis EPS &gt; consensus?</t>
  </si>
  <si>
    <t>Final P(beat consensus EPS), rounded to 0.01</t>
  </si>
  <si>
    <t>low</t>
  </si>
  <si>
    <t>Basis risk on settlement accrual treatment dominates</t>
  </si>
</sst>
</file>

<file path=xl/styles.xml><?xml version="1.0" encoding="utf-8"?>
<styleSheet xmlns="http://schemas.openxmlformats.org/spreadsheetml/2006/main">
  <numFmts count="12">
    <numFmt numFmtId="164" formatCode="0.0%_);(0.0%);–_)"/>
    <numFmt numFmtId="165" formatCode="#,##0.0_);(#,##0.0);–_)"/>
    <numFmt numFmtId="166" formatCode="#,##0_);(#,##0);–_)"/>
    <numFmt numFmtId="167" formatCode="yyyy-mm-dd"/>
    <numFmt numFmtId="168" formatCode="$0.00_);($0.00);–_)"/>
    <numFmt numFmtId="169" formatCode="0"/>
    <numFmt numFmtId="170" formatCode="General"/>
    <numFmt numFmtId="171" formatCode="0.0_);(0.0);–_)"/>
    <numFmt numFmtId="172" formatCode="0.0&quot;x&quot;"/>
    <numFmt numFmtId="173" formatCode="0.00_);(0.00);–_)"/>
    <numFmt numFmtId="174" formatCode="0_);(0);–_)"/>
    <numFmt numFmtId="175" formatCode="#,##0.00_);(#,##0.00);–_)"/>
  </numFmts>
  <fonts count="30">
    <font>
      <sz val="11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/>
      <i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4"/>
      <color rgb="FF000000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595959"/>
      <name val="Arial"/>
    </font>
    <font>
      <b/>
      <i val="0"/>
      <strike val="0"/>
      <sz val="14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A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18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left" vertical="bottom" indent="2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167" fontId="3" fillId="3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lef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left" vertical="bottom"/>
      <protection locked="1" hidden="0"/>
    </xf>
    <xf numFmtId="0" fontId="6" fillId="0" borderId="0" xfId="0" applyFont="1" applyFill="1" applyAlignment="1" applyProtection="1">
      <alignment horizontal="right" vertical="bottom" wrapText="1"/>
      <protection locked="1" hidden="0"/>
    </xf>
    <xf numFmtId="0" fontId="6" fillId="0" borderId="1" xfId="0" applyFont="1" applyFill="1" applyBorder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165" fontId="7" fillId="0" borderId="0" xfId="0" applyNumberFormat="1" applyFont="1" applyFill="1" applyAlignment="1" applyProtection="1">
      <alignment horizontal="right" vertical="bottom"/>
      <protection locked="1" hidden="0"/>
    </xf>
    <xf numFmtId="0" fontId="6" fillId="3" borderId="1" xfId="0" applyFont="1" applyFill="1" applyBorder="1" applyAlignment="1" applyProtection="1">
      <alignment horizontal="general" vertical="bottom"/>
      <protection locked="1" hidden="0"/>
    </xf>
    <xf numFmtId="168" fontId="3" fillId="0" borderId="0" xfId="0" applyNumberFormat="1" applyFont="1" applyFill="1" applyAlignment="1" applyProtection="1">
      <alignment horizontal="right" vertical="bottom"/>
      <protection locked="1" hidden="0"/>
    </xf>
    <xf numFmtId="169" fontId="3" fillId="3" borderId="2" xfId="0" applyNumberFormat="1" applyFont="1" applyFill="1" applyBorder="1" applyAlignment="1" applyProtection="1">
      <alignment horizontal="right" vertical="bottom"/>
      <protection locked="1" hidden="0"/>
    </xf>
    <xf numFmtId="0" fontId="3" fillId="3" borderId="2" xfId="0" applyFont="1" applyFill="1" applyBorder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left" vertical="bottom" indent="2"/>
      <protection locked="1" hidden="0"/>
    </xf>
    <xf numFmtId="165" fontId="7" fillId="2" borderId="0" xfId="0" applyNumberFormat="1" applyFont="1" applyFill="1" applyAlignment="1" applyProtection="1">
      <alignment horizontal="righ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0" fontId="6" fillId="3" borderId="1" xfId="0" applyFont="1" applyFill="1" applyBorder="1" applyAlignment="1" applyProtection="1">
      <alignment horizontal="right" vertical="bottom"/>
      <protection locked="1" hidden="0"/>
    </xf>
    <xf numFmtId="168" fontId="7" fillId="0" borderId="0" xfId="0" applyNumberFormat="1" applyFont="1" applyFill="1" applyAlignment="1" applyProtection="1">
      <alignment horizontal="right" vertical="bottom"/>
      <protection locked="1" hidden="0"/>
    </xf>
    <xf numFmtId="168" fontId="5" fillId="2" borderId="0" xfId="0" applyNumberFormat="1" applyFont="1" applyFill="1" applyAlignment="1" applyProtection="1">
      <alignment horizontal="right" vertical="bottom"/>
      <protection locked="1" hidden="0"/>
    </xf>
    <xf numFmtId="0" fontId="3" fillId="3" borderId="0" xfId="0" applyFont="1" applyFill="1" applyAlignment="1" applyProtection="1">
      <alignment horizontal="general" vertical="bottom"/>
      <protection locked="1" hidden="0"/>
    </xf>
    <xf numFmtId="0" fontId="3" fillId="3" borderId="0" xfId="0" applyFont="1" applyFill="1" applyAlignment="1" applyProtection="1">
      <alignment horizontal="left" vertical="bottom"/>
      <protection locked="1" hidden="0"/>
    </xf>
    <xf numFmtId="164" fontId="9" fillId="0" borderId="0" xfId="0" applyNumberFormat="1" applyFont="1" applyFill="1" applyAlignment="1" applyProtection="1">
      <alignment horizontal="right" vertical="bottom"/>
      <protection locked="1" hidden="0"/>
    </xf>
    <xf numFmtId="168" fontId="6" fillId="0" borderId="0" xfId="0" applyNumberFormat="1" applyFont="1" applyFill="1" applyAlignment="1" applyProtection="1">
      <alignment horizontal="right" vertical="bottom"/>
      <protection locked="1" hidden="0"/>
    </xf>
    <xf numFmtId="167" fontId="10" fillId="0" borderId="0" xfId="0" applyNumberFormat="1" applyFont="1" applyFill="1" applyAlignment="1" applyProtection="1">
      <alignment horizontal="right" vertical="bottom"/>
      <protection locked="1" hidden="0"/>
    </xf>
    <xf numFmtId="0" fontId="6" fillId="2" borderId="0" xfId="0" applyFont="1" applyFill="1" applyAlignment="1" applyProtection="1">
      <alignment horizontal="right" vertical="bottom" wrapText="1"/>
      <protection locked="1" hidden="0"/>
    </xf>
    <xf numFmtId="170" fontId="3" fillId="0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5" fontId="6" fillId="0" borderId="1" xfId="0" applyNumberFormat="1" applyFont="1" applyFill="1" applyBorder="1" applyAlignment="1" applyProtection="1">
      <alignment horizontal="right" vertical="bottom"/>
      <protection locked="1" hidden="0"/>
    </xf>
    <xf numFmtId="164" fontId="11" fillId="0" borderId="0" xfId="0" applyNumberFormat="1" applyFont="1" applyFill="1" applyAlignment="1" applyProtection="1">
      <alignment horizontal="right" vertical="bottom"/>
      <protection locked="1" hidden="0"/>
    </xf>
    <xf numFmtId="165" fontId="10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4" fontId="9" fillId="2" borderId="0" xfId="0" applyNumberFormat="1" applyFont="1" applyFill="1" applyAlignment="1" applyProtection="1">
      <alignment horizontal="right" vertical="bottom"/>
      <protection locked="1" hidden="0"/>
    </xf>
    <xf numFmtId="164" fontId="12" fillId="0" borderId="0" xfId="0" applyNumberFormat="1" applyFont="1" applyFill="1" applyAlignment="1" applyProtection="1">
      <alignment horizontal="right" vertical="bottom"/>
      <protection locked="1" hidden="0"/>
    </xf>
    <xf numFmtId="168" fontId="6" fillId="2" borderId="0" xfId="0" applyNumberFormat="1" applyFont="1" applyFill="1" applyAlignment="1" applyProtection="1">
      <alignment horizontal="right" vertical="bottom"/>
      <protection locked="1" hidden="0"/>
    </xf>
    <xf numFmtId="0" fontId="6" fillId="2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left" vertical="bottom" indent="1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left" vertical="bottom"/>
      <protection locked="1" hidden="0"/>
    </xf>
    <xf numFmtId="0" fontId="7" fillId="0" borderId="1" xfId="0" applyFont="1" applyFill="1" applyBorder="1" applyAlignment="1" applyProtection="1">
      <alignment horizontal="left" vertical="bottom"/>
      <protection locked="1" hidden="0"/>
    </xf>
    <xf numFmtId="164" fontId="4" fillId="2" borderId="0" xfId="0" applyNumberFormat="1" applyFont="1" applyFill="1" applyAlignment="1" applyProtection="1">
      <alignment horizontal="right" vertical="bottom"/>
      <protection locked="1" hidden="0"/>
    </xf>
    <xf numFmtId="165" fontId="8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5" fillId="2" borderId="0" xfId="0" applyNumberFormat="1" applyFont="1" applyFill="1" applyAlignment="1" applyProtection="1">
      <alignment horizontal="right" vertical="bottom"/>
      <protection locked="1" hidden="0"/>
    </xf>
    <xf numFmtId="165" fontId="6" fillId="2" borderId="0" xfId="0" applyNumberFormat="1" applyFont="1" applyFill="1" applyAlignment="1" applyProtection="1">
      <alignment horizontal="right" vertical="bottom"/>
      <protection locked="1" hidden="0"/>
    </xf>
    <xf numFmtId="170" fontId="5" fillId="0" borderId="0" xfId="0" applyNumberFormat="1" applyFont="1" applyFill="1" applyAlignment="1" applyProtection="1">
      <alignment horizontal="right" vertical="bottom"/>
      <protection locked="1" hidden="0"/>
    </xf>
    <xf numFmtId="0" fontId="3" fillId="3" borderId="2" xfId="0" applyFont="1" applyFill="1" applyBorder="1" applyAlignment="1" applyProtection="1">
      <alignment horizontal="left" vertical="bottom"/>
      <protection locked="1" hidden="0"/>
    </xf>
    <xf numFmtId="168" fontId="3" fillId="2" borderId="0" xfId="0" applyNumberFormat="1" applyFont="1" applyFill="1" applyAlignment="1" applyProtection="1">
      <alignment horizontal="right" vertical="bottom"/>
      <protection locked="1" hidden="0"/>
    </xf>
    <xf numFmtId="0" fontId="6" fillId="3" borderId="1" xfId="0" applyFont="1" applyFill="1" applyBorder="1" applyAlignment="1" applyProtection="1">
      <alignment horizontal="left" vertical="bottom"/>
      <protection locked="1" hidden="0"/>
    </xf>
    <xf numFmtId="0" fontId="7" fillId="0" borderId="0" xfId="0" applyFont="1" applyFill="1" applyAlignment="1" applyProtection="1">
      <alignment horizontal="left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0" fontId="14" fillId="0" borderId="0" xfId="0" applyFont="1" applyFill="1" applyAlignment="1" applyProtection="1">
      <alignment horizontal="left" vertical="center" indent="7"/>
      <protection locked="1" hidden="0"/>
    </xf>
    <xf numFmtId="165" fontId="10" fillId="2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left" vertical="bottom"/>
      <protection locked="1" hidden="0"/>
    </xf>
    <xf numFmtId="165" fontId="8" fillId="2" borderId="0" xfId="0" applyNumberFormat="1" applyFont="1" applyFill="1" applyAlignment="1" applyProtection="1">
      <alignment horizontal="right" vertical="bottom"/>
      <protection locked="1" hidden="0"/>
    </xf>
    <xf numFmtId="167" fontId="9" fillId="0" borderId="0" xfId="0" applyNumberFormat="1" applyFont="1" applyFill="1" applyAlignment="1" applyProtection="1">
      <alignment horizontal="right" vertical="bottom"/>
      <protection locked="1" hidden="0"/>
    </xf>
    <xf numFmtId="165" fontId="6" fillId="2" borderId="1" xfId="0" applyNumberFormat="1" applyFont="1" applyFill="1" applyBorder="1" applyAlignment="1" applyProtection="1">
      <alignment horizontal="right" vertical="bottom"/>
      <protection locked="1" hidden="0"/>
    </xf>
    <xf numFmtId="166" fontId="3" fillId="2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left" vertical="bottom" indent="1"/>
      <protection locked="1" hidden="0"/>
    </xf>
    <xf numFmtId="168" fontId="7" fillId="2" borderId="0" xfId="0" applyNumberFormat="1" applyFont="1" applyFill="1" applyAlignment="1" applyProtection="1">
      <alignment horizontal="right" vertical="bottom"/>
      <protection locked="1" hidden="0"/>
    </xf>
    <xf numFmtId="0" fontId="11" fillId="0" borderId="0" xfId="0" applyFont="1" applyFill="1" applyAlignment="1" applyProtection="1">
      <alignment horizontal="lef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71" fontId="5" fillId="0" borderId="0" xfId="0" applyNumberFormat="1" applyFont="1" applyFill="1" applyAlignment="1" applyProtection="1">
      <alignment horizontal="right" vertical="bottom"/>
      <protection locked="1" hidden="0"/>
    </xf>
    <xf numFmtId="171" fontId="3" fillId="0" borderId="0" xfId="0" applyNumberFormat="1" applyFont="1" applyFill="1" applyAlignment="1" applyProtection="1">
      <alignment horizontal="right" vertical="bottom"/>
      <protection locked="1" hidden="0"/>
    </xf>
    <xf numFmtId="171" fontId="3" fillId="2" borderId="0" xfId="0" applyNumberFormat="1" applyFont="1" applyFill="1" applyAlignment="1" applyProtection="1">
      <alignment horizontal="right" vertical="bottom"/>
      <protection locked="1" hidden="0"/>
    </xf>
    <xf numFmtId="172" fontId="3" fillId="2" borderId="0" xfId="0" applyNumberFormat="1" applyFont="1" applyFill="1" applyAlignment="1" applyProtection="1">
      <alignment horizontal="right" vertical="bottom"/>
      <protection locked="1" hidden="0"/>
    </xf>
    <xf numFmtId="172" fontId="3" fillId="0" borderId="0" xfId="0" applyNumberFormat="1" applyFont="1" applyFill="1" applyAlignment="1" applyProtection="1">
      <alignment horizontal="right" vertical="bottom"/>
      <protection locked="1" hidden="0"/>
    </xf>
    <xf numFmtId="171" fontId="10" fillId="2" borderId="0" xfId="0" applyNumberFormat="1" applyFont="1" applyFill="1" applyAlignment="1" applyProtection="1">
      <alignment horizontal="right" vertical="bottom"/>
      <protection locked="1" hidden="0"/>
    </xf>
    <xf numFmtId="168" fontId="10" fillId="0" borderId="0" xfId="0" applyNumberFormat="1" applyFont="1" applyFill="1" applyAlignment="1" applyProtection="1">
      <alignment horizontal="right" vertical="bottom"/>
      <protection locked="1" hidden="0"/>
    </xf>
    <xf numFmtId="170" fontId="3" fillId="2" borderId="0" xfId="0" applyNumberFormat="1" applyFont="1" applyFill="1" applyAlignment="1" applyProtection="1">
      <alignment horizontal="right" vertical="bottom"/>
      <protection locked="1" hidden="0"/>
    </xf>
    <xf numFmtId="167" fontId="10" fillId="0" borderId="0" xfId="0" applyNumberFormat="1" applyFont="1" applyFill="1" applyAlignment="1" applyProtection="1">
      <alignment horizontal="left" vertical="bottom"/>
      <protection locked="1" hidden="0"/>
    </xf>
    <xf numFmtId="0" fontId="3" fillId="0" borderId="0" xfId="0" applyFont="1" applyFill="1" applyAlignment="1" applyProtection="1">
      <alignment horizontal="left" vertical="bottom" wrapText="1"/>
      <protection locked="1" hidden="0"/>
    </xf>
    <xf numFmtId="173" fontId="8" fillId="0" borderId="1" xfId="0" applyNumberFormat="1" applyFont="1" applyFill="1" applyBorder="1" applyAlignment="1" applyProtection="1">
      <alignment horizontal="right" vertical="bottom"/>
      <protection locked="1" hidden="0"/>
    </xf>
    <xf numFmtId="173" fontId="3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right" vertical="bottom"/>
      <protection locked="1" hidden="0"/>
    </xf>
    <xf numFmtId="173" fontId="3" fillId="2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left" vertical="bottom"/>
      <protection locked="1" hidden="0"/>
    </xf>
    <xf numFmtId="0" fontId="6" fillId="0" borderId="0" xfId="0" applyFont="1" applyFill="1" applyAlignment="1" applyProtection="1">
      <alignment horizontal="left" vertical="bottom" wrapText="1"/>
      <protection locked="1" hidden="0"/>
    </xf>
    <xf numFmtId="173" fontId="6" fillId="0" borderId="1" xfId="0" applyNumberFormat="1" applyFont="1" applyFill="1" applyBorder="1" applyAlignment="1" applyProtection="1">
      <alignment horizontal="right" vertical="bottom"/>
      <protection locked="1" hidden="0"/>
    </xf>
    <xf numFmtId="173" fontId="5" fillId="0" borderId="0" xfId="0" applyNumberFormat="1" applyFont="1" applyFill="1" applyAlignment="1" applyProtection="1">
      <alignment horizontal="right" vertical="bottom"/>
      <protection locked="1" hidden="0"/>
    </xf>
    <xf numFmtId="173" fontId="8" fillId="2" borderId="1" xfId="0" applyNumberFormat="1" applyFont="1" applyFill="1" applyBorder="1" applyAlignment="1" applyProtection="1">
      <alignment horizontal="right" vertical="bottom"/>
      <protection locked="1" hidden="0"/>
    </xf>
    <xf numFmtId="174" fontId="3" fillId="0" borderId="0" xfId="0" applyNumberFormat="1" applyFont="1" applyFill="1" applyAlignment="1" applyProtection="1">
      <alignment horizontal="right" vertical="bottom"/>
      <protection locked="1" hidden="0"/>
    </xf>
    <xf numFmtId="175" fontId="10" fillId="0" borderId="0" xfId="0" applyNumberFormat="1" applyFont="1" applyFill="1" applyAlignment="1" applyProtection="1">
      <alignment horizontal="right" vertical="bottom"/>
      <protection locked="1" hidden="0"/>
    </xf>
    <xf numFmtId="166" fontId="10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wrapText="1"/>
      <protection locked="1" hidden="0"/>
    </xf>
    <xf numFmtId="173" fontId="10" fillId="0" borderId="0" xfId="0" applyNumberFormat="1" applyFont="1" applyFill="1" applyAlignment="1" applyProtection="1">
      <alignment horizontal="right" vertical="bottom"/>
      <protection locked="1" hidden="0"/>
    </xf>
    <xf numFmtId="174" fontId="10" fillId="0" borderId="0" xfId="0" applyNumberFormat="1" applyFont="1" applyFill="1" applyAlignment="1" applyProtection="1">
      <alignment horizontal="right" vertical="bottom"/>
      <protection locked="1" hidden="0"/>
    </xf>
    <xf numFmtId="169" fontId="10" fillId="0" borderId="0" xfId="0" applyNumberFormat="1" applyFont="1" applyFill="1" applyAlignment="1" applyProtection="1">
      <alignment horizontal="right" vertical="bottom"/>
      <protection locked="1" hidden="0"/>
    </xf>
    <xf numFmtId="170" fontId="15" fillId="0" borderId="0" xfId="0" applyNumberFormat="1" applyFont="1" applyFill="1" applyAlignment="1" applyProtection="1">
      <alignment horizontal="left" vertical="center" textRotation="0" indent="10" readingOrder="0"/>
      <protection locked="1" hidden="0"/>
    </xf>
    <xf numFmtId="170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9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19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0" fontId="20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0" fontId="21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70" fontId="20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0" fontId="20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70" fontId="22" fillId="0" borderId="0" xfId="0" applyNumberFormat="1" applyFont="1" applyFill="1" applyAlignment="1" applyProtection="1">
      <alignment horizontal="left" vertical="center" textRotation="0" indent="1" readingOrder="0"/>
      <protection locked="1" hidden="0"/>
    </xf>
    <xf numFmtId="170" fontId="23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0" fontId="24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0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5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4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8" fillId="3" borderId="1" xfId="0" applyNumberFormat="1" applyFont="1" applyFill="1" applyBorder="1" applyAlignment="1" applyProtection="1">
      <alignment horizontal="left" vertical="bottom" textRotation="0" indent="1" readingOrder="0"/>
      <protection locked="1" hidden="0"/>
    </xf>
    <xf numFmtId="170" fontId="29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70" fontId="28" fillId="0" borderId="0" xfId="0" applyNumberFormat="1" applyFont="1" applyFill="1" applyAlignment="1" applyProtection="1">
      <alignment horizontal="left" vertical="bottom" textRotation="0" indent="1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showGridLines="0" tabSelected="1" workbookViewId="0"/>
  </sheetViews>
  <sheetFormatPr defaultRowHeight="15"/>
  <cols>
    <col min="1" max="1" width="10" customWidth="1"/>
    <col min="2" max="2" width="32" customWidth="1"/>
    <col min="3" max="8" width="12" customWidth="1"/>
    <col min="9" max="9" width="48" customWidth="1"/>
  </cols>
  <sheetData>
    <row r="1" ht="52.5">
      <c r="A1" s="4"/>
      <c r="B1" s="107" t="s">
        <v>0</v>
      </c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2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98" t="s">
        <v>14</v>
      </c>
      <c r="C8" s="4"/>
      <c r="D8" s="4"/>
      <c r="E8" s="4"/>
      <c r="F8" s="4"/>
      <c r="G8" s="4"/>
      <c r="H8" s="4"/>
      <c r="I8" s="4"/>
    </row>
    <row r="9">
      <c r="A9" s="4"/>
      <c r="B9" s="13" t="s">
        <v>15</v>
      </c>
      <c r="C9" s="13" t="s">
        <v>16</v>
      </c>
      <c r="D9" s="4"/>
      <c r="E9" s="4"/>
      <c r="F9" s="4"/>
      <c r="G9" s="4"/>
      <c r="H9" s="4"/>
      <c r="I9" s="2"/>
    </row>
    <row r="10">
      <c r="A10" s="4"/>
      <c r="B10" s="13" t="s">
        <v>17</v>
      </c>
      <c r="C10" s="13" t="s">
        <v>18</v>
      </c>
      <c r="D10" s="4"/>
      <c r="E10" s="4"/>
      <c r="F10" s="4"/>
      <c r="G10" s="4"/>
      <c r="H10" s="4"/>
      <c r="I10" s="2"/>
    </row>
    <row r="11">
      <c r="A11" s="4"/>
      <c r="B11" s="13" t="s">
        <v>19</v>
      </c>
      <c r="C11" s="13" t="s">
        <v>20</v>
      </c>
      <c r="D11" s="4"/>
      <c r="E11" s="4"/>
      <c r="F11" s="4"/>
      <c r="G11" s="4"/>
      <c r="H11" s="4"/>
      <c r="I11" s="2"/>
    </row>
    <row r="12">
      <c r="A12" s="4"/>
      <c r="B12" s="13" t="s">
        <v>21</v>
      </c>
      <c r="C12" s="13" t="s">
        <v>22</v>
      </c>
      <c r="D12" s="4"/>
      <c r="E12" s="4"/>
      <c r="F12" s="4"/>
      <c r="G12" s="4"/>
      <c r="H12" s="4"/>
      <c r="I12" s="2"/>
    </row>
    <row r="13">
      <c r="A13" s="4"/>
      <c r="B13" s="13" t="s">
        <v>23</v>
      </c>
      <c r="C13" s="13" t="s">
        <v>24</v>
      </c>
      <c r="D13" s="4"/>
      <c r="E13" s="4"/>
      <c r="F13" s="4"/>
      <c r="G13" s="4"/>
      <c r="H13" s="4"/>
      <c r="I13" s="2" t="s">
        <v>25</v>
      </c>
    </row>
    <row r="14">
      <c r="A14" s="4"/>
      <c r="B14" s="13" t="s">
        <v>26</v>
      </c>
      <c r="C14" s="13" t="s">
        <v>27</v>
      </c>
      <c r="D14" s="4"/>
      <c r="E14" s="4"/>
      <c r="F14" s="4"/>
      <c r="G14" s="4"/>
      <c r="H14" s="4"/>
      <c r="I14" s="2"/>
    </row>
    <row r="15">
      <c r="A15" s="4"/>
      <c r="B15" s="13" t="s">
        <v>28</v>
      </c>
      <c r="C15" s="13" t="s">
        <v>29</v>
      </c>
      <c r="D15" s="4"/>
      <c r="E15" s="4"/>
      <c r="F15" s="4"/>
      <c r="G15" s="4"/>
      <c r="H15" s="4"/>
      <c r="I15" s="2"/>
    </row>
    <row r="16">
      <c r="A16" s="4"/>
      <c r="B16" s="13"/>
      <c r="C16" s="4"/>
      <c r="D16" s="4"/>
      <c r="E16" s="4"/>
      <c r="F16" s="4"/>
      <c r="G16" s="4"/>
      <c r="H16" s="4"/>
      <c r="I16" s="2"/>
    </row>
    <row r="17">
      <c r="A17" s="4"/>
      <c r="B17" s="11" t="s">
        <v>30</v>
      </c>
      <c r="C17" s="34" t="s">
        <v>31</v>
      </c>
      <c r="D17" s="14" t="s">
        <v>32</v>
      </c>
      <c r="E17" s="14" t="s">
        <v>33</v>
      </c>
      <c r="F17" s="14" t="s">
        <v>34</v>
      </c>
      <c r="G17" s="14" t="s">
        <v>35</v>
      </c>
      <c r="H17" s="14"/>
      <c r="I17" s="2"/>
    </row>
    <row r="18">
      <c r="A18" s="4"/>
      <c r="B18" s="11" t="s">
        <v>36</v>
      </c>
      <c r="C18" s="24">
        <f>'Income Statement'!H9</f>
        <v>63857.344000000005</v>
      </c>
      <c r="D18" s="18">
        <f>Inputs!C60</f>
        <v>63388.57</v>
      </c>
      <c r="E18" s="17">
        <f>C18-D18</f>
        <v>468.7740000000049</v>
      </c>
      <c r="F18" s="18">
        <f>Guidance!G23</f>
        <v>62500</v>
      </c>
      <c r="G18" s="17">
        <f>C18-F18</f>
        <v>1357.3440000000046</v>
      </c>
      <c r="H18" s="17"/>
      <c r="I18" s="2"/>
    </row>
    <row r="19">
      <c r="A19" s="4"/>
      <c r="B19" s="46" t="s">
        <v>37</v>
      </c>
      <c r="C19" s="16"/>
      <c r="D19" s="1"/>
      <c r="E19" s="1">
        <f>C18/D18-1</f>
        <v>0.007395244915605614</v>
      </c>
      <c r="F19" s="1"/>
      <c r="G19" s="1">
        <f>C18/F18-1</f>
        <v>0.021717504000000165</v>
      </c>
      <c r="H19" s="1"/>
      <c r="I19" s="2"/>
    </row>
    <row r="20">
      <c r="A20" s="4"/>
      <c r="B20" s="11" t="s">
        <v>38</v>
      </c>
      <c r="C20" s="24">
        <f>'Income Statement'!H81</f>
        <v>17897.096770560005</v>
      </c>
      <c r="D20" s="18">
        <f>Inputs!C73</f>
        <v>17313.99</v>
      </c>
      <c r="E20" s="17">
        <f>C20-D20</f>
        <v>583.1067705600035</v>
      </c>
      <c r="F20" s="18">
        <f>Guidance!H44</f>
        <v>16756.92781056</v>
      </c>
      <c r="G20" s="17">
        <f>C20-F20</f>
        <v>1140.1689600000063</v>
      </c>
      <c r="H20" s="17"/>
      <c r="I20" s="2" t="s">
        <v>39</v>
      </c>
    </row>
    <row r="21">
      <c r="A21" s="4"/>
      <c r="B21" s="46" t="s">
        <v>40</v>
      </c>
      <c r="C21" s="16"/>
      <c r="D21" s="1"/>
      <c r="E21" s="1">
        <f>C20/D20-1</f>
        <v>0.03367835897791349</v>
      </c>
      <c r="F21" s="1"/>
      <c r="G21" s="1">
        <f>C20/F20-1</f>
        <v>0.06804164658879097</v>
      </c>
      <c r="H21" s="1"/>
      <c r="I21" s="2"/>
    </row>
    <row r="22">
      <c r="A22" s="4"/>
      <c r="B22" s="11" t="s">
        <v>41</v>
      </c>
      <c r="C22" s="68">
        <f>'Income Statement'!H82</f>
        <v>6.958435758382584</v>
      </c>
      <c r="D22" s="27">
        <f>Inputs!C42</f>
        <v>6.76</v>
      </c>
      <c r="E22" s="32">
        <f>C22-D22</f>
        <v>0.1984357583825842</v>
      </c>
      <c r="F22" s="27">
        <f>Guidance!H45</f>
        <v>6.515135229611197</v>
      </c>
      <c r="G22" s="32">
        <f>C22-F22</f>
        <v>0.44330052877138737</v>
      </c>
      <c r="H22" s="32"/>
      <c r="I22" s="2" t="s">
        <v>42</v>
      </c>
    </row>
    <row r="23">
      <c r="A23" s="4"/>
      <c r="B23" s="46" t="s">
        <v>43</v>
      </c>
      <c r="C23" s="16"/>
      <c r="D23" s="1"/>
      <c r="E23" s="1">
        <f>C22/D22-1</f>
        <v>0.02935440212760132</v>
      </c>
      <c r="F23" s="1"/>
      <c r="G23" s="1">
        <f>C22/F22-1</f>
        <v>0.0680416465887912</v>
      </c>
      <c r="H23" s="1"/>
      <c r="I23" s="2"/>
    </row>
    <row r="24">
      <c r="A24" s="4"/>
      <c r="B24" s="13" t="s">
        <v>44</v>
      </c>
      <c r="C24" s="52">
        <f>'Income Statement'!H60</f>
        <v>9497.096770560003</v>
      </c>
      <c r="D24" s="36">
        <f>Inputs!C74</f>
        <v>14733.9</v>
      </c>
      <c r="E24" s="10">
        <f>C24-D24</f>
        <v>-5236.803229439996</v>
      </c>
      <c r="F24" s="36">
        <f>Guidance!H46</f>
        <v>8356.927810559999</v>
      </c>
      <c r="G24" s="10">
        <f>C24-F24</f>
        <v>1140.1689600000045</v>
      </c>
      <c r="H24" s="10"/>
      <c r="I24" s="2"/>
    </row>
    <row r="25">
      <c r="A25" s="4"/>
      <c r="B25" s="13" t="s">
        <v>45</v>
      </c>
      <c r="C25" s="28">
        <f>'Income Statement'!H69</f>
        <v>3.6924948563608098</v>
      </c>
      <c r="D25" s="59">
        <f>Inputs!C51</f>
        <v>5.7</v>
      </c>
      <c r="E25" s="20">
        <f>C25-D25</f>
        <v>-2.0075051436391904</v>
      </c>
      <c r="F25" s="59">
        <f>Guidance!H47</f>
        <v>3.249194327589424</v>
      </c>
      <c r="G25" s="20">
        <f>C25-F25</f>
        <v>0.4433005287713856</v>
      </c>
      <c r="H25" s="20"/>
      <c r="I25" s="2" t="s">
        <v>46</v>
      </c>
    </row>
    <row r="26">
      <c r="A26" s="4"/>
      <c r="B26" s="13" t="s">
        <v>47</v>
      </c>
      <c r="C26" s="54" t="b">
        <f>AND(ABS(C18-'Income Statement'!H9)&lt;0.001,ABS(C20-'Income Statement'!H81)&lt;0.001,ABS(C22-'Income Statement'!H82)&lt;0.000001,ABS(C25-'Income Statement'!H69)&lt;0.000001)</f>
        <v>1</v>
      </c>
      <c r="D26" s="35"/>
      <c r="E26" s="35"/>
      <c r="F26" s="35"/>
      <c r="G26" s="35"/>
      <c r="H26" s="35"/>
      <c r="I26" s="2" t="s">
        <v>48</v>
      </c>
    </row>
    <row r="27">
      <c r="A27" s="4"/>
      <c r="B27" s="11" t="s">
        <v>49</v>
      </c>
      <c r="C27" s="108" t="str">
        <f>IF(AND(ABS('Revenue summary'!C40)&lt;0.5,ABS('Revenue summary'!D40)&lt;0.5,ABS('Revenue summary'!E40)&lt;0.5,ABS('Revenue summary'!F40)&lt;0.5,ABS('Revenue summary'!G40)&lt;0.5,ABS('Segment - Family of Apps'!C51)&lt;0.5,ABS('Segment - Family of Apps'!D51)&lt;0.5,ABS('Segment - Family of Apps'!E51)&lt;0.5,ABS('Segment - Family of Apps'!F51)&lt;0.5,ABS('Segment - Family of Apps'!G51)&lt;0.5,ABS('Income Statement'!C52)&lt;0.5,ABS('Income Statement'!D52)&lt;0.5,ABS('Income Statement'!E52)&lt;0.5,ABS('Income Statement'!F52)&lt;0.5,ABS('Income Statement'!G52)&lt;0.5,'Income Statement'!C72=TRUE,'Income Statement'!D72=TRUE,'Income Statement'!E72=TRUE,'Income Statement'!F72=TRUE,'Income Statement'!G72=TRUE,'Income Statement'!C85=TRUE,'Income Statement'!D85=TRUE,'Income Statement'!E85=TRUE,'Income Statement'!F85=TRUE,ABS('Balance Sheet'!C41)&lt;0.5,ABS('Balance Sheet'!D41)&lt;0.5,ABS('Balance Sheet'!E41)&lt;0.5,ABS('Balance Sheet'!F41)&lt;0.5,ABS('Balance Sheet'!G41)&lt;0.5,ABS('Balance Sheet'!C42)&lt;0.5,ABS('Balance Sheet'!D42)&lt;0.5,ABS('Balance Sheet'!E42)&lt;0.5,ABS('Balance Sheet'!F42)&lt;0.5,ABS('Cash Flow Statement'!C29)&lt;0.5,ABS('Cash Flow Statement'!D29)&lt;0.5,ABS('Cash Flow Statement'!E29)&lt;0.5,ABS('Cash Flow Statement'!F29)&lt;0.5,ABS('Cash Flow Statement'!G29)&lt;0.5,ABS('Cash Flow Statement'!C64)&lt;0.5,ABS('Cash Flow Statement'!D64)&lt;0.5,ABS('Cash Flow Statement'!E64)&lt;0.5,ABS('Cash Flow Statement'!F64)&lt;0.5,ABS('Cash Flow Statement'!G64)&lt;0.5,ABS(Geo!C45)&lt;0.5,ABS(Geo!D45)&lt;0.5,ABS(Geo!E45)&lt;0.5,ABS(Geo!F45)&lt;0.5,ABS(Geo!G45)&lt;0.5,ABS(Geo!C83)&lt;0.5,ABS(Geo!D83)&lt;0.5,ABS(Geo!E83)&lt;0.5,ABS(Geo!F83)&lt;0.5,ABS(Geo!G83)&lt;0.5,ABS('Balance Sheet'!H41)&lt;0.5),"PASS","FAIL")</f>
        <v>PASS</v>
      </c>
      <c r="D27" s="15"/>
      <c r="E27" s="15"/>
      <c r="F27" s="15"/>
      <c r="G27" s="15"/>
      <c r="H27" s="15"/>
      <c r="I27" s="2" t="s">
        <v>50</v>
      </c>
    </row>
    <row r="28">
      <c r="A28" s="4"/>
      <c r="B28" s="69" t="s">
        <v>51</v>
      </c>
      <c r="C28" s="112">
        <f>Inputs!C225</f>
        <v>0.52</v>
      </c>
      <c r="D28" s="38"/>
      <c r="E28" s="38"/>
      <c r="F28" s="38"/>
      <c r="G28" s="38"/>
      <c r="H28" s="38"/>
      <c r="I28" s="2"/>
    </row>
    <row r="29">
      <c r="A29" s="4"/>
      <c r="B29" s="11" t="s">
        <v>52</v>
      </c>
      <c r="C29" s="110" t="str">
        <f>Inputs!C226</f>
        <v>low</v>
      </c>
      <c r="D29" s="12"/>
      <c r="E29" s="12"/>
      <c r="F29" s="12"/>
      <c r="G29" s="12"/>
      <c r="H29" s="12"/>
      <c r="I29" s="2"/>
    </row>
    <row r="30">
      <c r="A30" s="4"/>
      <c r="B30" s="13"/>
      <c r="C30" s="4"/>
      <c r="D30" s="4"/>
      <c r="E30" s="4"/>
      <c r="F30" s="4"/>
      <c r="G30" s="4"/>
      <c r="H30" s="4"/>
      <c r="I30" s="2"/>
    </row>
    <row r="31">
      <c r="A31" s="4"/>
      <c r="B31" s="13" t="s">
        <v>53</v>
      </c>
      <c r="C31" s="13" t="s">
        <v>54</v>
      </c>
      <c r="D31" s="4"/>
      <c r="E31" s="4"/>
      <c r="F31" s="4"/>
      <c r="G31" s="4"/>
      <c r="H31" s="4"/>
      <c r="I31" s="2"/>
    </row>
    <row r="32">
      <c r="A32" s="4"/>
      <c r="B32" s="13" t="s">
        <v>55</v>
      </c>
      <c r="C32" s="13" t="s">
        <v>56</v>
      </c>
      <c r="D32" s="4"/>
      <c r="E32" s="4"/>
      <c r="F32" s="4"/>
      <c r="G32" s="4"/>
      <c r="H32" s="4"/>
      <c r="I32" s="2"/>
    </row>
    <row r="33" ht="48">
      <c r="A33" s="4"/>
      <c r="B33" s="116" t="s">
        <v>57</v>
      </c>
      <c r="C33" s="111" t="str">
        <f>"Conditional basis: EPS assumes CapIQ excludes the ~$10bn settlement accrual. If kept (as 2Q26 legal/severance were), normalized ≈ GAAP "&amp;TEXT(C25,"$0.00")&amp;". Frozen panel is mixed: mean "&amp;TEXT(Inputs!C42,"$0.00")&amp;", median "&amp;TEXT(Inputs!C43,"$0.00")&amp;", low "&amp;TEXT(Inputs!C45,"$0.00")&amp;"."</f>
        <v>Conditional basis: EPS assumes CapIQ excludes the ~$10bn settlement accrual. If kept (as 2Q26 legal/severance were), normalized ≈ GAAP $3.69. Frozen panel is mixed: mean $6.76, median $6.95, low $3.92.</v>
      </c>
      <c r="D33" s="4"/>
      <c r="E33" s="4"/>
      <c r="F33" s="4"/>
      <c r="G33" s="4"/>
      <c r="H33" s="4"/>
      <c r="I33" s="109" t="s">
        <v>58</v>
      </c>
    </row>
    <row r="34">
      <c r="A34" s="4"/>
      <c r="B34" s="4"/>
      <c r="C34" s="4"/>
      <c r="D34" s="4"/>
      <c r="E34" s="4"/>
      <c r="F34" s="4"/>
      <c r="G34" s="4"/>
      <c r="H34" s="4"/>
      <c r="I34" s="4"/>
    </row>
    <row r="35">
      <c r="A35" s="4"/>
      <c r="B35" s="4"/>
      <c r="C35" s="4"/>
      <c r="D35" s="4"/>
      <c r="E35" s="4"/>
      <c r="F35" s="4"/>
      <c r="G35" s="4"/>
      <c r="H35" s="4"/>
      <c r="I35" s="4"/>
    </row>
  </sheetData>
  <mergeCells count="1">
    <mergeCell ref="C33:H3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59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60</v>
      </c>
      <c r="C9" s="12"/>
      <c r="D9" s="12"/>
      <c r="E9" s="12"/>
      <c r="F9" s="12"/>
      <c r="G9" s="12"/>
      <c r="H9" s="45"/>
      <c r="I9" s="2"/>
    </row>
    <row r="10">
      <c r="A10" s="4"/>
      <c r="B10" s="11" t="s">
        <v>61</v>
      </c>
      <c r="C10" s="18">
        <f>'Segment - Family of Apps'!C49</f>
        <v>50772</v>
      </c>
      <c r="D10" s="18">
        <f>'Segment - Family of Apps'!D49</f>
        <v>58938</v>
      </c>
      <c r="E10" s="18">
        <f>'Segment - Family of Apps'!E49</f>
        <v>55909</v>
      </c>
      <c r="F10" s="18">
        <f>'Segment - Family of Apps'!F49</f>
        <v>60370</v>
      </c>
      <c r="G10" s="18">
        <f>'Segment - Family of Apps'!G49</f>
        <v>198759</v>
      </c>
      <c r="H10" s="24">
        <f>'Segment - Family of Apps'!H49</f>
        <v>63340.344000000005</v>
      </c>
      <c r="I10" s="2" t="s">
        <v>62</v>
      </c>
    </row>
    <row r="11">
      <c r="A11" s="4"/>
      <c r="B11" s="5" t="s">
        <v>63</v>
      </c>
      <c r="C11" s="7">
        <f>'Segment - Family of Apps'!C52</f>
        <v>0.25925742205907887</v>
      </c>
      <c r="D11" s="7">
        <f>'Segment - Family of Apps'!D52</f>
        <v>0.24599382689949678</v>
      </c>
      <c r="E11" s="7">
        <f>'Segment - Family of Apps'!E52</f>
        <v>0.33427998663548286</v>
      </c>
      <c r="F11" s="7">
        <f>'Segment - Family of Apps'!F52</f>
        <v>0.28049039154965416</v>
      </c>
      <c r="G11" s="7">
        <f>'Segment - Family of Apps'!G52</f>
        <v>0.22422469280280866</v>
      </c>
      <c r="H11" s="50">
        <f>'Segment - Family of Apps'!H52</f>
        <v>0.24754478846608374</v>
      </c>
      <c r="I11" s="2"/>
    </row>
    <row r="12">
      <c r="A12" s="4"/>
      <c r="B12" s="5" t="s">
        <v>64</v>
      </c>
      <c r="C12" s="7">
        <f>C10/Inputs!F127-1</f>
        <v>0.0769100241802061</v>
      </c>
      <c r="D12" s="1">
        <f>D10/C10-1</f>
        <v>0.1608366816355471</v>
      </c>
      <c r="E12" s="1">
        <f>E10/D10-1</f>
        <v>-0.05139298924293323</v>
      </c>
      <c r="F12" s="1">
        <f>F10/E10-1</f>
        <v>0.079790373642884</v>
      </c>
      <c r="G12" s="1" t="s">
        <v>65</v>
      </c>
      <c r="H12" s="16">
        <f>H10/F10-1</f>
        <v>0.04920231903263228</v>
      </c>
      <c r="I12" s="2"/>
    </row>
    <row r="13">
      <c r="A13" s="4"/>
      <c r="B13" s="5" t="s">
        <v>66</v>
      </c>
      <c r="C13" s="1">
        <f>C10/C38</f>
        <v>0.990827836540338</v>
      </c>
      <c r="D13" s="1">
        <f>D10/D38</f>
        <v>0.9840548979012572</v>
      </c>
      <c r="E13" s="1">
        <f>E10/E38</f>
        <v>0.9928610751007796</v>
      </c>
      <c r="F13" s="1">
        <f>F10/F38</f>
        <v>0.9929113008009737</v>
      </c>
      <c r="G13" s="1">
        <f>G10/G38</f>
        <v>0.9890180428530199</v>
      </c>
      <c r="H13" s="16">
        <f>H10/H38</f>
        <v>0.9919038286340253</v>
      </c>
      <c r="I13" s="2"/>
    </row>
    <row r="14">
      <c r="A14" s="4"/>
      <c r="B14" s="5" t="s">
        <v>67</v>
      </c>
      <c r="C14" s="1" t="s">
        <v>68</v>
      </c>
      <c r="D14" s="1" t="s">
        <v>68</v>
      </c>
      <c r="E14" s="1" t="s">
        <v>68</v>
      </c>
      <c r="F14" s="1" t="s">
        <v>68</v>
      </c>
      <c r="G14" s="1" t="s">
        <v>68</v>
      </c>
      <c r="H14" s="16" t="s">
        <v>68</v>
      </c>
      <c r="I14" s="2" t="s">
        <v>69</v>
      </c>
    </row>
    <row r="15">
      <c r="A15" s="4"/>
      <c r="B15" s="5" t="s">
        <v>70</v>
      </c>
      <c r="C15" s="1" t="s">
        <v>68</v>
      </c>
      <c r="D15" s="1" t="s">
        <v>68</v>
      </c>
      <c r="E15" s="1" t="s">
        <v>68</v>
      </c>
      <c r="F15" s="1" t="s">
        <v>68</v>
      </c>
      <c r="G15" s="1" t="s">
        <v>68</v>
      </c>
      <c r="H15" s="16" t="s">
        <v>68</v>
      </c>
      <c r="I15" s="2"/>
    </row>
    <row r="16">
      <c r="A16" s="4"/>
      <c r="B16" s="5" t="s">
        <v>71</v>
      </c>
      <c r="C16" s="1" t="str">
        <f>IFERROR((1+C11)/((1+C15)*(1+C14))-1,"n/a")</f>
        <v>n/a</v>
      </c>
      <c r="D16" s="1" t="str">
        <f>IFERROR((1+D11)/((1+D15)*(1+D14))-1,"n/a")</f>
        <v>n/a</v>
      </c>
      <c r="E16" s="1" t="str">
        <f>IFERROR((1+E11)/((1+E15)*(1+E14))-1,"n/a")</f>
        <v>n/a</v>
      </c>
      <c r="F16" s="1" t="str">
        <f>IFERROR((1+F11)/((1+F15)*(1+F14))-1,"n/a")</f>
        <v>n/a</v>
      </c>
      <c r="G16" s="1" t="str">
        <f>IFERROR((1+G11)/((1+G15)*(1+G14))-1,"n/a")</f>
        <v>n/a</v>
      </c>
      <c r="H16" s="16" t="str">
        <f>IFERROR((1+H11)/((1+H15)*(1+H14))-1,"n/a")</f>
        <v>n/a</v>
      </c>
      <c r="I16" s="2" t="s">
        <v>72</v>
      </c>
    </row>
    <row r="17">
      <c r="A17" s="4"/>
      <c r="B17" s="67" t="s">
        <v>73</v>
      </c>
      <c r="C17" s="36">
        <f>'Segment - Family of Apps'!C32</f>
        <v>50082</v>
      </c>
      <c r="D17" s="36">
        <f>'Segment - Family of Apps'!D32</f>
        <v>58137</v>
      </c>
      <c r="E17" s="36">
        <f>'Segment - Family of Apps'!E32</f>
        <v>55024</v>
      </c>
      <c r="F17" s="36">
        <f>'Segment - Family of Apps'!F32</f>
        <v>59363</v>
      </c>
      <c r="G17" s="36">
        <f>'Segment - Family of Apps'!G32</f>
        <v>196174</v>
      </c>
      <c r="H17" s="52">
        <f>'Segment - Family of Apps'!H32</f>
        <v>62201.844000000005</v>
      </c>
      <c r="I17" s="2"/>
    </row>
    <row r="18">
      <c r="A18" s="4"/>
      <c r="B18" s="5" t="s">
        <v>74</v>
      </c>
      <c r="C18" s="7">
        <f>'Segment - Family of Apps'!C33</f>
        <v>0.25566002256487397</v>
      </c>
      <c r="D18" s="7">
        <f>'Segment - Family of Apps'!D33</f>
        <v>0.2426949960455722</v>
      </c>
      <c r="E18" s="7">
        <f>'Segment - Family of Apps'!E33</f>
        <v>0.32933900270583694</v>
      </c>
      <c r="F18" s="7">
        <f>'Segment - Family of Apps'!F33</f>
        <v>0.2748963769516568</v>
      </c>
      <c r="G18" s="7">
        <f>'Segment - Family of Apps'!G33</f>
        <v>0.22125590632061898</v>
      </c>
      <c r="H18" s="50">
        <f>'Segment - Family of Apps'!H33</f>
        <v>0.242</v>
      </c>
      <c r="I18" s="2"/>
    </row>
    <row r="19">
      <c r="A19" s="4"/>
      <c r="B19" s="5" t="s">
        <v>75</v>
      </c>
      <c r="C19" s="7">
        <f>'Segment - Family of Apps'!C34</f>
        <v>0.07557502738225619</v>
      </c>
      <c r="D19" s="7">
        <f>'Segment - Family of Apps'!D34</f>
        <v>0.16083622858512037</v>
      </c>
      <c r="E19" s="7">
        <f>'Segment - Family of Apps'!E34</f>
        <v>-0.0535459346027487</v>
      </c>
      <c r="F19" s="7">
        <f>'Segment - Family of Apps'!F34</f>
        <v>0.07885649898226221</v>
      </c>
      <c r="G19" s="7" t="str">
        <f>'Segment - Family of Apps'!G34</f>
        <v>n/a</v>
      </c>
      <c r="H19" s="50">
        <f>'Segment - Family of Apps'!H34</f>
        <v>0.04782177450600544</v>
      </c>
      <c r="I19" s="2"/>
    </row>
    <row r="20">
      <c r="A20" s="4"/>
      <c r="B20" s="5" t="s">
        <v>76</v>
      </c>
      <c r="C20" s="1">
        <f>C17/C38</f>
        <v>0.977362319971898</v>
      </c>
      <c r="D20" s="1">
        <f>D17/D38</f>
        <v>0.9706810478686991</v>
      </c>
      <c r="E20" s="1">
        <f>E17/E38</f>
        <v>0.9771447852107048</v>
      </c>
      <c r="F20" s="1">
        <f>F17/F38</f>
        <v>0.9763490732060328</v>
      </c>
      <c r="G20" s="1">
        <f>G17/G38</f>
        <v>0.9761551705263577</v>
      </c>
      <c r="H20" s="16">
        <f>H17/H38</f>
        <v>0.9740750257323574</v>
      </c>
      <c r="I20" s="2"/>
    </row>
    <row r="21">
      <c r="A21" s="4"/>
      <c r="B21" s="5" t="s">
        <v>77</v>
      </c>
      <c r="C21" s="7">
        <f>'Segment - Family of Apps'!C38</f>
        <v>0.010254481634699763</v>
      </c>
      <c r="D21" s="7">
        <f>'Segment - Family of Apps'!D38</f>
        <v>0.0101105102280743</v>
      </c>
      <c r="E21" s="7">
        <f>'Segment - Family of Apps'!E38</f>
        <v>0.041892153073057596</v>
      </c>
      <c r="F21" s="7">
        <f>'Segment - Family of Apps'!F38</f>
        <v>0.014883061658398299</v>
      </c>
      <c r="G21" s="7">
        <f>'Segment - Family of Apps'!G38</f>
        <v>-0.0026271065098703254</v>
      </c>
      <c r="H21" s="50">
        <f>'Segment - Family of Apps'!H38</f>
        <v>-0.01</v>
      </c>
      <c r="I21" s="2" t="s">
        <v>78</v>
      </c>
    </row>
    <row r="22">
      <c r="A22" s="4"/>
      <c r="B22" s="5" t="s">
        <v>79</v>
      </c>
      <c r="C22" s="1" t="s">
        <v>68</v>
      </c>
      <c r="D22" s="1" t="s">
        <v>68</v>
      </c>
      <c r="E22" s="1" t="s">
        <v>68</v>
      </c>
      <c r="F22" s="1" t="s">
        <v>68</v>
      </c>
      <c r="G22" s="1" t="s">
        <v>68</v>
      </c>
      <c r="H22" s="16" t="s">
        <v>68</v>
      </c>
      <c r="I22" s="2"/>
    </row>
    <row r="23">
      <c r="A23" s="4"/>
      <c r="B23" s="5" t="s">
        <v>80</v>
      </c>
      <c r="C23" s="1" t="str">
        <f>IFERROR(C18-C22-C21,"n/a")</f>
        <v>n/a</v>
      </c>
      <c r="D23" s="1" t="str">
        <f>IFERROR(D18-D22-D21,"n/a")</f>
        <v>n/a</v>
      </c>
      <c r="E23" s="1" t="str">
        <f>IFERROR(E18-E22-E21,"n/a")</f>
        <v>n/a</v>
      </c>
      <c r="F23" s="1" t="str">
        <f>IFERROR(F18-F22-F21,"n/a")</f>
        <v>n/a</v>
      </c>
      <c r="G23" s="1" t="str">
        <f>IFERROR(G18-G22-G21,"n/a")</f>
        <v>n/a</v>
      </c>
      <c r="H23" s="16" t="str">
        <f>IFERROR(H18-H22-H21,"n/a")</f>
        <v>n/a</v>
      </c>
      <c r="I23" s="2" t="s">
        <v>81</v>
      </c>
    </row>
    <row r="24">
      <c r="A24" s="4"/>
      <c r="B24" s="67" t="s">
        <v>82</v>
      </c>
      <c r="C24" s="36">
        <f>'Segment - Family of Apps'!C42</f>
        <v>690</v>
      </c>
      <c r="D24" s="36">
        <f>'Segment - Family of Apps'!D42</f>
        <v>801</v>
      </c>
      <c r="E24" s="36">
        <f>'Segment - Family of Apps'!E42</f>
        <v>885</v>
      </c>
      <c r="F24" s="36">
        <f>'Segment - Family of Apps'!F42</f>
        <v>1007</v>
      </c>
      <c r="G24" s="36">
        <f>'Segment - Family of Apps'!G42</f>
        <v>2585</v>
      </c>
      <c r="H24" s="52">
        <f>'Segment - Family of Apps'!H42</f>
        <v>1138.5</v>
      </c>
      <c r="I24" s="2"/>
    </row>
    <row r="25">
      <c r="A25" s="4"/>
      <c r="B25" s="5" t="s">
        <v>83</v>
      </c>
      <c r="C25" s="7">
        <f>'Segment - Family of Apps'!C43</f>
        <v>0.5898617511520738</v>
      </c>
      <c r="D25" s="7">
        <f>'Segment - Family of Apps'!D43</f>
        <v>0.5433526011560694</v>
      </c>
      <c r="E25" s="7">
        <f>'Segment - Family of Apps'!E43</f>
        <v>0.7352941176470589</v>
      </c>
      <c r="F25" s="7">
        <f>'Segment - Family of Apps'!F43</f>
        <v>0.7272727272727273</v>
      </c>
      <c r="G25" s="7">
        <f>'Segment - Family of Apps'!G43</f>
        <v>0.5011614401858304</v>
      </c>
      <c r="H25" s="50">
        <f>'Segment - Family of Apps'!H43</f>
        <v>0.65</v>
      </c>
      <c r="I25" s="2"/>
    </row>
    <row r="26">
      <c r="A26" s="4"/>
      <c r="B26" s="5" t="s">
        <v>84</v>
      </c>
      <c r="C26" s="7">
        <f>'Segment - Family of Apps'!C44</f>
        <v>0.18353344768439106</v>
      </c>
      <c r="D26" s="7">
        <f>'Segment - Family of Apps'!D44</f>
        <v>0.16086956521739126</v>
      </c>
      <c r="E26" s="7">
        <f>'Segment - Family of Apps'!E44</f>
        <v>0.10486891385767794</v>
      </c>
      <c r="F26" s="7">
        <f>'Segment - Family of Apps'!F44</f>
        <v>0.13785310734463274</v>
      </c>
      <c r="G26" s="7" t="str">
        <f>'Segment - Family of Apps'!G44</f>
        <v>n/a</v>
      </c>
      <c r="H26" s="50">
        <f>'Segment - Family of Apps'!H44</f>
        <v>0.1305858987090367</v>
      </c>
      <c r="I26" s="2"/>
    </row>
    <row r="27">
      <c r="A27" s="4"/>
      <c r="B27" s="5" t="s">
        <v>85</v>
      </c>
      <c r="C27" s="1">
        <f>C24/C38</f>
        <v>0.013465516568439952</v>
      </c>
      <c r="D27" s="1">
        <f>D24/D38</f>
        <v>0.013373850032558062</v>
      </c>
      <c r="E27" s="1">
        <f>E24/E38</f>
        <v>0.015716289890074762</v>
      </c>
      <c r="F27" s="1">
        <f>F24/F38</f>
        <v>0.016562227594940873</v>
      </c>
      <c r="G27" s="1">
        <f>G24/G38</f>
        <v>0.01286287232666222</v>
      </c>
      <c r="H27" s="16">
        <f>H24/H38</f>
        <v>0.017828802901667815</v>
      </c>
      <c r="I27" s="2"/>
    </row>
    <row r="28">
      <c r="A28" s="4"/>
      <c r="B28" s="5" t="s">
        <v>86</v>
      </c>
      <c r="C28" s="1" t="s">
        <v>68</v>
      </c>
      <c r="D28" s="1" t="s">
        <v>68</v>
      </c>
      <c r="E28" s="1" t="s">
        <v>68</v>
      </c>
      <c r="F28" s="1" t="s">
        <v>68</v>
      </c>
      <c r="G28" s="1" t="s">
        <v>68</v>
      </c>
      <c r="H28" s="16" t="s">
        <v>68</v>
      </c>
      <c r="I28" s="2"/>
    </row>
    <row r="29">
      <c r="A29" s="4"/>
      <c r="B29" s="5" t="s">
        <v>87</v>
      </c>
      <c r="C29" s="1" t="s">
        <v>68</v>
      </c>
      <c r="D29" s="1" t="s">
        <v>68</v>
      </c>
      <c r="E29" s="1" t="s">
        <v>68</v>
      </c>
      <c r="F29" s="1" t="s">
        <v>68</v>
      </c>
      <c r="G29" s="1" t="s">
        <v>68</v>
      </c>
      <c r="H29" s="16" t="s">
        <v>68</v>
      </c>
      <c r="I29" s="2"/>
    </row>
    <row r="30">
      <c r="A30" s="4"/>
      <c r="B30" s="5" t="s">
        <v>88</v>
      </c>
      <c r="C30" s="1" t="str">
        <f>IFERROR((1+C25)/((1+C29)*(1+C28))-1,"n/a")</f>
        <v>n/a</v>
      </c>
      <c r="D30" s="1" t="str">
        <f>IFERROR((1+D25)/((1+D29)*(1+D28))-1,"n/a")</f>
        <v>n/a</v>
      </c>
      <c r="E30" s="1" t="str">
        <f>IFERROR((1+E25)/((1+E29)*(1+E28))-1,"n/a")</f>
        <v>n/a</v>
      </c>
      <c r="F30" s="1" t="str">
        <f>IFERROR((1+F25)/((1+F29)*(1+F28))-1,"n/a")</f>
        <v>n/a</v>
      </c>
      <c r="G30" s="1" t="str">
        <f>IFERROR((1+G25)/((1+G29)*(1+G28))-1,"n/a")</f>
        <v>n/a</v>
      </c>
      <c r="H30" s="16" t="str">
        <f>IFERROR((1+H25)/((1+H29)*(1+H28))-1,"n/a")</f>
        <v>n/a</v>
      </c>
      <c r="I30" s="2"/>
    </row>
    <row r="31">
      <c r="A31" s="4"/>
      <c r="B31" s="11" t="s">
        <v>89</v>
      </c>
      <c r="C31" s="18">
        <f>'Segment - Reality Labs'!C15</f>
        <v>470</v>
      </c>
      <c r="D31" s="18">
        <f>'Segment - Reality Labs'!D15</f>
        <v>955</v>
      </c>
      <c r="E31" s="18">
        <f>'Segment - Reality Labs'!E15</f>
        <v>402</v>
      </c>
      <c r="F31" s="18">
        <f>'Segment - Reality Labs'!F15</f>
        <v>431</v>
      </c>
      <c r="G31" s="18">
        <f>'Segment - Reality Labs'!G15</f>
        <v>2207</v>
      </c>
      <c r="H31" s="24">
        <f>'Segment - Reality Labs'!H15</f>
        <v>517</v>
      </c>
      <c r="I31" s="2" t="s">
        <v>90</v>
      </c>
    </row>
    <row r="32">
      <c r="A32" s="4"/>
      <c r="B32" s="5" t="s">
        <v>91</v>
      </c>
      <c r="C32" s="7">
        <f>'Segment - Reality Labs'!C16</f>
        <v>0.7407407407407407</v>
      </c>
      <c r="D32" s="7">
        <f>'Segment - Reality Labs'!D16</f>
        <v>-0.11819021237303784</v>
      </c>
      <c r="E32" s="7">
        <f>'Segment - Reality Labs'!E16</f>
        <v>-0.024271844660194164</v>
      </c>
      <c r="F32" s="7">
        <f>'Segment - Reality Labs'!F16</f>
        <v>0.16486486486486496</v>
      </c>
      <c r="G32" s="7">
        <f>'Segment - Reality Labs'!G16</f>
        <v>0.028424976700838878</v>
      </c>
      <c r="H32" s="50">
        <f>'Segment - Reality Labs'!H16</f>
        <v>0.1</v>
      </c>
      <c r="I32" s="2"/>
    </row>
    <row r="33">
      <c r="A33" s="4"/>
      <c r="B33" s="5" t="s">
        <v>92</v>
      </c>
      <c r="C33" s="7">
        <f>'Segment - Reality Labs'!C17</f>
        <v>0.2702702702702702</v>
      </c>
      <c r="D33" s="7">
        <f>'Segment - Reality Labs'!D17</f>
        <v>1.0319148936170213</v>
      </c>
      <c r="E33" s="7">
        <f>'Segment - Reality Labs'!E17</f>
        <v>-0.5790575916230367</v>
      </c>
      <c r="F33" s="7">
        <f>'Segment - Reality Labs'!F17</f>
        <v>0.07213930348258701</v>
      </c>
      <c r="G33" s="7" t="str">
        <f>'Segment - Reality Labs'!G17</f>
        <v>n/a</v>
      </c>
      <c r="H33" s="50">
        <f>'Segment - Reality Labs'!H17</f>
        <v>0.19953596287703013</v>
      </c>
      <c r="I33" s="2"/>
    </row>
    <row r="34">
      <c r="A34" s="4"/>
      <c r="B34" s="5" t="s">
        <v>93</v>
      </c>
      <c r="C34" s="1">
        <f>C31/C38</f>
        <v>0.009172163459661997</v>
      </c>
      <c r="D34" s="1">
        <f>D31/D38</f>
        <v>0.015945102098742756</v>
      </c>
      <c r="E34" s="1">
        <f>E31/E38</f>
        <v>0.007138924899220401</v>
      </c>
      <c r="F34" s="1">
        <f>F31/F38</f>
        <v>0.007088699199026331</v>
      </c>
      <c r="G34" s="1">
        <f>G31/G38</f>
        <v>0.010981957146980087</v>
      </c>
      <c r="H34" s="16">
        <f>H31/H38</f>
        <v>0.008096171365974757</v>
      </c>
      <c r="I34" s="2"/>
    </row>
    <row r="35">
      <c r="A35" s="4"/>
      <c r="B35" s="5" t="s">
        <v>94</v>
      </c>
      <c r="C35" s="1" t="s">
        <v>68</v>
      </c>
      <c r="D35" s="1" t="s">
        <v>68</v>
      </c>
      <c r="E35" s="1" t="s">
        <v>68</v>
      </c>
      <c r="F35" s="1" t="s">
        <v>68</v>
      </c>
      <c r="G35" s="1" t="s">
        <v>68</v>
      </c>
      <c r="H35" s="16" t="s">
        <v>68</v>
      </c>
      <c r="I35" s="2"/>
    </row>
    <row r="36">
      <c r="A36" s="4"/>
      <c r="B36" s="5" t="s">
        <v>95</v>
      </c>
      <c r="C36" s="1" t="s">
        <v>68</v>
      </c>
      <c r="D36" s="1" t="s">
        <v>68</v>
      </c>
      <c r="E36" s="1" t="s">
        <v>68</v>
      </c>
      <c r="F36" s="1" t="s">
        <v>68</v>
      </c>
      <c r="G36" s="1" t="s">
        <v>68</v>
      </c>
      <c r="H36" s="16" t="s">
        <v>68</v>
      </c>
      <c r="I36" s="2"/>
    </row>
    <row r="37">
      <c r="A37" s="4"/>
      <c r="B37" s="5" t="s">
        <v>96</v>
      </c>
      <c r="C37" s="1" t="str">
        <f>IFERROR((1+C32)/((1+C36)*(1+C35))-1,"n/a")</f>
        <v>n/a</v>
      </c>
      <c r="D37" s="1" t="str">
        <f>IFERROR((1+D32)/((1+D36)*(1+D35))-1,"n/a")</f>
        <v>n/a</v>
      </c>
      <c r="E37" s="1" t="str">
        <f>IFERROR((1+E32)/((1+E36)*(1+E35))-1,"n/a")</f>
        <v>n/a</v>
      </c>
      <c r="F37" s="1" t="str">
        <f>IFERROR((1+F32)/((1+F36)*(1+F35))-1,"n/a")</f>
        <v>n/a</v>
      </c>
      <c r="G37" s="1" t="str">
        <f>IFERROR((1+G32)/((1+G36)*(1+G35))-1,"n/a")</f>
        <v>n/a</v>
      </c>
      <c r="H37" s="16" t="str">
        <f>IFERROR((1+H32)/((1+H36)*(1+H35))-1,"n/a")</f>
        <v>n/a</v>
      </c>
      <c r="I37" s="2"/>
    </row>
    <row r="38">
      <c r="A38" s="4"/>
      <c r="B38" s="11" t="s">
        <v>97</v>
      </c>
      <c r="C38" s="37">
        <f>C10+C31</f>
        <v>51242</v>
      </c>
      <c r="D38" s="37">
        <f>D10+D31</f>
        <v>59893</v>
      </c>
      <c r="E38" s="37">
        <f>E10+E31</f>
        <v>56311</v>
      </c>
      <c r="F38" s="37">
        <f>F10+F31</f>
        <v>60801</v>
      </c>
      <c r="G38" s="37">
        <f>G10+G31</f>
        <v>200966</v>
      </c>
      <c r="H38" s="65">
        <f>H10+H31</f>
        <v>63857.344000000005</v>
      </c>
      <c r="I38" s="2"/>
    </row>
    <row r="39">
      <c r="A39" s="4"/>
      <c r="B39" s="67" t="s">
        <v>98</v>
      </c>
      <c r="C39" s="39">
        <v>51242</v>
      </c>
      <c r="D39" s="39">
        <v>59893</v>
      </c>
      <c r="E39" s="39">
        <v>56311</v>
      </c>
      <c r="F39" s="39">
        <v>60801</v>
      </c>
      <c r="G39" s="39">
        <v>200966</v>
      </c>
      <c r="H39" s="3"/>
      <c r="I39" s="2" t="s">
        <v>99</v>
      </c>
    </row>
    <row r="40">
      <c r="A40" s="4"/>
      <c r="B40" s="67" t="s">
        <v>100</v>
      </c>
      <c r="C40" s="10">
        <f>C38-C39</f>
        <v>0</v>
      </c>
      <c r="D40" s="10">
        <f>D38-D39</f>
        <v>0</v>
      </c>
      <c r="E40" s="10">
        <f>E38-E39</f>
        <v>0</v>
      </c>
      <c r="F40" s="10">
        <f>F38-F39</f>
        <v>0</v>
      </c>
      <c r="G40" s="10">
        <f>G38-G39</f>
        <v>0</v>
      </c>
      <c r="H40" s="3"/>
      <c r="I40" s="2"/>
    </row>
    <row r="41">
      <c r="A41" s="4"/>
      <c r="B41" s="5" t="s">
        <v>101</v>
      </c>
      <c r="C41" s="7">
        <f>C38/Inputs!C124-1</f>
        <v>0.2624602724876197</v>
      </c>
      <c r="D41" s="7">
        <f>D38/Inputs!D124-1</f>
        <v>0.23784230649994842</v>
      </c>
      <c r="E41" s="7">
        <f>E38/Inputs!E124-1</f>
        <v>0.3307888642057002</v>
      </c>
      <c r="F41" s="7">
        <f>F38/Inputs!F124-1</f>
        <v>0.27959003283104633</v>
      </c>
      <c r="G41" s="7">
        <f>G38/Inputs!G124-1</f>
        <v>0.22167038498246217</v>
      </c>
      <c r="H41" s="16">
        <f>H38/C38-1</f>
        <v>0.2461914835486516</v>
      </c>
      <c r="I41" s="2"/>
    </row>
    <row r="42">
      <c r="A42" s="4"/>
      <c r="B42" s="5" t="s">
        <v>102</v>
      </c>
      <c r="C42" s="7">
        <f>C38/Inputs!F124-1</f>
        <v>0.07841569155652839</v>
      </c>
      <c r="D42" s="1">
        <f>D38/C38-1</f>
        <v>0.16882635338199137</v>
      </c>
      <c r="E42" s="1">
        <f>E38/D38-1</f>
        <v>-0.059806655201776526</v>
      </c>
      <c r="F42" s="1">
        <f>F38/E38-1</f>
        <v>0.07973575322761084</v>
      </c>
      <c r="G42" s="1" t="s">
        <v>65</v>
      </c>
      <c r="H42" s="16">
        <f>H38/F38-1</f>
        <v>0.05026798901333862</v>
      </c>
      <c r="I42" s="2"/>
    </row>
    <row r="43">
      <c r="A43" s="4"/>
      <c r="B43" s="23" t="s">
        <v>103</v>
      </c>
      <c r="C43" s="36">
        <f>C38-Inputs!F124</f>
        <v>3726</v>
      </c>
      <c r="D43" s="10">
        <f>D38-C38</f>
        <v>8651</v>
      </c>
      <c r="E43" s="10">
        <f>E38-D38</f>
        <v>-3582</v>
      </c>
      <c r="F43" s="10">
        <f>F38-E38</f>
        <v>4490</v>
      </c>
      <c r="G43" s="10" t="s">
        <v>65</v>
      </c>
      <c r="H43" s="3">
        <f>H38-F38</f>
        <v>3056.3440000000046</v>
      </c>
      <c r="I43" s="2"/>
    </row>
    <row r="44">
      <c r="A44" s="4"/>
      <c r="B44" s="23" t="s">
        <v>104</v>
      </c>
      <c r="C44" s="39">
        <v>-412</v>
      </c>
      <c r="D44" s="39">
        <v>-488</v>
      </c>
      <c r="E44" s="39">
        <v>-1749</v>
      </c>
      <c r="F44" s="39">
        <v>-685</v>
      </c>
      <c r="G44" s="36">
        <f>Inputs!G170+D44</f>
        <v>418</v>
      </c>
      <c r="H44" s="3">
        <f>H45-H38</f>
        <v>512.4199999999983</v>
      </c>
      <c r="I44" s="2" t="s">
        <v>105</v>
      </c>
    </row>
    <row r="45">
      <c r="A45" s="4"/>
      <c r="B45" s="23" t="s">
        <v>106</v>
      </c>
      <c r="C45" s="10">
        <f>C38+C44</f>
        <v>50830</v>
      </c>
      <c r="D45" s="10">
        <f>D38+D44</f>
        <v>59405</v>
      </c>
      <c r="E45" s="10">
        <f>E38+E44</f>
        <v>54562</v>
      </c>
      <c r="F45" s="10">
        <f>F38+F44</f>
        <v>60116</v>
      </c>
      <c r="G45" s="10">
        <f>G38+G44</f>
        <v>201384</v>
      </c>
      <c r="H45" s="3">
        <f>C38*(1+H41-H46)</f>
        <v>64369.764</v>
      </c>
      <c r="I45" s="2"/>
    </row>
    <row r="46">
      <c r="A46" s="4"/>
      <c r="B46" s="5" t="s">
        <v>107</v>
      </c>
      <c r="C46" s="1">
        <f>(C38-C45)/Inputs!C124</f>
        <v>0.010150533395747617</v>
      </c>
      <c r="D46" s="1">
        <f>(D38-D45)/Inputs!D124</f>
        <v>0.010085770383383279</v>
      </c>
      <c r="E46" s="1">
        <f>(E38-E45)/Inputs!E124</f>
        <v>0.041333837500590824</v>
      </c>
      <c r="F46" s="1">
        <f>(F38-F45)/Inputs!F124</f>
        <v>0.014416196649549625</v>
      </c>
      <c r="G46" s="1">
        <f>(G38-G45)/Inputs!G124</f>
        <v>-0.0025410179877325976</v>
      </c>
      <c r="H46" s="50">
        <f>Guidance!G27</f>
        <v>-0.01</v>
      </c>
      <c r="I46" s="2" t="s">
        <v>108</v>
      </c>
    </row>
    <row r="47">
      <c r="A47" s="4"/>
      <c r="B47" s="5" t="s">
        <v>109</v>
      </c>
      <c r="C47" s="1" t="s">
        <v>68</v>
      </c>
      <c r="D47" s="1" t="s">
        <v>68</v>
      </c>
      <c r="E47" s="1" t="s">
        <v>68</v>
      </c>
      <c r="F47" s="1" t="s">
        <v>68</v>
      </c>
      <c r="G47" s="1" t="s">
        <v>68</v>
      </c>
      <c r="H47" s="16" t="s">
        <v>68</v>
      </c>
      <c r="I47" s="2" t="s">
        <v>110</v>
      </c>
    </row>
    <row r="48">
      <c r="A48" s="4"/>
      <c r="B48" s="5" t="s">
        <v>111</v>
      </c>
      <c r="C48" s="1" t="str">
        <f>IFERROR(C41-C47-C46,"n/a")</f>
        <v>n/a</v>
      </c>
      <c r="D48" s="1" t="str">
        <f>IFERROR(D41-D47-D46,"n/a")</f>
        <v>n/a</v>
      </c>
      <c r="E48" s="1" t="str">
        <f>IFERROR(E41-E47-E46,"n/a")</f>
        <v>n/a</v>
      </c>
      <c r="F48" s="1" t="str">
        <f>IFERROR(F41-F47-F46,"n/a")</f>
        <v>n/a</v>
      </c>
      <c r="G48" s="1" t="str">
        <f>IFERROR(G41-G47-G46,"n/a")</f>
        <v>n/a</v>
      </c>
      <c r="H48" s="16" t="str">
        <f>IFERROR(H41-H47-H46,"n/a")</f>
        <v>n/a</v>
      </c>
      <c r="I48" s="2" t="s">
        <v>112</v>
      </c>
    </row>
    <row r="49">
      <c r="A49" s="4"/>
      <c r="B49" s="5" t="s">
        <v>113</v>
      </c>
      <c r="C49" s="7">
        <f>C45/Inputs!C124-1</f>
        <v>0.25230973909187226</v>
      </c>
      <c r="D49" s="7">
        <f>D45/Inputs!D124-1</f>
        <v>0.227756536116565</v>
      </c>
      <c r="E49" s="7">
        <f>E45/Inputs!E124-1</f>
        <v>0.2894550267051095</v>
      </c>
      <c r="F49" s="7">
        <f>F45/Inputs!F124-1</f>
        <v>0.2651738361814968</v>
      </c>
      <c r="G49" s="7">
        <f>G45/Inputs!G124-1</f>
        <v>0.2242114029701947</v>
      </c>
      <c r="H49" s="16">
        <f>H45/C38-1</f>
        <v>0.2561914835486516</v>
      </c>
      <c r="I49" s="2"/>
    </row>
    <row r="50">
      <c r="A50" s="4"/>
      <c r="B50" s="13"/>
      <c r="C50" s="4"/>
      <c r="D50" s="4"/>
      <c r="E50" s="4"/>
      <c r="F50" s="4"/>
      <c r="G50" s="4"/>
      <c r="H50" s="6"/>
      <c r="I50" s="2"/>
    </row>
    <row r="51">
      <c r="A51" s="4"/>
      <c r="B51" s="11" t="s">
        <v>114</v>
      </c>
      <c r="C51" s="12"/>
      <c r="D51" s="12"/>
      <c r="E51" s="12"/>
      <c r="F51" s="12"/>
      <c r="G51" s="12"/>
      <c r="H51" s="45"/>
      <c r="I51" s="2"/>
    </row>
    <row r="52">
      <c r="A52" s="4"/>
      <c r="B52" s="13" t="s">
        <v>115</v>
      </c>
      <c r="C52" s="10"/>
      <c r="D52" s="10"/>
      <c r="E52" s="10"/>
      <c r="F52" s="10"/>
      <c r="G52" s="10"/>
      <c r="H52" s="52">
        <f>Guidance!E23</f>
        <v>61000</v>
      </c>
      <c r="I52" s="2"/>
    </row>
    <row r="53">
      <c r="A53" s="4"/>
      <c r="B53" s="13" t="s">
        <v>116</v>
      </c>
      <c r="C53" s="10"/>
      <c r="D53" s="10"/>
      <c r="E53" s="10"/>
      <c r="F53" s="10"/>
      <c r="G53" s="10"/>
      <c r="H53" s="52">
        <f>Guidance!F23</f>
        <v>64000</v>
      </c>
      <c r="I53" s="2"/>
    </row>
    <row r="54">
      <c r="A54" s="4"/>
      <c r="B54" s="11" t="s">
        <v>117</v>
      </c>
      <c r="C54" s="17"/>
      <c r="D54" s="17"/>
      <c r="E54" s="17"/>
      <c r="F54" s="17"/>
      <c r="G54" s="17"/>
      <c r="H54" s="24">
        <f>Guidance!G23</f>
        <v>62500</v>
      </c>
      <c r="I54" s="2"/>
    </row>
    <row r="55">
      <c r="A55" s="4"/>
      <c r="B55" s="40" t="s">
        <v>118</v>
      </c>
      <c r="C55" s="1"/>
      <c r="D55" s="1"/>
      <c r="E55" s="1"/>
      <c r="F55" s="1"/>
      <c r="G55" s="1"/>
      <c r="H55" s="16">
        <f>H38/H54-1</f>
        <v>0.021717504000000165</v>
      </c>
      <c r="I55" s="2"/>
    </row>
    <row r="56">
      <c r="A56" s="4"/>
      <c r="B56" s="13" t="s">
        <v>119</v>
      </c>
      <c r="C56" s="4"/>
      <c r="D56" s="4"/>
      <c r="E56" s="4"/>
      <c r="F56" s="4"/>
      <c r="G56" s="4"/>
      <c r="H56" s="6"/>
      <c r="I56" s="2"/>
    </row>
    <row r="57">
      <c r="A57" s="4"/>
      <c r="B57" s="4"/>
      <c r="C57" s="4"/>
      <c r="D57" s="4"/>
      <c r="E57" s="4"/>
      <c r="F57" s="4"/>
      <c r="G57" s="4"/>
      <c r="H57" s="4"/>
      <c r="I57" s="4"/>
    </row>
    <row r="58">
      <c r="A58" s="4"/>
      <c r="B58" s="4"/>
      <c r="C58" s="4"/>
      <c r="D58" s="4"/>
      <c r="E58" s="4"/>
      <c r="F58" s="4"/>
      <c r="G58" s="4"/>
      <c r="H58" s="4"/>
      <c r="I58" s="4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I7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120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121</v>
      </c>
      <c r="C9" s="12"/>
      <c r="D9" s="12"/>
      <c r="E9" s="12"/>
      <c r="F9" s="12"/>
      <c r="G9" s="12"/>
      <c r="H9" s="45"/>
      <c r="I9" s="2"/>
    </row>
    <row r="10">
      <c r="A10" s="4"/>
      <c r="B10" s="67" t="s">
        <v>122</v>
      </c>
      <c r="C10" s="88">
        <f>Inputs!F151</f>
        <v>3.48</v>
      </c>
      <c r="D10" s="82">
        <f>C14</f>
        <v>3.54</v>
      </c>
      <c r="E10" s="82">
        <f>D14</f>
        <v>3.58</v>
      </c>
      <c r="F10" s="82">
        <f>E14</f>
        <v>3.56</v>
      </c>
      <c r="G10" s="88">
        <f>Inputs!G151</f>
        <v>3.35</v>
      </c>
      <c r="H10" s="84">
        <f>F14</f>
        <v>3.6</v>
      </c>
      <c r="I10" s="2" t="s">
        <v>123</v>
      </c>
    </row>
    <row r="11">
      <c r="A11" s="4"/>
      <c r="B11" s="67" t="s">
        <v>124</v>
      </c>
      <c r="C11" s="82" t="s">
        <v>68</v>
      </c>
      <c r="D11" s="82" t="s">
        <v>68</v>
      </c>
      <c r="E11" s="82" t="s">
        <v>68</v>
      </c>
      <c r="F11" s="82" t="s">
        <v>68</v>
      </c>
      <c r="G11" s="82" t="s">
        <v>68</v>
      </c>
      <c r="H11" s="84" t="s">
        <v>68</v>
      </c>
      <c r="I11" s="2" t="s">
        <v>125</v>
      </c>
    </row>
    <row r="12">
      <c r="A12" s="4"/>
      <c r="B12" s="67" t="s">
        <v>126</v>
      </c>
      <c r="C12" s="82" t="s">
        <v>68</v>
      </c>
      <c r="D12" s="82" t="s">
        <v>68</v>
      </c>
      <c r="E12" s="82" t="s">
        <v>68</v>
      </c>
      <c r="F12" s="82" t="s">
        <v>68</v>
      </c>
      <c r="G12" s="82" t="s">
        <v>68</v>
      </c>
      <c r="H12" s="84" t="s">
        <v>68</v>
      </c>
      <c r="I12" s="2" t="s">
        <v>125</v>
      </c>
    </row>
    <row r="13">
      <c r="A13" s="4"/>
      <c r="B13" s="67" t="s">
        <v>127</v>
      </c>
      <c r="C13" s="82">
        <f>C14-C10</f>
        <v>0.06000000000000005</v>
      </c>
      <c r="D13" s="82">
        <f>D14-D10</f>
        <v>0.040000000000000036</v>
      </c>
      <c r="E13" s="82">
        <f>E14-E10</f>
        <v>-0.020000000000000018</v>
      </c>
      <c r="F13" s="82">
        <f>F14-F10</f>
        <v>0.040000000000000036</v>
      </c>
      <c r="G13" s="82">
        <f>G14-G10</f>
        <v>0.22999999999999998</v>
      </c>
      <c r="H13" s="84">
        <f>H14-H10</f>
        <v>0.020000000000000018</v>
      </c>
      <c r="I13" s="2"/>
    </row>
    <row r="14">
      <c r="A14" s="4"/>
      <c r="B14" s="11" t="s">
        <v>128</v>
      </c>
      <c r="C14" s="81">
        <v>3.54</v>
      </c>
      <c r="D14" s="81">
        <v>3.58</v>
      </c>
      <c r="E14" s="81">
        <v>3.56</v>
      </c>
      <c r="F14" s="81">
        <v>3.6</v>
      </c>
      <c r="G14" s="87">
        <f>D14</f>
        <v>3.58</v>
      </c>
      <c r="H14" s="89">
        <v>3.62</v>
      </c>
      <c r="I14" s="2" t="s">
        <v>129</v>
      </c>
    </row>
    <row r="15">
      <c r="A15" s="4"/>
      <c r="B15" s="67" t="s">
        <v>130</v>
      </c>
      <c r="C15" s="82">
        <f>AVERAGE(C10,C14)</f>
        <v>3.51</v>
      </c>
      <c r="D15" s="82">
        <f>AVERAGE(D10,D14)</f>
        <v>3.56</v>
      </c>
      <c r="E15" s="82">
        <f>AVERAGE(E10,E14)</f>
        <v>3.5700000000000003</v>
      </c>
      <c r="F15" s="82">
        <f>AVERAGE(F10,F14)</f>
        <v>3.58</v>
      </c>
      <c r="G15" s="82">
        <f>AVERAGE(G10,G14)</f>
        <v>3.465</v>
      </c>
      <c r="H15" s="84">
        <f>AVERAGE(H10,H14)</f>
        <v>3.6100000000000003</v>
      </c>
      <c r="I15" s="2"/>
    </row>
    <row r="16">
      <c r="A16" s="4"/>
      <c r="B16" s="5" t="s">
        <v>131</v>
      </c>
      <c r="C16" s="7">
        <f>C14/Inputs!C151-1</f>
        <v>0.07598784194528885</v>
      </c>
      <c r="D16" s="7">
        <f>D14/Inputs!D151-1</f>
        <v>0.06865671641791038</v>
      </c>
      <c r="E16" s="7">
        <f>E14/Inputs!E151-1</f>
        <v>0.03790087463556846</v>
      </c>
      <c r="F16" s="7">
        <f>F14/Inputs!F151-1</f>
        <v>0.034482758620689724</v>
      </c>
      <c r="G16" s="7">
        <f>G14/Inputs!G151-1</f>
        <v>0.06865671641791038</v>
      </c>
      <c r="H16" s="16">
        <f>H14/C14-1</f>
        <v>0.02259887005649719</v>
      </c>
      <c r="I16" s="2"/>
    </row>
    <row r="17">
      <c r="A17" s="4"/>
      <c r="B17" s="23" t="s">
        <v>132</v>
      </c>
      <c r="C17" s="88">
        <f>C14-Inputs!F151</f>
        <v>0.06000000000000005</v>
      </c>
      <c r="D17" s="82">
        <f>D14-C14</f>
        <v>0.040000000000000036</v>
      </c>
      <c r="E17" s="82">
        <f>E14-D14</f>
        <v>-0.020000000000000018</v>
      </c>
      <c r="F17" s="82">
        <f>F14-E14</f>
        <v>0.040000000000000036</v>
      </c>
      <c r="G17" s="114" t="s">
        <v>65</v>
      </c>
      <c r="H17" s="84">
        <f>H14-F14</f>
        <v>0.020000000000000018</v>
      </c>
      <c r="I17" s="2"/>
    </row>
    <row r="18">
      <c r="A18" s="4"/>
      <c r="B18" s="11" t="s">
        <v>133</v>
      </c>
      <c r="C18" s="32">
        <f>C49/(C15*1000)</f>
        <v>14.464957264957265</v>
      </c>
      <c r="D18" s="32">
        <f>D49/(D15*1000)</f>
        <v>16.55561797752809</v>
      </c>
      <c r="E18" s="32">
        <f>E49/(E15*1000)</f>
        <v>15.660784313725488</v>
      </c>
      <c r="F18" s="32">
        <f>F49/(F15*1000)</f>
        <v>16.863128491620113</v>
      </c>
      <c r="G18" s="32" t="s">
        <v>65</v>
      </c>
      <c r="H18" s="44">
        <f>H49/(H15*1000)</f>
        <v>17.54580166204986</v>
      </c>
      <c r="I18" s="2" t="s">
        <v>134</v>
      </c>
    </row>
    <row r="19">
      <c r="A19" s="4"/>
      <c r="B19" s="5" t="s">
        <v>135</v>
      </c>
      <c r="C19" s="7">
        <f>C18/Inputs!C150-1</f>
        <v>0.17696967168081912</v>
      </c>
      <c r="D19" s="7">
        <f>D18/Inputs!D150-1</f>
        <v>0.1617977528089889</v>
      </c>
      <c r="E19" s="7">
        <f>E18/Inputs!E150-1</f>
        <v>0.26705374706516904</v>
      </c>
      <c r="F19" s="7">
        <f>F18/Inputs!F150-1</f>
        <v>0.23539402869011816</v>
      </c>
      <c r="G19" s="1" t="s">
        <v>65</v>
      </c>
      <c r="H19" s="16">
        <f>H18/C18-1</f>
        <v>0.21298676108475179</v>
      </c>
      <c r="I19" s="2"/>
    </row>
    <row r="20">
      <c r="A20" s="4"/>
      <c r="B20" s="23" t="s">
        <v>136</v>
      </c>
      <c r="C20" s="59">
        <f>C18-Inputs!F150</f>
        <v>0.8149572649572647</v>
      </c>
      <c r="D20" s="20">
        <f>D18-C18</f>
        <v>2.090660712570825</v>
      </c>
      <c r="E20" s="20">
        <f>E18-D18</f>
        <v>-0.8948336638026024</v>
      </c>
      <c r="F20" s="20">
        <f>F18-E18</f>
        <v>1.2023441778946253</v>
      </c>
      <c r="G20" s="20" t="s">
        <v>65</v>
      </c>
      <c r="H20" s="56">
        <f>H18-F18</f>
        <v>0.682673170429748</v>
      </c>
      <c r="I20" s="2"/>
    </row>
    <row r="21">
      <c r="A21" s="4"/>
      <c r="B21" s="67" t="s">
        <v>137</v>
      </c>
      <c r="C21" s="77">
        <v>14.46</v>
      </c>
      <c r="D21" s="77">
        <v>16.56</v>
      </c>
      <c r="E21" s="77">
        <v>15.66</v>
      </c>
      <c r="F21" s="77">
        <v>16.86</v>
      </c>
      <c r="G21" s="20" t="s">
        <v>65</v>
      </c>
      <c r="H21" s="56" t="s">
        <v>65</v>
      </c>
      <c r="I21" s="2" t="s">
        <v>138</v>
      </c>
    </row>
    <row r="22">
      <c r="A22" s="4"/>
      <c r="B22" s="13"/>
      <c r="C22" s="4"/>
      <c r="D22" s="4"/>
      <c r="E22" s="4"/>
      <c r="F22" s="4"/>
      <c r="G22" s="4"/>
      <c r="H22" s="6"/>
      <c r="I22" s="2"/>
    </row>
    <row r="23">
      <c r="A23" s="4"/>
      <c r="B23" s="11" t="s">
        <v>139</v>
      </c>
      <c r="C23" s="12"/>
      <c r="D23" s="12"/>
      <c r="E23" s="12"/>
      <c r="F23" s="12"/>
      <c r="G23" s="12"/>
      <c r="H23" s="45"/>
      <c r="I23" s="2"/>
    </row>
    <row r="24">
      <c r="A24" s="4"/>
      <c r="B24" s="40" t="s">
        <v>140</v>
      </c>
      <c r="C24" s="31">
        <v>0.14</v>
      </c>
      <c r="D24" s="31">
        <v>0.18</v>
      </c>
      <c r="E24" s="31">
        <v>0.19</v>
      </c>
      <c r="F24" s="31">
        <v>0.14</v>
      </c>
      <c r="G24" s="31">
        <v>0.12</v>
      </c>
      <c r="H24" s="42">
        <v>0.125</v>
      </c>
      <c r="I24" s="2" t="s">
        <v>141</v>
      </c>
    </row>
    <row r="25">
      <c r="A25" s="4"/>
      <c r="B25" s="23" t="s">
        <v>142</v>
      </c>
      <c r="C25" s="8">
        <f>(C24-Inputs!F152)*10000</f>
        <v>300.0000000000001</v>
      </c>
      <c r="D25" s="70">
        <f>(D24-C24)*10000</f>
        <v>399.9999999999998</v>
      </c>
      <c r="E25" s="70">
        <f>(E24-D24)*10000</f>
        <v>100.00000000000009</v>
      </c>
      <c r="F25" s="70">
        <f>(F24-E24)*10000</f>
        <v>-499.9999999999999</v>
      </c>
      <c r="G25" s="8">
        <f>(G24-Inputs!G152)*10000</f>
        <v>99.99999999999994</v>
      </c>
      <c r="H25" s="66">
        <f>(H24-F24)*10000</f>
        <v>-150.00000000000014</v>
      </c>
      <c r="I25" s="2" t="s">
        <v>143</v>
      </c>
    </row>
    <row r="26">
      <c r="A26" s="4"/>
      <c r="B26" s="40" t="s">
        <v>144</v>
      </c>
      <c r="C26" s="31">
        <v>0.1</v>
      </c>
      <c r="D26" s="31">
        <v>0.06</v>
      </c>
      <c r="E26" s="31">
        <v>0.12</v>
      </c>
      <c r="F26" s="31">
        <v>0.12</v>
      </c>
      <c r="G26" s="31">
        <v>0.09</v>
      </c>
      <c r="H26" s="42">
        <v>0.104</v>
      </c>
      <c r="I26" s="2" t="s">
        <v>145</v>
      </c>
    </row>
    <row r="27">
      <c r="A27" s="4"/>
      <c r="B27" s="23" t="s">
        <v>146</v>
      </c>
      <c r="C27" s="8">
        <f>(C26-Inputs!F153)*10000</f>
        <v>100.00000000000009</v>
      </c>
      <c r="D27" s="70">
        <f>(D26-C26)*10000</f>
        <v>-400.00000000000006</v>
      </c>
      <c r="E27" s="70">
        <f>(E26-D26)*10000</f>
        <v>600</v>
      </c>
      <c r="F27" s="70">
        <f>(F26-E26)*10000</f>
        <v>0</v>
      </c>
      <c r="G27" s="8">
        <f>(G26-Inputs!G153)*10000</f>
        <v>-100.00000000000009</v>
      </c>
      <c r="H27" s="66">
        <f>(H26-F26)*10000</f>
        <v>-160</v>
      </c>
      <c r="I27" s="2"/>
    </row>
    <row r="28">
      <c r="A28" s="4"/>
      <c r="B28" s="40" t="s">
        <v>147</v>
      </c>
      <c r="C28" s="1">
        <f>(1+C24)*(1+C26)-1</f>
        <v>0.2540000000000002</v>
      </c>
      <c r="D28" s="1">
        <f>(1+D24)*(1+D26)-1</f>
        <v>0.2507999999999999</v>
      </c>
      <c r="E28" s="1">
        <f>(1+E24)*(1+E26)-1</f>
        <v>0.3328</v>
      </c>
      <c r="F28" s="1">
        <f>(1+F24)*(1+F26)-1</f>
        <v>0.27680000000000016</v>
      </c>
      <c r="G28" s="1">
        <f>(1+G24)*(1+G26)-1</f>
        <v>0.2208000000000001</v>
      </c>
      <c r="H28" s="16">
        <f>(1+H24)*(1+H26)-1</f>
        <v>0.242</v>
      </c>
      <c r="I28" s="2"/>
    </row>
    <row r="29">
      <c r="A29" s="4"/>
      <c r="B29" s="5" t="s">
        <v>148</v>
      </c>
      <c r="C29" s="1">
        <f>C33-C28</f>
        <v>0.0016600225648737421</v>
      </c>
      <c r="D29" s="1">
        <f>D33-D28</f>
        <v>-0.008105003954427703</v>
      </c>
      <c r="E29" s="1">
        <f>E33-E28</f>
        <v>-0.0034609972941630485</v>
      </c>
      <c r="F29" s="1">
        <f>F33-F28</f>
        <v>-0.0019036230483433503</v>
      </c>
      <c r="G29" s="1">
        <f>G33-G28</f>
        <v>0.0004559063206188707</v>
      </c>
      <c r="H29" s="16">
        <f>H33-H28</f>
        <v>0</v>
      </c>
      <c r="I29" s="2"/>
    </row>
    <row r="30">
      <c r="A30" s="4"/>
      <c r="B30" s="13"/>
      <c r="C30" s="4"/>
      <c r="D30" s="4"/>
      <c r="E30" s="4"/>
      <c r="F30" s="4"/>
      <c r="G30" s="4"/>
      <c r="H30" s="6"/>
      <c r="I30" s="2"/>
    </row>
    <row r="31">
      <c r="A31" s="4"/>
      <c r="B31" s="11" t="s">
        <v>149</v>
      </c>
      <c r="C31" s="12"/>
      <c r="D31" s="12"/>
      <c r="E31" s="12"/>
      <c r="F31" s="12"/>
      <c r="G31" s="12"/>
      <c r="H31" s="45"/>
      <c r="I31" s="2"/>
    </row>
    <row r="32">
      <c r="A32" s="4"/>
      <c r="B32" s="13" t="s">
        <v>150</v>
      </c>
      <c r="C32" s="39">
        <v>50082</v>
      </c>
      <c r="D32" s="39">
        <v>58137</v>
      </c>
      <c r="E32" s="39">
        <v>55024</v>
      </c>
      <c r="F32" s="39">
        <v>59363</v>
      </c>
      <c r="G32" s="36">
        <f>Inputs!G165+D32</f>
        <v>196174</v>
      </c>
      <c r="H32" s="3">
        <f>C32*(1+H24)*(1+H26)</f>
        <v>62201.844000000005</v>
      </c>
      <c r="I32" s="2" t="s">
        <v>151</v>
      </c>
    </row>
    <row r="33">
      <c r="A33" s="4"/>
      <c r="B33" s="5" t="s">
        <v>74</v>
      </c>
      <c r="C33" s="7">
        <f>C32/Inputs!C125-1</f>
        <v>0.25566002256487397</v>
      </c>
      <c r="D33" s="7">
        <f>D32/Inputs!D125-1</f>
        <v>0.2426949960455722</v>
      </c>
      <c r="E33" s="7">
        <f>E32/Inputs!E125-1</f>
        <v>0.32933900270583694</v>
      </c>
      <c r="F33" s="7">
        <f>F32/Inputs!F125-1</f>
        <v>0.2748963769516568</v>
      </c>
      <c r="G33" s="7">
        <f>G32/Inputs!G125-1</f>
        <v>0.22125590632061898</v>
      </c>
      <c r="H33" s="16">
        <f>H32/C32-1</f>
        <v>0.242</v>
      </c>
      <c r="I33" s="2"/>
    </row>
    <row r="34">
      <c r="A34" s="4"/>
      <c r="B34" s="5" t="s">
        <v>75</v>
      </c>
      <c r="C34" s="7">
        <f>C32/Inputs!F125-1</f>
        <v>0.07557502738225619</v>
      </c>
      <c r="D34" s="1">
        <f>D32/C32-1</f>
        <v>0.16083622858512037</v>
      </c>
      <c r="E34" s="1">
        <f>E32/D32-1</f>
        <v>-0.0535459346027487</v>
      </c>
      <c r="F34" s="1">
        <f>F32/E32-1</f>
        <v>0.07885649898226221</v>
      </c>
      <c r="G34" s="1" t="s">
        <v>65</v>
      </c>
      <c r="H34" s="16">
        <f>H32/F32-1</f>
        <v>0.04782177450600544</v>
      </c>
      <c r="I34" s="2"/>
    </row>
    <row r="35">
      <c r="A35" s="4"/>
      <c r="B35" s="23" t="s">
        <v>152</v>
      </c>
      <c r="C35" s="36">
        <f>C32-Inputs!F125</f>
        <v>3519</v>
      </c>
      <c r="D35" s="10">
        <f>D32-C32</f>
        <v>8055</v>
      </c>
      <c r="E35" s="10">
        <f>E32-D32</f>
        <v>-3113</v>
      </c>
      <c r="F35" s="10">
        <f>F32-E32</f>
        <v>4339</v>
      </c>
      <c r="G35" s="10" t="s">
        <v>65</v>
      </c>
      <c r="H35" s="3">
        <f>H32-F32</f>
        <v>2838.8440000000046</v>
      </c>
      <c r="I35" s="2"/>
    </row>
    <row r="36">
      <c r="A36" s="4"/>
      <c r="B36" s="23" t="s">
        <v>104</v>
      </c>
      <c r="C36" s="39">
        <v>-409</v>
      </c>
      <c r="D36" s="39">
        <v>-473</v>
      </c>
      <c r="E36" s="39">
        <v>-1734</v>
      </c>
      <c r="F36" s="39">
        <v>-693</v>
      </c>
      <c r="G36" s="36">
        <f>Inputs!G171+D36</f>
        <v>422</v>
      </c>
      <c r="H36" s="3">
        <f>H37-H32</f>
        <v>500.81999999999243</v>
      </c>
      <c r="I36" s="2" t="s">
        <v>153</v>
      </c>
    </row>
    <row r="37">
      <c r="A37" s="4"/>
      <c r="B37" s="23" t="s">
        <v>154</v>
      </c>
      <c r="C37" s="10">
        <f>C32+C36</f>
        <v>49673</v>
      </c>
      <c r="D37" s="10">
        <f>D32+D36</f>
        <v>57664</v>
      </c>
      <c r="E37" s="10">
        <f>E32+E36</f>
        <v>53290</v>
      </c>
      <c r="F37" s="10">
        <f>F32+F36</f>
        <v>58670</v>
      </c>
      <c r="G37" s="10">
        <f>G32+G36</f>
        <v>196596</v>
      </c>
      <c r="H37" s="3">
        <f>C32*(1+H33-H38)</f>
        <v>62702.664</v>
      </c>
      <c r="I37" s="2"/>
    </row>
    <row r="38">
      <c r="A38" s="4"/>
      <c r="B38" s="5" t="s">
        <v>155</v>
      </c>
      <c r="C38" s="1">
        <f>(C32-C37)/Inputs!C125</f>
        <v>0.010254481634699763</v>
      </c>
      <c r="D38" s="1">
        <f>(D32-D37)/Inputs!D125</f>
        <v>0.0101105102280743</v>
      </c>
      <c r="E38" s="1">
        <f>(E32-E37)/Inputs!E125</f>
        <v>0.041892153073057596</v>
      </c>
      <c r="F38" s="1">
        <f>(F32-F37)/Inputs!F125</f>
        <v>0.014883061658398299</v>
      </c>
      <c r="G38" s="1">
        <f>(G32-G37)/Inputs!G125</f>
        <v>-0.0026271065098703254</v>
      </c>
      <c r="H38" s="50">
        <f>Guidance!G27</f>
        <v>-0.01</v>
      </c>
      <c r="I38" s="2" t="s">
        <v>156</v>
      </c>
    </row>
    <row r="39">
      <c r="A39" s="4"/>
      <c r="B39" s="5" t="s">
        <v>157</v>
      </c>
      <c r="C39" s="1" t="s">
        <v>68</v>
      </c>
      <c r="D39" s="1" t="s">
        <v>68</v>
      </c>
      <c r="E39" s="1" t="s">
        <v>68</v>
      </c>
      <c r="F39" s="1" t="s">
        <v>68</v>
      </c>
      <c r="G39" s="1" t="s">
        <v>68</v>
      </c>
      <c r="H39" s="16" t="s">
        <v>68</v>
      </c>
      <c r="I39" s="2" t="s">
        <v>110</v>
      </c>
    </row>
    <row r="40">
      <c r="A40" s="4"/>
      <c r="B40" s="5" t="s">
        <v>158</v>
      </c>
      <c r="C40" s="1" t="str">
        <f>IFERROR(C33-C39-C38,"n/a")</f>
        <v>n/a</v>
      </c>
      <c r="D40" s="1" t="str">
        <f>IFERROR(D33-D39-D38,"n/a")</f>
        <v>n/a</v>
      </c>
      <c r="E40" s="1" t="str">
        <f>IFERROR(E33-E39-E38,"n/a")</f>
        <v>n/a</v>
      </c>
      <c r="F40" s="1" t="str">
        <f>IFERROR(F33-F39-F38,"n/a")</f>
        <v>n/a</v>
      </c>
      <c r="G40" s="1" t="str">
        <f>IFERROR(G33-G39-G38,"n/a")</f>
        <v>n/a</v>
      </c>
      <c r="H40" s="16" t="str">
        <f>IFERROR(H33-H39-H38,"n/a")</f>
        <v>n/a</v>
      </c>
      <c r="I40" s="2" t="s">
        <v>159</v>
      </c>
    </row>
    <row r="41">
      <c r="A41" s="4"/>
      <c r="B41" s="5" t="s">
        <v>160</v>
      </c>
      <c r="C41" s="7">
        <f>C37/Inputs!C125-1</f>
        <v>0.2454055409301743</v>
      </c>
      <c r="D41" s="7">
        <f>D37/Inputs!D125-1</f>
        <v>0.2325844858174979</v>
      </c>
      <c r="E41" s="7">
        <f>E37/Inputs!E125-1</f>
        <v>0.28744684963277933</v>
      </c>
      <c r="F41" s="7">
        <f>F37/Inputs!F125-1</f>
        <v>0.26001331529325866</v>
      </c>
      <c r="G41" s="7">
        <f>G37/Inputs!G125-1</f>
        <v>0.2238830128304894</v>
      </c>
      <c r="H41" s="16">
        <f>H37/C32-1</f>
        <v>0.252</v>
      </c>
      <c r="I41" s="2"/>
    </row>
    <row r="42">
      <c r="A42" s="4"/>
      <c r="B42" s="13" t="s">
        <v>82</v>
      </c>
      <c r="C42" s="39">
        <v>690</v>
      </c>
      <c r="D42" s="39">
        <v>801</v>
      </c>
      <c r="E42" s="39">
        <v>885</v>
      </c>
      <c r="F42" s="39">
        <v>1007</v>
      </c>
      <c r="G42" s="36">
        <f>Inputs!G166+D42</f>
        <v>2585</v>
      </c>
      <c r="H42" s="3">
        <f>C42*(1+H43)</f>
        <v>1138.5</v>
      </c>
      <c r="I42" s="2" t="s">
        <v>161</v>
      </c>
    </row>
    <row r="43">
      <c r="A43" s="4"/>
      <c r="B43" s="5" t="s">
        <v>83</v>
      </c>
      <c r="C43" s="7">
        <f>C42/Inputs!C126-1</f>
        <v>0.5898617511520738</v>
      </c>
      <c r="D43" s="7">
        <f>D42/Inputs!D126-1</f>
        <v>0.5433526011560694</v>
      </c>
      <c r="E43" s="7">
        <f>E42/Inputs!E126-1</f>
        <v>0.7352941176470589</v>
      </c>
      <c r="F43" s="7">
        <f>F42/Inputs!F126-1</f>
        <v>0.7272727272727273</v>
      </c>
      <c r="G43" s="7">
        <f>G42/Inputs!G126-1</f>
        <v>0.5011614401858304</v>
      </c>
      <c r="H43" s="42">
        <v>0.65</v>
      </c>
      <c r="I43" s="2" t="s">
        <v>162</v>
      </c>
    </row>
    <row r="44">
      <c r="A44" s="4"/>
      <c r="B44" s="5" t="s">
        <v>84</v>
      </c>
      <c r="C44" s="7">
        <f>C42/Inputs!F126-1</f>
        <v>0.18353344768439106</v>
      </c>
      <c r="D44" s="1">
        <f>D42/C42-1</f>
        <v>0.16086956521739126</v>
      </c>
      <c r="E44" s="1">
        <f>E42/D42-1</f>
        <v>0.10486891385767794</v>
      </c>
      <c r="F44" s="1">
        <f>F42/E42-1</f>
        <v>0.13785310734463274</v>
      </c>
      <c r="G44" s="1" t="s">
        <v>65</v>
      </c>
      <c r="H44" s="16">
        <f>H42/F42-1</f>
        <v>0.1305858987090367</v>
      </c>
      <c r="I44" s="2"/>
    </row>
    <row r="45">
      <c r="A45" s="4"/>
      <c r="B45" s="23" t="s">
        <v>163</v>
      </c>
      <c r="C45" s="36">
        <f>C42-Inputs!F126</f>
        <v>107</v>
      </c>
      <c r="D45" s="10">
        <f>D42-C42</f>
        <v>111</v>
      </c>
      <c r="E45" s="10">
        <f>E42-D42</f>
        <v>84</v>
      </c>
      <c r="F45" s="10">
        <f>F42-E42</f>
        <v>122</v>
      </c>
      <c r="G45" s="10" t="s">
        <v>65</v>
      </c>
      <c r="H45" s="3">
        <f>H42-F42</f>
        <v>131.5</v>
      </c>
      <c r="I45" s="2"/>
    </row>
    <row r="46">
      <c r="A46" s="4"/>
      <c r="B46" s="5" t="s">
        <v>86</v>
      </c>
      <c r="C46" s="1" t="s">
        <v>68</v>
      </c>
      <c r="D46" s="1" t="s">
        <v>68</v>
      </c>
      <c r="E46" s="1" t="s">
        <v>68</v>
      </c>
      <c r="F46" s="1" t="s">
        <v>68</v>
      </c>
      <c r="G46" s="1" t="s">
        <v>68</v>
      </c>
      <c r="H46" s="16" t="s">
        <v>68</v>
      </c>
      <c r="I46" s="2" t="s">
        <v>164</v>
      </c>
    </row>
    <row r="47">
      <c r="A47" s="4"/>
      <c r="B47" s="5" t="s">
        <v>87</v>
      </c>
      <c r="C47" s="1" t="s">
        <v>68</v>
      </c>
      <c r="D47" s="1" t="s">
        <v>68</v>
      </c>
      <c r="E47" s="1" t="s">
        <v>68</v>
      </c>
      <c r="F47" s="1" t="s">
        <v>68</v>
      </c>
      <c r="G47" s="1" t="s">
        <v>68</v>
      </c>
      <c r="H47" s="16" t="s">
        <v>68</v>
      </c>
      <c r="I47" s="2" t="s">
        <v>165</v>
      </c>
    </row>
    <row r="48">
      <c r="A48" s="4"/>
      <c r="B48" s="5" t="s">
        <v>88</v>
      </c>
      <c r="C48" s="1" t="str">
        <f>IFERROR((1+C43)/((1+C47)*(1+C46))-1,"n/a")</f>
        <v>n/a</v>
      </c>
      <c r="D48" s="1" t="str">
        <f>IFERROR((1+D43)/((1+D47)*(1+D46))-1,"n/a")</f>
        <v>n/a</v>
      </c>
      <c r="E48" s="1" t="str">
        <f>IFERROR((1+E43)/((1+E47)*(1+E46))-1,"n/a")</f>
        <v>n/a</v>
      </c>
      <c r="F48" s="1" t="str">
        <f>IFERROR((1+F43)/((1+F47)*(1+F46))-1,"n/a")</f>
        <v>n/a</v>
      </c>
      <c r="G48" s="1" t="str">
        <f>IFERROR((1+G43)/((1+G47)*(1+G46))-1,"n/a")</f>
        <v>n/a</v>
      </c>
      <c r="H48" s="16" t="str">
        <f>IFERROR((1+H43)/((1+H47)*(1+H46))-1,"n/a")</f>
        <v>n/a</v>
      </c>
      <c r="I48" s="2" t="s">
        <v>166</v>
      </c>
    </row>
    <row r="49">
      <c r="A49" s="4"/>
      <c r="B49" s="11" t="s">
        <v>61</v>
      </c>
      <c r="C49" s="37">
        <f>C32+C42</f>
        <v>50772</v>
      </c>
      <c r="D49" s="37">
        <f>D32+D42</f>
        <v>58938</v>
      </c>
      <c r="E49" s="37">
        <f>E32+E42</f>
        <v>55909</v>
      </c>
      <c r="F49" s="37">
        <f>F32+F42</f>
        <v>60370</v>
      </c>
      <c r="G49" s="37">
        <f>G32+G42</f>
        <v>198759</v>
      </c>
      <c r="H49" s="65">
        <f>H32+H42</f>
        <v>63340.344000000005</v>
      </c>
      <c r="I49" s="2"/>
    </row>
    <row r="50">
      <c r="A50" s="4"/>
      <c r="B50" s="67" t="s">
        <v>167</v>
      </c>
      <c r="C50" s="39">
        <v>50772</v>
      </c>
      <c r="D50" s="39">
        <v>58938</v>
      </c>
      <c r="E50" s="39">
        <v>55909</v>
      </c>
      <c r="F50" s="39">
        <v>60370</v>
      </c>
      <c r="G50" s="39">
        <v>198759</v>
      </c>
      <c r="H50" s="3"/>
      <c r="I50" s="2" t="s">
        <v>168</v>
      </c>
    </row>
    <row r="51">
      <c r="A51" s="4"/>
      <c r="B51" s="67" t="s">
        <v>169</v>
      </c>
      <c r="C51" s="10">
        <f>C49-C50</f>
        <v>0</v>
      </c>
      <c r="D51" s="10">
        <f>D49-D50</f>
        <v>0</v>
      </c>
      <c r="E51" s="10">
        <f>E49-E50</f>
        <v>0</v>
      </c>
      <c r="F51" s="10">
        <f>F49-F50</f>
        <v>0</v>
      </c>
      <c r="G51" s="10">
        <f>G49-G50</f>
        <v>0</v>
      </c>
      <c r="H51" s="3"/>
      <c r="I51" s="2"/>
    </row>
    <row r="52">
      <c r="A52" s="4"/>
      <c r="B52" s="5" t="s">
        <v>170</v>
      </c>
      <c r="C52" s="7">
        <f>C49/Inputs!C127-1</f>
        <v>0.25925742205907887</v>
      </c>
      <c r="D52" s="7">
        <f>D49/Inputs!D127-1</f>
        <v>0.24599382689949678</v>
      </c>
      <c r="E52" s="7">
        <f>E49/Inputs!E127-1</f>
        <v>0.33427998663548286</v>
      </c>
      <c r="F52" s="7">
        <f>F49/Inputs!F127-1</f>
        <v>0.28049039154965416</v>
      </c>
      <c r="G52" s="7">
        <f>G49/Inputs!G127-1</f>
        <v>0.22422469280280866</v>
      </c>
      <c r="H52" s="16">
        <f>H49/C49-1</f>
        <v>0.24754478846608374</v>
      </c>
      <c r="I52" s="2"/>
    </row>
    <row r="53">
      <c r="A53" s="4"/>
      <c r="B53" s="5" t="s">
        <v>171</v>
      </c>
      <c r="C53" s="7">
        <f>C49/Inputs!F127-1</f>
        <v>0.0769100241802061</v>
      </c>
      <c r="D53" s="1">
        <f>D49/C49-1</f>
        <v>0.1608366816355471</v>
      </c>
      <c r="E53" s="1">
        <f>E49/D49-1</f>
        <v>-0.05139298924293323</v>
      </c>
      <c r="F53" s="1">
        <f>F49/E49-1</f>
        <v>0.079790373642884</v>
      </c>
      <c r="G53" s="1" t="s">
        <v>65</v>
      </c>
      <c r="H53" s="16">
        <f>H49/F49-1</f>
        <v>0.04920231903263228</v>
      </c>
      <c r="I53" s="2"/>
    </row>
    <row r="54">
      <c r="A54" s="4"/>
      <c r="B54" s="23" t="s">
        <v>172</v>
      </c>
      <c r="C54" s="36">
        <f>C49-Inputs!F127</f>
        <v>3626</v>
      </c>
      <c r="D54" s="10">
        <f>D49-C49</f>
        <v>8166</v>
      </c>
      <c r="E54" s="10">
        <f>E49-D49</f>
        <v>-3029</v>
      </c>
      <c r="F54" s="10">
        <f>F49-E49</f>
        <v>4461</v>
      </c>
      <c r="G54" s="10" t="s">
        <v>65</v>
      </c>
      <c r="H54" s="3">
        <f>H49-F49</f>
        <v>2970.3440000000046</v>
      </c>
      <c r="I54" s="2"/>
    </row>
    <row r="55">
      <c r="A55" s="4"/>
      <c r="B55" s="5" t="s">
        <v>173</v>
      </c>
      <c r="C55" s="1">
        <f>C32/C49</f>
        <v>0.9864098321909714</v>
      </c>
      <c r="D55" s="1">
        <f>D32/D49</f>
        <v>0.9864094472157182</v>
      </c>
      <c r="E55" s="1">
        <f>E32/E49</f>
        <v>0.9841707059686275</v>
      </c>
      <c r="F55" s="1">
        <f>F32/F49</f>
        <v>0.9833195295676661</v>
      </c>
      <c r="G55" s="1">
        <f>G32/G49</f>
        <v>0.9869942996291992</v>
      </c>
      <c r="H55" s="16">
        <f>H32/H49</f>
        <v>0.9820256738738268</v>
      </c>
      <c r="I55" s="2"/>
    </row>
    <row r="56">
      <c r="A56" s="4"/>
      <c r="B56" s="23" t="s">
        <v>174</v>
      </c>
      <c r="C56" s="8">
        <f>(C55-Inputs!C125/Inputs!C127)*10000</f>
        <v>-28.260119519883943</v>
      </c>
      <c r="D56" s="8">
        <f>(D55-Inputs!D125/Inputs!D127)*10000</f>
        <v>-26.18500862587192</v>
      </c>
      <c r="E56" s="8">
        <f>(E55-Inputs!E125/Inputs!E127)*10000</f>
        <v>-36.580372894507995</v>
      </c>
      <c r="F56" s="8">
        <f>(F55-Inputs!F125/Inputs!F127)*10000</f>
        <v>-43.14628155152378</v>
      </c>
      <c r="G56" s="8">
        <f>(G55-Inputs!G125/Inputs!G127)*10000</f>
        <v>-23.993131329578254</v>
      </c>
      <c r="H56" s="66">
        <f>(H55-C55)*10000</f>
        <v>-43.84158317144671</v>
      </c>
      <c r="I56" s="2"/>
    </row>
    <row r="57">
      <c r="A57" s="4"/>
      <c r="B57" s="13"/>
      <c r="C57" s="4"/>
      <c r="D57" s="4"/>
      <c r="E57" s="4"/>
      <c r="F57" s="4"/>
      <c r="G57" s="4"/>
      <c r="H57" s="6"/>
      <c r="I57" s="2"/>
    </row>
    <row r="58">
      <c r="A58" s="4"/>
      <c r="B58" s="11" t="s">
        <v>175</v>
      </c>
      <c r="C58" s="12"/>
      <c r="D58" s="12"/>
      <c r="E58" s="12"/>
      <c r="F58" s="12"/>
      <c r="G58" s="12"/>
      <c r="H58" s="45"/>
      <c r="I58" s="2"/>
    </row>
    <row r="59">
      <c r="A59" s="4"/>
      <c r="B59" s="11" t="s">
        <v>176</v>
      </c>
      <c r="C59" s="25">
        <v>24967</v>
      </c>
      <c r="D59" s="25">
        <v>30766</v>
      </c>
      <c r="E59" s="25">
        <v>26900</v>
      </c>
      <c r="F59" s="25">
        <v>23394</v>
      </c>
      <c r="G59" s="18">
        <f>Inputs!G168+D59</f>
        <v>102468</v>
      </c>
      <c r="H59" s="24">
        <f>'Income Statement'!H43-'Segment - Reality Labs'!H25</f>
        <v>16156.067584000004</v>
      </c>
      <c r="I59" s="2" t="s">
        <v>177</v>
      </c>
    </row>
    <row r="60">
      <c r="A60" s="4"/>
      <c r="B60" s="5" t="s">
        <v>178</v>
      </c>
      <c r="C60" s="7">
        <f>C59/Inputs!C129-1</f>
        <v>0.14643217926347685</v>
      </c>
      <c r="D60" s="7">
        <f>D59/Inputs!D129-1</f>
        <v>0.08590992517294938</v>
      </c>
      <c r="E60" s="7">
        <f>E59/Inputs!E129-1</f>
        <v>0.23592924419940275</v>
      </c>
      <c r="F60" s="7">
        <f>F59/Inputs!F129-1</f>
        <v>-0.0631532577790237</v>
      </c>
      <c r="G60" s="7">
        <f>G59/Inputs!G129-1</f>
        <v>0.17631932406525164</v>
      </c>
      <c r="H60" s="16">
        <f>H59/C59-1</f>
        <v>-0.3529031287699762</v>
      </c>
      <c r="I60" s="2"/>
    </row>
    <row r="61">
      <c r="A61" s="4"/>
      <c r="B61" s="23" t="s">
        <v>179</v>
      </c>
      <c r="C61" s="36">
        <f>C59-Inputs!F129</f>
        <v>-4</v>
      </c>
      <c r="D61" s="10">
        <f>D59-C59</f>
        <v>5799</v>
      </c>
      <c r="E61" s="10">
        <f>E59-D59</f>
        <v>-3866</v>
      </c>
      <c r="F61" s="10">
        <f>F59-E59</f>
        <v>-3506</v>
      </c>
      <c r="G61" s="10" t="s">
        <v>65</v>
      </c>
      <c r="H61" s="3">
        <f>H59-F59</f>
        <v>-7237.932415999996</v>
      </c>
      <c r="I61" s="2"/>
    </row>
    <row r="62">
      <c r="A62" s="4"/>
      <c r="B62" s="40" t="s">
        <v>180</v>
      </c>
      <c r="C62" s="1">
        <f>C59/C49</f>
        <v>0.4917474198377058</v>
      </c>
      <c r="D62" s="1">
        <f>D59/D49</f>
        <v>0.52200617598154</v>
      </c>
      <c r="E62" s="1">
        <f>E59/E49</f>
        <v>0.481138993721941</v>
      </c>
      <c r="F62" s="1">
        <f>F59/F49</f>
        <v>0.38751035282425045</v>
      </c>
      <c r="G62" s="1">
        <f>G59/G49</f>
        <v>0.5155389189923475</v>
      </c>
      <c r="H62" s="16">
        <f>H59/H49</f>
        <v>0.2550675693204319</v>
      </c>
      <c r="I62" s="2"/>
    </row>
    <row r="63">
      <c r="A63" s="4"/>
      <c r="B63" s="23" t="s">
        <v>181</v>
      </c>
      <c r="C63" s="8">
        <f>(C62-Inputs!C129/Inputs!C127)*10000</f>
        <v>-483.94944804274365</v>
      </c>
      <c r="D63" s="8">
        <f>(D62-Inputs!D129/Inputs!D127)*10000</f>
        <v>-769.5369886518955</v>
      </c>
      <c r="E63" s="8">
        <f>(E62-Inputs!E129/Inputs!E127)*10000</f>
        <v>-382.87286646537797</v>
      </c>
      <c r="F63" s="8">
        <f>(F62-Inputs!F129/Inputs!F127)*10000</f>
        <v>-1421.4221579238722</v>
      </c>
      <c r="G63" s="8">
        <f>(G62-Inputs!G129/Inputs!G127)*10000</f>
        <v>-209.95219161697665</v>
      </c>
      <c r="H63" s="66">
        <f>(H62-C62)*10000</f>
        <v>-2366.798505172739</v>
      </c>
      <c r="I63" s="2"/>
    </row>
    <row r="64">
      <c r="A64" s="4"/>
      <c r="B64" s="23" t="s">
        <v>182</v>
      </c>
      <c r="C64" s="8">
        <f>(C62-Inputs!F129/Inputs!F127)*10000</f>
        <v>-379.0514877893186</v>
      </c>
      <c r="D64" s="70">
        <f>(D62-C62)*10000</f>
        <v>302.58756143834165</v>
      </c>
      <c r="E64" s="70">
        <f>(E62-D62)*10000</f>
        <v>-408.67182259598957</v>
      </c>
      <c r="F64" s="70">
        <f>(F62-E62)*10000</f>
        <v>-936.2864089769057</v>
      </c>
      <c r="G64" s="70" t="s">
        <v>65</v>
      </c>
      <c r="H64" s="66">
        <f>(H62-F62)*10000</f>
        <v>-1324.4278350381855</v>
      </c>
      <c r="I64" s="2"/>
    </row>
    <row r="65">
      <c r="A65" s="4"/>
      <c r="B65" s="13" t="s">
        <v>183</v>
      </c>
      <c r="C65" s="10">
        <f>C49-C59</f>
        <v>25805</v>
      </c>
      <c r="D65" s="10">
        <f>D49-D59</f>
        <v>28172</v>
      </c>
      <c r="E65" s="10">
        <f>E49-E59</f>
        <v>29009</v>
      </c>
      <c r="F65" s="10">
        <f>F49-F59</f>
        <v>36976</v>
      </c>
      <c r="G65" s="10">
        <f>G49-G59</f>
        <v>96291</v>
      </c>
      <c r="H65" s="3">
        <f>H49-H59</f>
        <v>47184.276416</v>
      </c>
      <c r="I65" s="2"/>
    </row>
    <row r="66">
      <c r="A66" s="4"/>
      <c r="B66" s="67" t="s">
        <v>184</v>
      </c>
      <c r="C66" s="10" t="s">
        <v>68</v>
      </c>
      <c r="D66" s="10" t="s">
        <v>68</v>
      </c>
      <c r="E66" s="10" t="s">
        <v>68</v>
      </c>
      <c r="F66" s="36">
        <f>'Income Statement'!F35</f>
        <v>2400</v>
      </c>
      <c r="G66" s="10" t="s">
        <v>68</v>
      </c>
      <c r="H66" s="52">
        <f>'Income Statement'!H35</f>
        <v>10000</v>
      </c>
      <c r="I66" s="2" t="s">
        <v>185</v>
      </c>
    </row>
    <row r="67">
      <c r="A67" s="4"/>
      <c r="B67" s="13" t="s">
        <v>186</v>
      </c>
      <c r="C67" s="10">
        <f>C59+N(C66)</f>
        <v>24967</v>
      </c>
      <c r="D67" s="10">
        <f>D59+N(D66)</f>
        <v>30766</v>
      </c>
      <c r="E67" s="10">
        <f>E59+N(E66)</f>
        <v>26900</v>
      </c>
      <c r="F67" s="10">
        <f>F59+N(F66)</f>
        <v>25794</v>
      </c>
      <c r="G67" s="10">
        <f>G59+N(G66)</f>
        <v>102468</v>
      </c>
      <c r="H67" s="3">
        <f>H59+N(H66)</f>
        <v>26156.067584000004</v>
      </c>
      <c r="I67" s="2"/>
    </row>
    <row r="68">
      <c r="A68" s="4"/>
      <c r="B68" s="40" t="s">
        <v>187</v>
      </c>
      <c r="C68" s="1">
        <f>C67/C49</f>
        <v>0.4917474198377058</v>
      </c>
      <c r="D68" s="1">
        <f>D67/D49</f>
        <v>0.52200617598154</v>
      </c>
      <c r="E68" s="1">
        <f>E67/E49</f>
        <v>0.481138993721941</v>
      </c>
      <c r="F68" s="1">
        <f>F67/F49</f>
        <v>0.42726519794599965</v>
      </c>
      <c r="G68" s="1">
        <f>G67/G49</f>
        <v>0.5155389189923475</v>
      </c>
      <c r="H68" s="16">
        <f>H67/H49</f>
        <v>0.412944829980715</v>
      </c>
      <c r="I68" s="2"/>
    </row>
    <row r="69">
      <c r="A69" s="4"/>
      <c r="B69" s="23" t="s">
        <v>188</v>
      </c>
      <c r="C69" s="99">
        <f>(C68-Inputs!F129/Inputs!F127)*10000</f>
        <v>-379.0514877893186</v>
      </c>
      <c r="D69" s="70">
        <f>(D68-C68)*10000</f>
        <v>302.58756143834165</v>
      </c>
      <c r="E69" s="70">
        <f>(E68-D68)*10000</f>
        <v>-408.67182259598957</v>
      </c>
      <c r="F69" s="70">
        <f>(F68-E68)*10000</f>
        <v>-538.7379577594137</v>
      </c>
      <c r="G69" s="70" t="s">
        <v>65</v>
      </c>
      <c r="H69" s="66">
        <f>(H68-F68)*10000</f>
        <v>-143.20367965284632</v>
      </c>
      <c r="I69" s="2" t="s">
        <v>189</v>
      </c>
    </row>
    <row r="70">
      <c r="A70" s="4"/>
      <c r="B70" s="4"/>
      <c r="C70" s="4"/>
      <c r="D70" s="4"/>
      <c r="E70" s="4"/>
      <c r="F70" s="4"/>
      <c r="G70" s="4"/>
      <c r="H70" s="4"/>
      <c r="I70" s="4"/>
    </row>
    <row r="71">
      <c r="A71" s="4"/>
      <c r="B71" s="4"/>
      <c r="C71" s="4"/>
      <c r="D71" s="4"/>
      <c r="E71" s="4"/>
      <c r="F71" s="4"/>
      <c r="G71" s="4"/>
      <c r="H71" s="4"/>
      <c r="I71" s="4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I3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190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191</v>
      </c>
      <c r="C9" s="12"/>
      <c r="D9" s="12"/>
      <c r="E9" s="12"/>
      <c r="F9" s="12"/>
      <c r="G9" s="12"/>
      <c r="H9" s="45"/>
      <c r="I9" s="2"/>
    </row>
    <row r="10">
      <c r="A10" s="4"/>
      <c r="B10" s="13" t="s">
        <v>192</v>
      </c>
      <c r="C10" s="10" t="s">
        <v>68</v>
      </c>
      <c r="D10" s="10" t="s">
        <v>68</v>
      </c>
      <c r="E10" s="10" t="s">
        <v>68</v>
      </c>
      <c r="F10" s="10" t="s">
        <v>68</v>
      </c>
      <c r="G10" s="10" t="s">
        <v>68</v>
      </c>
      <c r="H10" s="3" t="s">
        <v>68</v>
      </c>
      <c r="I10" s="2" t="s">
        <v>193</v>
      </c>
    </row>
    <row r="11">
      <c r="A11" s="4"/>
      <c r="B11" s="13" t="s">
        <v>194</v>
      </c>
      <c r="C11" s="10" t="s">
        <v>68</v>
      </c>
      <c r="D11" s="10" t="s">
        <v>68</v>
      </c>
      <c r="E11" s="10" t="s">
        <v>68</v>
      </c>
      <c r="F11" s="10" t="s">
        <v>68</v>
      </c>
      <c r="G11" s="10" t="s">
        <v>68</v>
      </c>
      <c r="H11" s="3" t="s">
        <v>68</v>
      </c>
      <c r="I11" s="2" t="s">
        <v>195</v>
      </c>
    </row>
    <row r="12">
      <c r="A12" s="4"/>
      <c r="B12" s="13" t="s">
        <v>196</v>
      </c>
      <c r="C12" s="20" t="s">
        <v>68</v>
      </c>
      <c r="D12" s="20" t="s">
        <v>68</v>
      </c>
      <c r="E12" s="20" t="s">
        <v>68</v>
      </c>
      <c r="F12" s="20" t="s">
        <v>68</v>
      </c>
      <c r="G12" s="20" t="s">
        <v>68</v>
      </c>
      <c r="H12" s="56" t="s">
        <v>68</v>
      </c>
      <c r="I12" s="2" t="s">
        <v>165</v>
      </c>
    </row>
    <row r="13">
      <c r="A13" s="4"/>
      <c r="B13" s="13"/>
      <c r="C13" s="4"/>
      <c r="D13" s="4"/>
      <c r="E13" s="4"/>
      <c r="F13" s="4"/>
      <c r="G13" s="4"/>
      <c r="H13" s="6"/>
      <c r="I13" s="2"/>
    </row>
    <row r="14">
      <c r="A14" s="4"/>
      <c r="B14" s="11" t="s">
        <v>197</v>
      </c>
      <c r="C14" s="12"/>
      <c r="D14" s="12"/>
      <c r="E14" s="12"/>
      <c r="F14" s="12"/>
      <c r="G14" s="12"/>
      <c r="H14" s="45"/>
      <c r="I14" s="2"/>
    </row>
    <row r="15">
      <c r="A15" s="4"/>
      <c r="B15" s="11" t="s">
        <v>89</v>
      </c>
      <c r="C15" s="25">
        <v>470</v>
      </c>
      <c r="D15" s="25">
        <v>955</v>
      </c>
      <c r="E15" s="25">
        <v>402</v>
      </c>
      <c r="F15" s="25">
        <v>431</v>
      </c>
      <c r="G15" s="18">
        <f>Inputs!G167+D15</f>
        <v>2207</v>
      </c>
      <c r="H15" s="53">
        <f>C15*(1+H16)</f>
        <v>517</v>
      </c>
      <c r="I15" s="2" t="s">
        <v>161</v>
      </c>
    </row>
    <row r="16">
      <c r="A16" s="4"/>
      <c r="B16" s="5" t="s">
        <v>198</v>
      </c>
      <c r="C16" s="7">
        <f>C15/Inputs!C128-1</f>
        <v>0.7407407407407407</v>
      </c>
      <c r="D16" s="7">
        <f>D15/Inputs!D128-1</f>
        <v>-0.11819021237303784</v>
      </c>
      <c r="E16" s="7">
        <f>E15/Inputs!E128-1</f>
        <v>-0.024271844660194164</v>
      </c>
      <c r="F16" s="7">
        <f>F15/Inputs!F128-1</f>
        <v>0.16486486486486496</v>
      </c>
      <c r="G16" s="7">
        <f>G15/Inputs!G128-1</f>
        <v>0.028424976700838878</v>
      </c>
      <c r="H16" s="42">
        <v>0.1</v>
      </c>
      <c r="I16" s="2" t="s">
        <v>199</v>
      </c>
    </row>
    <row r="17">
      <c r="A17" s="4"/>
      <c r="B17" s="5" t="s">
        <v>200</v>
      </c>
      <c r="C17" s="7">
        <f>C15/Inputs!F128-1</f>
        <v>0.2702702702702702</v>
      </c>
      <c r="D17" s="1">
        <f>D15/C15-1</f>
        <v>1.0319148936170213</v>
      </c>
      <c r="E17" s="1">
        <f>E15/D15-1</f>
        <v>-0.5790575916230367</v>
      </c>
      <c r="F17" s="1">
        <f>F15/E15-1</f>
        <v>0.07213930348258701</v>
      </c>
      <c r="G17" s="1" t="s">
        <v>65</v>
      </c>
      <c r="H17" s="16">
        <f>H15/F15-1</f>
        <v>0.19953596287703013</v>
      </c>
      <c r="I17" s="2"/>
    </row>
    <row r="18">
      <c r="A18" s="4"/>
      <c r="B18" s="23" t="s">
        <v>201</v>
      </c>
      <c r="C18" s="36">
        <f>C15-Inputs!F128</f>
        <v>100</v>
      </c>
      <c r="D18" s="10">
        <f>D15-C15</f>
        <v>485</v>
      </c>
      <c r="E18" s="10">
        <f>E15-D15</f>
        <v>-553</v>
      </c>
      <c r="F18" s="10">
        <f>F15-E15</f>
        <v>29</v>
      </c>
      <c r="G18" s="10" t="s">
        <v>65</v>
      </c>
      <c r="H18" s="3">
        <f>H15-F15</f>
        <v>86</v>
      </c>
      <c r="I18" s="2"/>
    </row>
    <row r="19">
      <c r="A19" s="4"/>
      <c r="B19" s="5" t="s">
        <v>202</v>
      </c>
      <c r="C19" s="1" t="s">
        <v>68</v>
      </c>
      <c r="D19" s="1" t="s">
        <v>68</v>
      </c>
      <c r="E19" s="1" t="s">
        <v>68</v>
      </c>
      <c r="F19" s="1" t="s">
        <v>68</v>
      </c>
      <c r="G19" s="1" t="s">
        <v>68</v>
      </c>
      <c r="H19" s="16" t="s">
        <v>68</v>
      </c>
      <c r="I19" s="2" t="s">
        <v>203</v>
      </c>
    </row>
    <row r="20">
      <c r="A20" s="4"/>
      <c r="B20" s="5" t="s">
        <v>157</v>
      </c>
      <c r="C20" s="1" t="s">
        <v>68</v>
      </c>
      <c r="D20" s="1" t="s">
        <v>68</v>
      </c>
      <c r="E20" s="1" t="s">
        <v>68</v>
      </c>
      <c r="F20" s="1" t="s">
        <v>68</v>
      </c>
      <c r="G20" s="1" t="s">
        <v>68</v>
      </c>
      <c r="H20" s="16" t="s">
        <v>68</v>
      </c>
      <c r="I20" s="2" t="s">
        <v>165</v>
      </c>
    </row>
    <row r="21">
      <c r="A21" s="4"/>
      <c r="B21" s="5" t="s">
        <v>158</v>
      </c>
      <c r="C21" s="1" t="str">
        <f>IFERROR((1+C16)/((1+C20)*(1+C19))-1,"n/a")</f>
        <v>n/a</v>
      </c>
      <c r="D21" s="1" t="str">
        <f>IFERROR((1+D16)/((1+D20)*(1+D19))-1,"n/a")</f>
        <v>n/a</v>
      </c>
      <c r="E21" s="1" t="str">
        <f>IFERROR((1+E16)/((1+E20)*(1+E19))-1,"n/a")</f>
        <v>n/a</v>
      </c>
      <c r="F21" s="1" t="str">
        <f>IFERROR((1+F16)/((1+F20)*(1+F19))-1,"n/a")</f>
        <v>n/a</v>
      </c>
      <c r="G21" s="1" t="str">
        <f>IFERROR((1+G16)/((1+G20)*(1+G19))-1,"n/a")</f>
        <v>n/a</v>
      </c>
      <c r="H21" s="16" t="str">
        <f>IFERROR((1+H16)/((1+H20)*(1+H19))-1,"n/a")</f>
        <v>n/a</v>
      </c>
      <c r="I21" s="2" t="s">
        <v>166</v>
      </c>
    </row>
    <row r="22">
      <c r="A22" s="4"/>
      <c r="B22" s="5" t="s">
        <v>204</v>
      </c>
      <c r="C22" s="7">
        <f>C15/'Revenue summary'!C38</f>
        <v>0.009172163459661997</v>
      </c>
      <c r="D22" s="7">
        <f>D15/'Revenue summary'!D38</f>
        <v>0.015945102098742756</v>
      </c>
      <c r="E22" s="7">
        <f>E15/'Revenue summary'!E38</f>
        <v>0.007138924899220401</v>
      </c>
      <c r="F22" s="7">
        <f>F15/'Revenue summary'!F38</f>
        <v>0.007088699199026331</v>
      </c>
      <c r="G22" s="7">
        <f>G15/'Revenue summary'!G38</f>
        <v>0.010981957146980087</v>
      </c>
      <c r="H22" s="50">
        <f>H15/'Revenue summary'!H38</f>
        <v>0.008096171365974757</v>
      </c>
      <c r="I22" s="2"/>
    </row>
    <row r="23">
      <c r="A23" s="4"/>
      <c r="B23" s="13"/>
      <c r="C23" s="4"/>
      <c r="D23" s="4"/>
      <c r="E23" s="4"/>
      <c r="F23" s="4"/>
      <c r="G23" s="4"/>
      <c r="H23" s="6"/>
      <c r="I23" s="2"/>
    </row>
    <row r="24">
      <c r="A24" s="4"/>
      <c r="B24" s="11" t="s">
        <v>205</v>
      </c>
      <c r="C24" s="12"/>
      <c r="D24" s="12"/>
      <c r="E24" s="12"/>
      <c r="F24" s="12"/>
      <c r="G24" s="12"/>
      <c r="H24" s="45"/>
      <c r="I24" s="2"/>
    </row>
    <row r="25">
      <c r="A25" s="4"/>
      <c r="B25" s="11" t="s">
        <v>206</v>
      </c>
      <c r="C25" s="25">
        <v>-4432</v>
      </c>
      <c r="D25" s="25">
        <v>-6021</v>
      </c>
      <c r="E25" s="25">
        <v>-4028</v>
      </c>
      <c r="F25" s="25">
        <v>-4619</v>
      </c>
      <c r="G25" s="18">
        <f>Inputs!G169+D25</f>
        <v>-19192</v>
      </c>
      <c r="H25" s="63">
        <v>-4700</v>
      </c>
      <c r="I25" s="2" t="s">
        <v>207</v>
      </c>
    </row>
    <row r="26">
      <c r="A26" s="4"/>
      <c r="B26" s="5" t="s">
        <v>208</v>
      </c>
      <c r="C26" s="7">
        <f>C25/Inputs!C130-1</f>
        <v>0.0009033423667570428</v>
      </c>
      <c r="D26" s="7">
        <f>D25/Inputs!D130-1</f>
        <v>0.21220052345480167</v>
      </c>
      <c r="E26" s="7">
        <f>E25/Inputs!E130-1</f>
        <v>-0.04323040380047505</v>
      </c>
      <c r="F26" s="7">
        <f>F25/Inputs!F130-1</f>
        <v>0.019646799116997737</v>
      </c>
      <c r="G26" s="7">
        <f>G25/Inputs!G130-1</f>
        <v>0.08252016470190093</v>
      </c>
      <c r="H26" s="16">
        <f>H25/C25-1</f>
        <v>0.060469314079422354</v>
      </c>
      <c r="I26" s="2"/>
    </row>
    <row r="27">
      <c r="A27" s="4"/>
      <c r="B27" s="23" t="s">
        <v>209</v>
      </c>
      <c r="C27" s="36">
        <f>C25-Inputs!F130</f>
        <v>98</v>
      </c>
      <c r="D27" s="10">
        <f>D25-C25</f>
        <v>-1589</v>
      </c>
      <c r="E27" s="10">
        <f>E25-D25</f>
        <v>1993</v>
      </c>
      <c r="F27" s="10">
        <f>F25-E25</f>
        <v>-591</v>
      </c>
      <c r="G27" s="10" t="s">
        <v>65</v>
      </c>
      <c r="H27" s="3">
        <f>H25-F25</f>
        <v>-81</v>
      </c>
      <c r="I27" s="2"/>
    </row>
    <row r="28">
      <c r="A28" s="4"/>
      <c r="B28" s="13" t="s">
        <v>210</v>
      </c>
      <c r="C28" s="10">
        <f>C15-C25</f>
        <v>4902</v>
      </c>
      <c r="D28" s="10">
        <f>D15-D25</f>
        <v>6976</v>
      </c>
      <c r="E28" s="10">
        <f>E15-E25</f>
        <v>4430</v>
      </c>
      <c r="F28" s="10">
        <f>F15-F25</f>
        <v>5050</v>
      </c>
      <c r="G28" s="10">
        <f>G15-G25</f>
        <v>21399</v>
      </c>
      <c r="H28" s="3">
        <f>H15-H25</f>
        <v>5217</v>
      </c>
      <c r="I28" s="2"/>
    </row>
    <row r="29">
      <c r="A29" s="4"/>
      <c r="B29" s="5" t="s">
        <v>211</v>
      </c>
      <c r="C29" s="7">
        <f>C28/(Inputs!C128-Inputs!C130)-1</f>
        <v>0.04342273307790556</v>
      </c>
      <c r="D29" s="7">
        <f>D28/(Inputs!D128-Inputs!D130)-1</f>
        <v>0.15305785123966942</v>
      </c>
      <c r="E29" s="7">
        <f>E28/(Inputs!E128-Inputs!E130)-1</f>
        <v>-0.04154045867589784</v>
      </c>
      <c r="F29" s="7">
        <f>F28/(Inputs!F128-Inputs!F130)-1</f>
        <v>0.030612244897959107</v>
      </c>
      <c r="G29" s="7">
        <f>G28/(Inputs!G128-Inputs!G130)-1</f>
        <v>0.07667924528301895</v>
      </c>
      <c r="H29" s="16">
        <f>H28/C28-1</f>
        <v>0.06425948592411257</v>
      </c>
      <c r="I29" s="2"/>
    </row>
    <row r="30">
      <c r="A30" s="4"/>
      <c r="B30" s="40" t="s">
        <v>212</v>
      </c>
      <c r="C30" s="1">
        <f>C25/C15</f>
        <v>-9.429787234042553</v>
      </c>
      <c r="D30" s="1">
        <f>D25/D15</f>
        <v>-6.304712041884817</v>
      </c>
      <c r="E30" s="1">
        <f>E25/E15</f>
        <v>-10.019900497512438</v>
      </c>
      <c r="F30" s="1">
        <f>F25/F15</f>
        <v>-10.7169373549884</v>
      </c>
      <c r="G30" s="1">
        <f>G25/G15</f>
        <v>-8.695967376529225</v>
      </c>
      <c r="H30" s="16">
        <f>H25/H15</f>
        <v>-9.090909090909092</v>
      </c>
      <c r="I30" s="2"/>
    </row>
    <row r="31">
      <c r="A31" s="4"/>
      <c r="B31" s="23" t="s">
        <v>213</v>
      </c>
      <c r="C31" s="8">
        <f>(C30-Inputs!C130/Inputs!C128)*10000</f>
        <v>69702.12765957446</v>
      </c>
      <c r="D31" s="8">
        <f>(D30-Inputs!D130/Inputs!D128)*10000</f>
        <v>-17183.777851904488</v>
      </c>
      <c r="E31" s="8">
        <f>(E30-Inputs!E130/Inputs!E128)*10000</f>
        <v>1985.4610442930998</v>
      </c>
      <c r="F31" s="8">
        <f>(F30-Inputs!F130/Inputs!F128)*10000</f>
        <v>15263.058882548446</v>
      </c>
      <c r="G31" s="8">
        <f>(G30-Inputs!G130/Inputs!G128)*10000</f>
        <v>-4345.507875264296</v>
      </c>
      <c r="H31" s="66">
        <f>(H30-C30)*10000</f>
        <v>3388.7814313346175</v>
      </c>
      <c r="I31" s="2" t="s">
        <v>214</v>
      </c>
    </row>
    <row r="32">
      <c r="A32" s="4"/>
      <c r="B32" s="4"/>
      <c r="C32" s="4"/>
      <c r="D32" s="4"/>
      <c r="E32" s="4"/>
      <c r="F32" s="4"/>
      <c r="G32" s="4"/>
      <c r="H32" s="4"/>
      <c r="I32" s="4"/>
    </row>
    <row r="33">
      <c r="A33" s="4"/>
      <c r="B33" s="4"/>
      <c r="C33" s="4"/>
      <c r="D33" s="4"/>
      <c r="E33" s="4"/>
      <c r="F33" s="4"/>
      <c r="G33" s="4"/>
      <c r="H33" s="4"/>
      <c r="I33" s="4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I9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215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197</v>
      </c>
      <c r="C9" s="18">
        <f>'Revenue summary'!C38</f>
        <v>51242</v>
      </c>
      <c r="D9" s="18">
        <f>'Revenue summary'!D38</f>
        <v>59893</v>
      </c>
      <c r="E9" s="18">
        <f>'Revenue summary'!E38</f>
        <v>56311</v>
      </c>
      <c r="F9" s="18">
        <f>'Revenue summary'!F38</f>
        <v>60801</v>
      </c>
      <c r="G9" s="18">
        <f>'Revenue summary'!G38</f>
        <v>200966</v>
      </c>
      <c r="H9" s="24">
        <f>'Revenue summary'!H38</f>
        <v>63857.344000000005</v>
      </c>
      <c r="I9" s="2" t="s">
        <v>216</v>
      </c>
    </row>
    <row r="10">
      <c r="A10" s="4"/>
      <c r="B10" s="5" t="s">
        <v>217</v>
      </c>
      <c r="C10" s="7">
        <f>'Revenue summary'!C41</f>
        <v>0.2624602724876197</v>
      </c>
      <c r="D10" s="7">
        <f>'Revenue summary'!D41</f>
        <v>0.23784230649994842</v>
      </c>
      <c r="E10" s="7">
        <f>'Revenue summary'!E41</f>
        <v>0.3307888642057002</v>
      </c>
      <c r="F10" s="7">
        <f>'Revenue summary'!F41</f>
        <v>0.27959003283104633</v>
      </c>
      <c r="G10" s="7">
        <f>'Revenue summary'!G41</f>
        <v>0.22167038498246217</v>
      </c>
      <c r="H10" s="50">
        <f>'Revenue summary'!H41</f>
        <v>0.2461914835486516</v>
      </c>
      <c r="I10" s="2"/>
    </row>
    <row r="11">
      <c r="A11" s="4"/>
      <c r="B11" s="67" t="s">
        <v>218</v>
      </c>
      <c r="C11" s="39">
        <v>9206</v>
      </c>
      <c r="D11" s="39">
        <v>10905</v>
      </c>
      <c r="E11" s="39">
        <v>10218</v>
      </c>
      <c r="F11" s="39">
        <v>11330</v>
      </c>
      <c r="G11" s="36">
        <f>Inputs!G172+D11</f>
        <v>36174</v>
      </c>
      <c r="H11" s="3">
        <f>H9*H12</f>
        <v>12579.896768000002</v>
      </c>
      <c r="I11" s="2" t="s">
        <v>161</v>
      </c>
    </row>
    <row r="12">
      <c r="A12" s="4"/>
      <c r="B12" s="5" t="s">
        <v>219</v>
      </c>
      <c r="C12" s="1">
        <f>C11/C9</f>
        <v>0.1796573123609539</v>
      </c>
      <c r="D12" s="1">
        <f>D11/D9</f>
        <v>0.18207469988145525</v>
      </c>
      <c r="E12" s="1">
        <f>E11/E9</f>
        <v>0.18145655378167677</v>
      </c>
      <c r="F12" s="1">
        <f>F11/F9</f>
        <v>0.18634561931547178</v>
      </c>
      <c r="G12" s="1">
        <f>G11/G9</f>
        <v>0.18000059711593006</v>
      </c>
      <c r="H12" s="42">
        <v>0.197</v>
      </c>
      <c r="I12" s="2" t="s">
        <v>220</v>
      </c>
    </row>
    <row r="13">
      <c r="A13" s="4"/>
      <c r="B13" s="5" t="s">
        <v>221</v>
      </c>
      <c r="C13" s="7">
        <f>C11/Inputs!C131-1</f>
        <v>0.24827118644067792</v>
      </c>
      <c r="D13" s="7">
        <f>D11/Inputs!D131-1</f>
        <v>0.23373684805973527</v>
      </c>
      <c r="E13" s="7">
        <f>E11/Inputs!E131-1</f>
        <v>0.3494453248811411</v>
      </c>
      <c r="F13" s="7">
        <f>F11/Inputs!F131-1</f>
        <v>0.33435402190554697</v>
      </c>
      <c r="G13" s="7">
        <f>G11/Inputs!G131-1</f>
        <v>0.19936341633234966</v>
      </c>
      <c r="H13" s="16">
        <f>H11/C11-1</f>
        <v>0.36648889506843396</v>
      </c>
      <c r="I13" s="2"/>
    </row>
    <row r="14">
      <c r="A14" s="4"/>
      <c r="B14" s="23" t="s">
        <v>222</v>
      </c>
      <c r="C14" s="36">
        <f>C11-Inputs!F131</f>
        <v>715</v>
      </c>
      <c r="D14" s="10">
        <f>D11-C11</f>
        <v>1699</v>
      </c>
      <c r="E14" s="10">
        <f>E11-D11</f>
        <v>-687</v>
      </c>
      <c r="F14" s="10">
        <f>F11-E11</f>
        <v>1112</v>
      </c>
      <c r="G14" s="10" t="s">
        <v>65</v>
      </c>
      <c r="H14" s="3">
        <f>H11-F11</f>
        <v>1249.8967680000023</v>
      </c>
      <c r="I14" s="2"/>
    </row>
    <row r="15">
      <c r="A15" s="4"/>
      <c r="B15" s="23" t="s">
        <v>223</v>
      </c>
      <c r="C15" s="8">
        <f>(C12-Inputs!C131/Inputs!C124)*10000</f>
        <v>-20.42162866324443</v>
      </c>
      <c r="D15" s="8">
        <f>(D12-Inputs!D131/Inputs!D124)*10000</f>
        <v>-6.0588294380051195</v>
      </c>
      <c r="E15" s="8">
        <f>(E12-Inputs!E131/Inputs!E124)*10000</f>
        <v>25.086878271463608</v>
      </c>
      <c r="F15" s="8">
        <f>(F12-Inputs!F131/Inputs!F124)*10000</f>
        <v>76.4791748871868</v>
      </c>
      <c r="G15" s="8">
        <f>(G12-Inputs!G131/Inputs!G124)*10000</f>
        <v>-33.47832376899784</v>
      </c>
      <c r="H15" s="66">
        <f>(H12-C12)*10000</f>
        <v>173.42687639046116</v>
      </c>
      <c r="I15" s="2"/>
    </row>
    <row r="16">
      <c r="A16" s="4"/>
      <c r="B16" s="11" t="s">
        <v>224</v>
      </c>
      <c r="C16" s="37">
        <f>C9-C11</f>
        <v>42036</v>
      </c>
      <c r="D16" s="37">
        <f>D9-D11</f>
        <v>48988</v>
      </c>
      <c r="E16" s="37">
        <f>E9-E11</f>
        <v>46093</v>
      </c>
      <c r="F16" s="37">
        <f>F9-F11</f>
        <v>49471</v>
      </c>
      <c r="G16" s="37">
        <f>G9-G11</f>
        <v>164792</v>
      </c>
      <c r="H16" s="65">
        <f>H9-H11</f>
        <v>51277.447232000006</v>
      </c>
      <c r="I16" s="2"/>
    </row>
    <row r="17">
      <c r="A17" s="4"/>
      <c r="B17" s="40" t="s">
        <v>225</v>
      </c>
      <c r="C17" s="1">
        <f>C16/C9</f>
        <v>0.820342687639046</v>
      </c>
      <c r="D17" s="1">
        <f>D16/D9</f>
        <v>0.8179253001185447</v>
      </c>
      <c r="E17" s="1">
        <f>E16/E9</f>
        <v>0.8185434462183232</v>
      </c>
      <c r="F17" s="1">
        <f>F16/F9</f>
        <v>0.8136543806845282</v>
      </c>
      <c r="G17" s="1">
        <f>G16/G9</f>
        <v>0.8199994028840699</v>
      </c>
      <c r="H17" s="16">
        <f>H16/H9</f>
        <v>0.803</v>
      </c>
      <c r="I17" s="2"/>
    </row>
    <row r="18">
      <c r="A18" s="4"/>
      <c r="B18" s="23" t="s">
        <v>226</v>
      </c>
      <c r="C18" s="8">
        <f>(C17-(1-Inputs!C131/Inputs!C124))*10000</f>
        <v>20.42162866324415</v>
      </c>
      <c r="D18" s="8">
        <f>(D17-(1-Inputs!D131/Inputs!D124))*10000</f>
        <v>6.058829438004842</v>
      </c>
      <c r="E18" s="8">
        <f>(E17-(1-Inputs!E131/Inputs!E124))*10000</f>
        <v>-25.086878271464165</v>
      </c>
      <c r="F18" s="8">
        <f>(F17-(1-Inputs!F131/Inputs!F124))*10000</f>
        <v>-76.47917488718736</v>
      </c>
      <c r="G18" s="8">
        <f>(G17-(1-Inputs!G131/Inputs!G124))*10000</f>
        <v>33.478323768997285</v>
      </c>
      <c r="H18" s="66">
        <f>(H17-C17)*10000</f>
        <v>-173.42687639046005</v>
      </c>
      <c r="I18" s="2"/>
    </row>
    <row r="19">
      <c r="A19" s="4"/>
      <c r="B19" s="67" t="s">
        <v>227</v>
      </c>
      <c r="C19" s="39">
        <v>15144</v>
      </c>
      <c r="D19" s="39">
        <v>17136</v>
      </c>
      <c r="E19" s="39">
        <v>17699</v>
      </c>
      <c r="F19" s="39">
        <v>21656</v>
      </c>
      <c r="G19" s="36">
        <f>Inputs!G173+D19</f>
        <v>57373</v>
      </c>
      <c r="H19" s="3">
        <f>H9*H20</f>
        <v>22541.642432</v>
      </c>
      <c r="I19" s="2" t="s">
        <v>161</v>
      </c>
    </row>
    <row r="20">
      <c r="A20" s="4"/>
      <c r="B20" s="5" t="s">
        <v>228</v>
      </c>
      <c r="C20" s="1">
        <f>C19/C9</f>
        <v>0.2955388158151516</v>
      </c>
      <c r="D20" s="1">
        <f>D19/D9</f>
        <v>0.2861102299100062</v>
      </c>
      <c r="E20" s="1">
        <f>E19/E9</f>
        <v>0.3143080392818455</v>
      </c>
      <c r="F20" s="1">
        <f>F19/F9</f>
        <v>0.35617835232973144</v>
      </c>
      <c r="G20" s="1">
        <f>G19/G9</f>
        <v>0.2854861021267279</v>
      </c>
      <c r="H20" s="42">
        <v>0.353</v>
      </c>
      <c r="I20" s="2" t="s">
        <v>229</v>
      </c>
    </row>
    <row r="21">
      <c r="A21" s="4"/>
      <c r="B21" s="5" t="s">
        <v>230</v>
      </c>
      <c r="C21" s="7">
        <f>C19/Inputs!C132-1</f>
        <v>0.35492529301243625</v>
      </c>
      <c r="D21" s="7">
        <f>D19/Inputs!D132-1</f>
        <v>0.40689655172413786</v>
      </c>
      <c r="E21" s="7">
        <f>E19/Inputs!E132-1</f>
        <v>0.4567078189300411</v>
      </c>
      <c r="F21" s="7">
        <f>F19/Inputs!F132-1</f>
        <v>0.6733116983464689</v>
      </c>
      <c r="G21" s="7">
        <f>G19/Inputs!G132-1</f>
        <v>0.307706334191872</v>
      </c>
      <c r="H21" s="16">
        <f>H19/C19-1</f>
        <v>0.4884866899101954</v>
      </c>
      <c r="I21" s="2"/>
    </row>
    <row r="22">
      <c r="A22" s="4"/>
      <c r="B22" s="23" t="s">
        <v>231</v>
      </c>
      <c r="C22" s="36">
        <f>C19-Inputs!F132</f>
        <v>2202</v>
      </c>
      <c r="D22" s="10">
        <f>D19-C19</f>
        <v>1992</v>
      </c>
      <c r="E22" s="10">
        <f>E19-D19</f>
        <v>563</v>
      </c>
      <c r="F22" s="10">
        <f>F19-E19</f>
        <v>3957</v>
      </c>
      <c r="G22" s="10" t="s">
        <v>65</v>
      </c>
      <c r="H22" s="3">
        <f>H19-F19</f>
        <v>885.6424320000006</v>
      </c>
      <c r="I22" s="2"/>
    </row>
    <row r="23">
      <c r="A23" s="4"/>
      <c r="B23" s="23" t="s">
        <v>232</v>
      </c>
      <c r="C23" s="8">
        <f>(C20-Inputs!C132/Inputs!C124)*10000</f>
        <v>201.68641630027574</v>
      </c>
      <c r="D23" s="8">
        <f>(D20-Inputs!D132/Inputs!D124)*10000</f>
        <v>343.7932157064483</v>
      </c>
      <c r="E23" s="8">
        <f>(E20-Inputs!E132/Inputs!E124)*10000</f>
        <v>271.6903091582007</v>
      </c>
      <c r="F23" s="8">
        <f>(F20-Inputs!F132/Inputs!F124)*10000</f>
        <v>838.0694059473692</v>
      </c>
      <c r="G23" s="8">
        <f>(G20-Inputs!G132/Inputs!G124)*10000</f>
        <v>187.82556251626835</v>
      </c>
      <c r="H23" s="66">
        <f>(H20-C20)*10000</f>
        <v>574.6118418484836</v>
      </c>
      <c r="I23" s="2"/>
    </row>
    <row r="24">
      <c r="A24" s="4"/>
      <c r="B24" s="67" t="s">
        <v>233</v>
      </c>
      <c r="C24" s="39">
        <v>2845</v>
      </c>
      <c r="D24" s="39">
        <v>3410</v>
      </c>
      <c r="E24" s="39">
        <v>2908</v>
      </c>
      <c r="F24" s="39">
        <v>3431</v>
      </c>
      <c r="G24" s="36">
        <f>Inputs!G174+D24</f>
        <v>11991</v>
      </c>
      <c r="H24" s="3">
        <f>H9*H25</f>
        <v>3544.082592</v>
      </c>
      <c r="I24" s="2" t="s">
        <v>161</v>
      </c>
    </row>
    <row r="25">
      <c r="A25" s="4"/>
      <c r="B25" s="5" t="s">
        <v>234</v>
      </c>
      <c r="C25" s="1">
        <f>C24/C9</f>
        <v>0.05552086179306038</v>
      </c>
      <c r="D25" s="1">
        <f>D24/D9</f>
        <v>0.056934867179803984</v>
      </c>
      <c r="E25" s="1">
        <f>E24/E9</f>
        <v>0.05164177514162419</v>
      </c>
      <c r="F25" s="1">
        <f>F24/F9</f>
        <v>0.0564299929277479</v>
      </c>
      <c r="G25" s="1">
        <f>G24/G9</f>
        <v>0.05966680931102774</v>
      </c>
      <c r="H25" s="42">
        <v>0.0555</v>
      </c>
      <c r="I25" s="2" t="s">
        <v>235</v>
      </c>
    </row>
    <row r="26">
      <c r="A26" s="4"/>
      <c r="B26" s="5" t="s">
        <v>236</v>
      </c>
      <c r="C26" s="7">
        <f>C24/Inputs!C133-1</f>
        <v>0.008150248051027598</v>
      </c>
      <c r="D26" s="7">
        <f>D24/Inputs!D133-1</f>
        <v>0.05246913580246915</v>
      </c>
      <c r="E26" s="7">
        <f>E24/Inputs!E133-1</f>
        <v>0.05476967718534631</v>
      </c>
      <c r="F26" s="7">
        <f>F24/Inputs!F133-1</f>
        <v>0.15172876804296753</v>
      </c>
      <c r="G26" s="7">
        <f>G24/Inputs!G133-1</f>
        <v>0.05675508945095631</v>
      </c>
      <c r="H26" s="16">
        <f>H24/C24-1</f>
        <v>0.24572323093145876</v>
      </c>
      <c r="I26" s="2"/>
    </row>
    <row r="27">
      <c r="A27" s="4"/>
      <c r="B27" s="23" t="s">
        <v>237</v>
      </c>
      <c r="C27" s="36">
        <f>C24-Inputs!F133</f>
        <v>-134</v>
      </c>
      <c r="D27" s="10">
        <f>D24-C24</f>
        <v>565</v>
      </c>
      <c r="E27" s="10">
        <f>E24-D24</f>
        <v>-502</v>
      </c>
      <c r="F27" s="10">
        <f>F24-E24</f>
        <v>523</v>
      </c>
      <c r="G27" s="10" t="s">
        <v>65</v>
      </c>
      <c r="H27" s="3">
        <f>H24-F24</f>
        <v>113.0825920000002</v>
      </c>
      <c r="I27" s="2"/>
    </row>
    <row r="28">
      <c r="A28" s="4"/>
      <c r="B28" s="23" t="s">
        <v>238</v>
      </c>
      <c r="C28" s="8">
        <f>(C25-Inputs!C133/Inputs!C124)*10000</f>
        <v>-140.05364524414802</v>
      </c>
      <c r="D28" s="8">
        <f>(D25-Inputs!D133/Inputs!D124)*10000</f>
        <v>-100.2803454593746</v>
      </c>
      <c r="E28" s="8">
        <f>(E25-Inputs!E133/Inputs!E124)*10000</f>
        <v>-135.13965275259102</v>
      </c>
      <c r="F28" s="8">
        <f>(F25-Inputs!F133/Inputs!F124)*10000</f>
        <v>-62.64678340877413</v>
      </c>
      <c r="G28" s="8">
        <f>(G25-Inputs!G133/Inputs!G124)*10000</f>
        <v>-93.1149477223011</v>
      </c>
      <c r="H28" s="66">
        <f>(H25-C25)*10000</f>
        <v>-0.20861793060378275</v>
      </c>
      <c r="I28" s="2"/>
    </row>
    <row r="29">
      <c r="A29" s="4"/>
      <c r="B29" s="67" t="s">
        <v>239</v>
      </c>
      <c r="C29" s="10">
        <f>C36-N(C35)</f>
        <v>3512</v>
      </c>
      <c r="D29" s="10">
        <f>D36-N(D35)</f>
        <v>3697</v>
      </c>
      <c r="E29" s="10">
        <f>E36-N(E35)</f>
        <v>2614</v>
      </c>
      <c r="F29" s="10">
        <f>F36-N(F35)</f>
        <v>3209</v>
      </c>
      <c r="G29" s="10">
        <f>G36-N(G35)</f>
        <v>12152</v>
      </c>
      <c r="H29" s="3">
        <f>H9*H32</f>
        <v>3735.6546240000007</v>
      </c>
      <c r="I29" s="2"/>
    </row>
    <row r="30">
      <c r="A30" s="4"/>
      <c r="B30" s="5" t="s">
        <v>240</v>
      </c>
      <c r="C30" s="7">
        <f>C29/Inputs!C134-1</f>
        <v>0.8831099195710457</v>
      </c>
      <c r="D30" s="7">
        <f>D29/Inputs!D134-1</f>
        <v>3.8580814717477008</v>
      </c>
      <c r="E30" s="7">
        <f>E29/Inputs!E134-1</f>
        <v>0.14649122807017534</v>
      </c>
      <c r="F30" s="7">
        <f>F29/Inputs!F134-1</f>
        <v>0.20503191888847172</v>
      </c>
      <c r="G30" s="7">
        <f>G29/Inputs!G134-1</f>
        <v>0.24763860369609847</v>
      </c>
      <c r="H30" s="16">
        <f>H29/C29-1</f>
        <v>0.06368297949886115</v>
      </c>
      <c r="I30" s="2" t="s">
        <v>241</v>
      </c>
    </row>
    <row r="31">
      <c r="A31" s="4"/>
      <c r="B31" s="23" t="s">
        <v>242</v>
      </c>
      <c r="C31" s="36">
        <f>C29-Inputs!F134</f>
        <v>849</v>
      </c>
      <c r="D31" s="10">
        <f>D29-C29</f>
        <v>185</v>
      </c>
      <c r="E31" s="10">
        <f>E29-D29</f>
        <v>-1083</v>
      </c>
      <c r="F31" s="10">
        <f>F29-E29</f>
        <v>595</v>
      </c>
      <c r="G31" s="10" t="s">
        <v>65</v>
      </c>
      <c r="H31" s="3">
        <f>H29-F29</f>
        <v>526.6546240000007</v>
      </c>
      <c r="I31" s="2"/>
    </row>
    <row r="32">
      <c r="A32" s="4"/>
      <c r="B32" s="5" t="s">
        <v>243</v>
      </c>
      <c r="C32" s="1">
        <f>C29/C9</f>
        <v>0.068537527809219</v>
      </c>
      <c r="D32" s="1">
        <f>D29/D9</f>
        <v>0.061726746030420915</v>
      </c>
      <c r="E32" s="1">
        <f>E29/E9</f>
        <v>0.046420770364582406</v>
      </c>
      <c r="F32" s="1">
        <f>F29/F9</f>
        <v>0.0527787371918225</v>
      </c>
      <c r="G32" s="1">
        <f>G29/G9</f>
        <v>0.06046793985052198</v>
      </c>
      <c r="H32" s="42">
        <v>0.0585</v>
      </c>
      <c r="I32" s="2" t="s">
        <v>244</v>
      </c>
    </row>
    <row r="33">
      <c r="A33" s="4"/>
      <c r="B33" s="23" t="s">
        <v>245</v>
      </c>
      <c r="C33" s="8">
        <f>(C32-Inputs!C134/Inputs!C124)*10000</f>
        <v>225.89118141575057</v>
      </c>
      <c r="D33" s="8">
        <f>(D32-Inputs!D134/Inputs!D124)*10000</f>
        <v>459.98731149776086</v>
      </c>
      <c r="E33" s="8">
        <f>(E32-Inputs!E134/Inputs!E124)*10000</f>
        <v>-74.62105279412489</v>
      </c>
      <c r="F33" s="8">
        <f>(F32-Inputs!F134/Inputs!F124)*10000</f>
        <v>-32.655426297113</v>
      </c>
      <c r="G33" s="8">
        <f>(G32-Inputs!G134/Inputs!G124)*10000</f>
        <v>12.58573342111692</v>
      </c>
      <c r="H33" s="66">
        <f>(H32-C32)*10000</f>
        <v>-100.37527809218994</v>
      </c>
      <c r="I33" s="2"/>
    </row>
    <row r="34">
      <c r="A34" s="4"/>
      <c r="B34" s="23" t="s">
        <v>246</v>
      </c>
      <c r="C34" s="99">
        <f>(C32-Inputs!F134/Inputs!F124)*10000</f>
        <v>124.93247987685197</v>
      </c>
      <c r="D34" s="70">
        <f>(D32-C32)*10000</f>
        <v>-68.10781778798084</v>
      </c>
      <c r="E34" s="70">
        <f>(E32-D32)*10000</f>
        <v>-153.05975665838508</v>
      </c>
      <c r="F34" s="70">
        <f>(F32-E32)*10000</f>
        <v>63.57966827240095</v>
      </c>
      <c r="G34" s="70" t="s">
        <v>65</v>
      </c>
      <c r="H34" s="66">
        <f>(H32-F32)*10000</f>
        <v>57.212628081775016</v>
      </c>
      <c r="I34" s="2"/>
    </row>
    <row r="35">
      <c r="A35" s="4"/>
      <c r="B35" s="67" t="s">
        <v>247</v>
      </c>
      <c r="C35" s="10" t="s">
        <v>68</v>
      </c>
      <c r="D35" s="10" t="s">
        <v>68</v>
      </c>
      <c r="E35" s="10" t="s">
        <v>68</v>
      </c>
      <c r="F35" s="39">
        <v>2400</v>
      </c>
      <c r="G35" s="10" t="s">
        <v>68</v>
      </c>
      <c r="H35" s="52">
        <f>Guidance!G28</f>
        <v>10000</v>
      </c>
      <c r="I35" s="2" t="s">
        <v>248</v>
      </c>
    </row>
    <row r="36">
      <c r="A36" s="4"/>
      <c r="B36" s="67" t="s">
        <v>249</v>
      </c>
      <c r="C36" s="39">
        <v>3512</v>
      </c>
      <c r="D36" s="39">
        <v>3697</v>
      </c>
      <c r="E36" s="39">
        <v>2614</v>
      </c>
      <c r="F36" s="39">
        <v>5609</v>
      </c>
      <c r="G36" s="36">
        <f>Inputs!G175+D36</f>
        <v>12152</v>
      </c>
      <c r="H36" s="3">
        <f>H29+H35</f>
        <v>13735.654624</v>
      </c>
      <c r="I36" s="2" t="s">
        <v>161</v>
      </c>
    </row>
    <row r="37">
      <c r="A37" s="4"/>
      <c r="B37" s="5" t="s">
        <v>250</v>
      </c>
      <c r="C37" s="7">
        <f>C36/Inputs!C134-1</f>
        <v>0.8831099195710457</v>
      </c>
      <c r="D37" s="7">
        <f>D36/Inputs!D134-1</f>
        <v>3.8580814717477008</v>
      </c>
      <c r="E37" s="7">
        <f>E36/Inputs!E134-1</f>
        <v>0.14649122807017534</v>
      </c>
      <c r="F37" s="7">
        <f>F36/Inputs!F134-1</f>
        <v>1.1062711227938413</v>
      </c>
      <c r="G37" s="7">
        <f>G36/Inputs!G134-1</f>
        <v>0.24763860369609847</v>
      </c>
      <c r="H37" s="16">
        <f>H36/C36-1</f>
        <v>2.9110633895216402</v>
      </c>
      <c r="I37" s="2"/>
    </row>
    <row r="38">
      <c r="A38" s="4"/>
      <c r="B38" s="23" t="s">
        <v>251</v>
      </c>
      <c r="C38" s="36">
        <f>C36-Inputs!F134</f>
        <v>849</v>
      </c>
      <c r="D38" s="10">
        <f>D36-C36</f>
        <v>185</v>
      </c>
      <c r="E38" s="10">
        <f>E36-D36</f>
        <v>-1083</v>
      </c>
      <c r="F38" s="10">
        <f>F36-E36</f>
        <v>2995</v>
      </c>
      <c r="G38" s="10" t="s">
        <v>65</v>
      </c>
      <c r="H38" s="3">
        <f>H36-F36</f>
        <v>8126.654624000001</v>
      </c>
      <c r="I38" s="2"/>
    </row>
    <row r="39">
      <c r="A39" s="4"/>
      <c r="B39" s="67" t="s">
        <v>252</v>
      </c>
      <c r="C39" s="10" t="s">
        <v>68</v>
      </c>
      <c r="D39" s="10" t="s">
        <v>68</v>
      </c>
      <c r="E39" s="10" t="s">
        <v>68</v>
      </c>
      <c r="F39" s="39">
        <v>1180</v>
      </c>
      <c r="G39" s="10" t="s">
        <v>68</v>
      </c>
      <c r="H39" s="3" t="s">
        <v>68</v>
      </c>
      <c r="I39" s="2" t="s">
        <v>253</v>
      </c>
    </row>
    <row r="40">
      <c r="A40" s="4"/>
      <c r="B40" s="11" t="s">
        <v>254</v>
      </c>
      <c r="C40" s="37">
        <f>C11+C19+C24+C36</f>
        <v>30707</v>
      </c>
      <c r="D40" s="37">
        <f>D11+D19+D24+D36</f>
        <v>35148</v>
      </c>
      <c r="E40" s="37">
        <f>E11+E19+E24+E36</f>
        <v>33439</v>
      </c>
      <c r="F40" s="37">
        <f>F11+F19+F24+F36</f>
        <v>42026</v>
      </c>
      <c r="G40" s="37">
        <f>G11+G19+G24+G36</f>
        <v>117690</v>
      </c>
      <c r="H40" s="65">
        <f>H11+H19+H24+H36</f>
        <v>52401.276416</v>
      </c>
      <c r="I40" s="2"/>
    </row>
    <row r="41">
      <c r="A41" s="4"/>
      <c r="B41" s="5" t="s">
        <v>255</v>
      </c>
      <c r="C41" s="7">
        <f>C40/Inputs!C135-1</f>
        <v>0.32135634063427854</v>
      </c>
      <c r="D41" s="7">
        <f>D40/Inputs!D135-1</f>
        <v>0.40479616306954447</v>
      </c>
      <c r="E41" s="7">
        <f>E40/Inputs!E135-1</f>
        <v>0.3505795872208086</v>
      </c>
      <c r="F41" s="7">
        <f>F40/Inputs!F135-1</f>
        <v>0.5522068328716527</v>
      </c>
      <c r="G41" s="7">
        <f>G40/Inputs!G135-1</f>
        <v>0.23726621881603438</v>
      </c>
      <c r="H41" s="16">
        <f>H40/C40-1</f>
        <v>0.7064928653401505</v>
      </c>
      <c r="I41" s="2"/>
    </row>
    <row r="42">
      <c r="A42" s="4"/>
      <c r="B42" s="67" t="s">
        <v>256</v>
      </c>
      <c r="C42" s="10">
        <f>C40-N(C35)</f>
        <v>30707</v>
      </c>
      <c r="D42" s="10">
        <f>D40-N(D35)</f>
        <v>35148</v>
      </c>
      <c r="E42" s="10">
        <f>E40-N(E35)</f>
        <v>33439</v>
      </c>
      <c r="F42" s="10">
        <f>F40-N(F35)</f>
        <v>39626</v>
      </c>
      <c r="G42" s="10">
        <f>G40-N(G35)</f>
        <v>117690</v>
      </c>
      <c r="H42" s="3">
        <f>H40-N(H35)</f>
        <v>42401.276416</v>
      </c>
      <c r="I42" s="2"/>
    </row>
    <row r="43">
      <c r="A43" s="4"/>
      <c r="B43" s="11" t="s">
        <v>257</v>
      </c>
      <c r="C43" s="37">
        <f>C9-C40</f>
        <v>20535</v>
      </c>
      <c r="D43" s="37">
        <f>D9-D40</f>
        <v>24745</v>
      </c>
      <c r="E43" s="37">
        <f>E9-E40</f>
        <v>22872</v>
      </c>
      <c r="F43" s="37">
        <f>F9-F40</f>
        <v>18775</v>
      </c>
      <c r="G43" s="37">
        <f>G9-G40</f>
        <v>83276</v>
      </c>
      <c r="H43" s="65">
        <f>H9-H40</f>
        <v>11456.067584000004</v>
      </c>
      <c r="I43" s="2"/>
    </row>
    <row r="44">
      <c r="A44" s="4"/>
      <c r="B44" s="5" t="s">
        <v>258</v>
      </c>
      <c r="C44" s="7">
        <f>C43/Inputs!C136-1</f>
        <v>0.1835734870317003</v>
      </c>
      <c r="D44" s="7">
        <f>D43/Inputs!D136-1</f>
        <v>0.059062700620586384</v>
      </c>
      <c r="E44" s="7">
        <f>E43/Inputs!E136-1</f>
        <v>0.3028766733124466</v>
      </c>
      <c r="F44" s="7">
        <f>F43/Inputs!F136-1</f>
        <v>-0.08150286189521061</v>
      </c>
      <c r="G44" s="7">
        <f>G43/Inputs!G136-1</f>
        <v>0.20028826751225126</v>
      </c>
      <c r="H44" s="16">
        <f>H43/C43-1</f>
        <v>-0.4421199131239345</v>
      </c>
      <c r="I44" s="2"/>
    </row>
    <row r="45">
      <c r="A45" s="4"/>
      <c r="B45" s="23" t="s">
        <v>259</v>
      </c>
      <c r="C45" s="36">
        <f>C43-Inputs!F136</f>
        <v>94</v>
      </c>
      <c r="D45" s="10">
        <f>D43-C43</f>
        <v>4210</v>
      </c>
      <c r="E45" s="10">
        <f>E43-D43</f>
        <v>-1873</v>
      </c>
      <c r="F45" s="10">
        <f>F43-E43</f>
        <v>-4097</v>
      </c>
      <c r="G45" s="10" t="s">
        <v>65</v>
      </c>
      <c r="H45" s="3">
        <f>H43-F43</f>
        <v>-7318.932415999996</v>
      </c>
      <c r="I45" s="2"/>
    </row>
    <row r="46">
      <c r="A46" s="4"/>
      <c r="B46" s="40" t="s">
        <v>260</v>
      </c>
      <c r="C46" s="1">
        <f>C43/C9</f>
        <v>0.4007454822216151</v>
      </c>
      <c r="D46" s="1">
        <f>D43/D9</f>
        <v>0.4131534569983137</v>
      </c>
      <c r="E46" s="1">
        <f>E43/E9</f>
        <v>0.40617286143027115</v>
      </c>
      <c r="F46" s="1">
        <f>F43/F9</f>
        <v>0.3087942632522491</v>
      </c>
      <c r="G46" s="1">
        <f>G43/G9</f>
        <v>0.41437855159579234</v>
      </c>
      <c r="H46" s="16">
        <f>H43/H9</f>
        <v>0.17940094069681325</v>
      </c>
      <c r="I46" s="2"/>
    </row>
    <row r="47">
      <c r="A47" s="4"/>
      <c r="B47" s="23" t="s">
        <v>261</v>
      </c>
      <c r="C47" s="8">
        <f>(C46-Inputs!C136/Inputs!C124)*10000</f>
        <v>-267.10232380863397</v>
      </c>
      <c r="D47" s="8">
        <f>(D46-Inputs!D136/Inputs!D124)*10000</f>
        <v>-697.441352306829</v>
      </c>
      <c r="E47" s="8">
        <f>(E46-Inputs!E136/Inputs!E124)*10000</f>
        <v>-87.0164818829483</v>
      </c>
      <c r="F47" s="8">
        <f>(F46-Inputs!F136/Inputs!F124)*10000</f>
        <v>-1213.9767209584413</v>
      </c>
      <c r="G47" s="8">
        <f>(G46-Inputs!G136/Inputs!G124)*10000</f>
        <v>-73.81802444608621</v>
      </c>
      <c r="H47" s="66">
        <f>(H46-C46)*10000</f>
        <v>-2213.4454152480184</v>
      </c>
      <c r="I47" s="2"/>
    </row>
    <row r="48">
      <c r="A48" s="4"/>
      <c r="B48" s="23" t="s">
        <v>262</v>
      </c>
      <c r="C48" s="8">
        <f>(C46-Inputs!F136/Inputs!F124)*10000</f>
        <v>-294.46453126478144</v>
      </c>
      <c r="D48" s="70">
        <f>(D46-C46)*10000</f>
        <v>124.07974776698583</v>
      </c>
      <c r="E48" s="70">
        <f>(E46-D46)*10000</f>
        <v>-69.80595568042536</v>
      </c>
      <c r="F48" s="70">
        <f>(F46-E46)*10000</f>
        <v>-973.7859817802203</v>
      </c>
      <c r="G48" s="70" t="s">
        <v>65</v>
      </c>
      <c r="H48" s="66">
        <f>(H46-F46)*10000</f>
        <v>-1293.9332255543586</v>
      </c>
      <c r="I48" s="2"/>
    </row>
    <row r="49">
      <c r="A49" s="4"/>
      <c r="B49" s="67" t="s">
        <v>263</v>
      </c>
      <c r="C49" s="10">
        <f>C43+N(C35)</f>
        <v>20535</v>
      </c>
      <c r="D49" s="10">
        <f>D43+N(D35)</f>
        <v>24745</v>
      </c>
      <c r="E49" s="10">
        <f>E43+N(E35)</f>
        <v>22872</v>
      </c>
      <c r="F49" s="10">
        <f>F43+N(F35)</f>
        <v>21175</v>
      </c>
      <c r="G49" s="10">
        <f>G43+N(G35)</f>
        <v>83276</v>
      </c>
      <c r="H49" s="3">
        <f>H43+N(H35)</f>
        <v>21456.067584000004</v>
      </c>
      <c r="I49" s="2"/>
    </row>
    <row r="50">
      <c r="A50" s="4"/>
      <c r="B50" s="46" t="s">
        <v>264</v>
      </c>
      <c r="C50" s="1">
        <f>C49/C9</f>
        <v>0.4007454822216151</v>
      </c>
      <c r="D50" s="1">
        <f>D49/D9</f>
        <v>0.4131534569983137</v>
      </c>
      <c r="E50" s="1">
        <f>E49/E9</f>
        <v>0.40617286143027115</v>
      </c>
      <c r="F50" s="1">
        <f>F49/F9</f>
        <v>0.3482672982352264</v>
      </c>
      <c r="G50" s="1">
        <f>G49/G9</f>
        <v>0.41437855159579234</v>
      </c>
      <c r="H50" s="16">
        <f>H49/H9</f>
        <v>0.336</v>
      </c>
      <c r="I50" s="2"/>
    </row>
    <row r="51">
      <c r="A51" s="4"/>
      <c r="B51" s="23" t="s">
        <v>188</v>
      </c>
      <c r="C51" s="8">
        <f>(C50-Inputs!F136/Inputs!F124)*10000</f>
        <v>-294.46453126478144</v>
      </c>
      <c r="D51" s="70">
        <f>(D50-C50)*10000</f>
        <v>124.07974776698583</v>
      </c>
      <c r="E51" s="70">
        <f>(E50-D50)*10000</f>
        <v>-69.80595568042536</v>
      </c>
      <c r="F51" s="70">
        <f>(F50-E50)*10000</f>
        <v>-579.0556319504475</v>
      </c>
      <c r="G51" s="70" t="s">
        <v>65</v>
      </c>
      <c r="H51" s="66">
        <f>(H50-F50)*10000</f>
        <v>-122.67298235226376</v>
      </c>
      <c r="I51" s="2"/>
    </row>
    <row r="52">
      <c r="A52" s="4"/>
      <c r="B52" s="67" t="s">
        <v>265</v>
      </c>
      <c r="C52" s="36">
        <f>'Segment - Family of Apps'!C59+'Segment - Reality Labs'!C25-C43</f>
        <v>0</v>
      </c>
      <c r="D52" s="36">
        <f>'Segment - Family of Apps'!D59+'Segment - Reality Labs'!D25-D43</f>
        <v>0</v>
      </c>
      <c r="E52" s="36">
        <f>'Segment - Family of Apps'!E59+'Segment - Reality Labs'!E25-E43</f>
        <v>0</v>
      </c>
      <c r="F52" s="36">
        <f>'Segment - Family of Apps'!F59+'Segment - Reality Labs'!F25-F43</f>
        <v>0</v>
      </c>
      <c r="G52" s="36">
        <f>'Segment - Family of Apps'!G59+'Segment - Reality Labs'!G25-G43</f>
        <v>0</v>
      </c>
      <c r="H52" s="52">
        <f>'Segment - Family of Apps'!H59+'Segment - Reality Labs'!H25-H43</f>
        <v>0</v>
      </c>
      <c r="I52" s="2" t="s">
        <v>266</v>
      </c>
    </row>
    <row r="53">
      <c r="A53" s="4"/>
      <c r="B53" s="67" t="s">
        <v>267</v>
      </c>
      <c r="C53" s="39">
        <v>1128</v>
      </c>
      <c r="D53" s="39">
        <v>609</v>
      </c>
      <c r="E53" s="39">
        <v>-1120</v>
      </c>
      <c r="F53" s="39">
        <v>-19</v>
      </c>
      <c r="G53" s="36">
        <f>Inputs!G176+D53</f>
        <v>2656</v>
      </c>
      <c r="H53" s="61">
        <v>-150</v>
      </c>
      <c r="I53" s="2" t="s">
        <v>268</v>
      </c>
    </row>
    <row r="54">
      <c r="A54" s="4"/>
      <c r="B54" s="23" t="s">
        <v>269</v>
      </c>
      <c r="C54" s="36">
        <f>C53-Inputs!C141</f>
        <v>656</v>
      </c>
      <c r="D54" s="36">
        <f>D53-Inputs!D141</f>
        <v>421</v>
      </c>
      <c r="E54" s="36">
        <f>E53-Inputs!E141</f>
        <v>-1947</v>
      </c>
      <c r="F54" s="36">
        <f>F53-Inputs!F141</f>
        <v>-112</v>
      </c>
      <c r="G54" s="36">
        <f>G53-Inputs!G141</f>
        <v>1373</v>
      </c>
      <c r="H54" s="3">
        <f>H53-C53</f>
        <v>-1278</v>
      </c>
      <c r="I54" s="2" t="s">
        <v>270</v>
      </c>
    </row>
    <row r="55">
      <c r="A55" s="4"/>
      <c r="B55" s="23" t="s">
        <v>271</v>
      </c>
      <c r="C55" s="36">
        <f>C53-Inputs!F141</f>
        <v>1035</v>
      </c>
      <c r="D55" s="10">
        <f>D53-C53</f>
        <v>-519</v>
      </c>
      <c r="E55" s="10">
        <f>E53-D53</f>
        <v>-1729</v>
      </c>
      <c r="F55" s="10">
        <f>F53-E53</f>
        <v>1101</v>
      </c>
      <c r="G55" s="10" t="s">
        <v>65</v>
      </c>
      <c r="H55" s="3">
        <f>H53-F53</f>
        <v>-131</v>
      </c>
      <c r="I55" s="2"/>
    </row>
    <row r="56">
      <c r="A56" s="4"/>
      <c r="B56" s="11" t="s">
        <v>272</v>
      </c>
      <c r="C56" s="37">
        <f>C43+C53</f>
        <v>21663</v>
      </c>
      <c r="D56" s="37">
        <f>D43+D53</f>
        <v>25354</v>
      </c>
      <c r="E56" s="37">
        <f>E43+E53</f>
        <v>21752</v>
      </c>
      <c r="F56" s="37">
        <f>F43+F53</f>
        <v>18756</v>
      </c>
      <c r="G56" s="37">
        <f>G43+G53</f>
        <v>85932</v>
      </c>
      <c r="H56" s="65">
        <f>H43+H53</f>
        <v>11306.067584000004</v>
      </c>
      <c r="I56" s="2"/>
    </row>
    <row r="57">
      <c r="A57" s="4"/>
      <c r="B57" s="67" t="s">
        <v>273</v>
      </c>
      <c r="C57" s="39">
        <v>18954</v>
      </c>
      <c r="D57" s="39">
        <v>2586</v>
      </c>
      <c r="E57" s="39">
        <v>-5021</v>
      </c>
      <c r="F57" s="39">
        <v>2908</v>
      </c>
      <c r="G57" s="36">
        <f>Inputs!G177+D57</f>
        <v>25474</v>
      </c>
      <c r="H57" s="3">
        <f>H56*H58</f>
        <v>1808.9708134400007</v>
      </c>
      <c r="I57" s="2" t="s">
        <v>161</v>
      </c>
    </row>
    <row r="58">
      <c r="A58" s="4"/>
      <c r="B58" s="5" t="s">
        <v>274</v>
      </c>
      <c r="C58" s="1">
        <f>C57/C56</f>
        <v>0.8749480681346073</v>
      </c>
      <c r="D58" s="1">
        <f>D57/D56</f>
        <v>0.10199574031710973</v>
      </c>
      <c r="E58" s="1">
        <f>E57/E56</f>
        <v>-0.23082934902537697</v>
      </c>
      <c r="F58" s="1">
        <f>F57/F56</f>
        <v>0.15504371934314354</v>
      </c>
      <c r="G58" s="1">
        <f>G57/G56</f>
        <v>0.2964436996695061</v>
      </c>
      <c r="H58" s="50">
        <f>Guidance!G26</f>
        <v>0.16</v>
      </c>
      <c r="I58" s="2" t="s">
        <v>275</v>
      </c>
    </row>
    <row r="59">
      <c r="A59" s="4"/>
      <c r="B59" s="23" t="s">
        <v>276</v>
      </c>
      <c r="C59" s="70">
        <f>(C58-(1-Inputs!F137/(Inputs!F136+Inputs!F141)))*10000</f>
        <v>7679.54788695628</v>
      </c>
      <c r="D59" s="70">
        <f>(D58-C58)*10000</f>
        <v>-7729.523278174976</v>
      </c>
      <c r="E59" s="70">
        <f>(E58-D58)*10000</f>
        <v>-3328.2508934248667</v>
      </c>
      <c r="F59" s="70">
        <f>(F58-E58)*10000</f>
        <v>3858.7306836852053</v>
      </c>
      <c r="G59" s="70" t="s">
        <v>65</v>
      </c>
      <c r="H59" s="66">
        <f>(H58-F58)*10000</f>
        <v>49.56280656856465</v>
      </c>
      <c r="I59" s="2" t="s">
        <v>277</v>
      </c>
    </row>
    <row r="60">
      <c r="A60" s="4"/>
      <c r="B60" s="11" t="s">
        <v>278</v>
      </c>
      <c r="C60" s="37">
        <f>C56-C57</f>
        <v>2709</v>
      </c>
      <c r="D60" s="37">
        <f>D56-D57</f>
        <v>22768</v>
      </c>
      <c r="E60" s="37">
        <f>E56-E57</f>
        <v>26773</v>
      </c>
      <c r="F60" s="37">
        <f>F56-F57</f>
        <v>15848</v>
      </c>
      <c r="G60" s="37">
        <f>G56-G57</f>
        <v>60458</v>
      </c>
      <c r="H60" s="65">
        <f>H56-H57</f>
        <v>9497.096770560003</v>
      </c>
      <c r="I60" s="2"/>
    </row>
    <row r="61">
      <c r="A61" s="4"/>
      <c r="B61" s="5" t="s">
        <v>279</v>
      </c>
      <c r="C61" s="7">
        <f>C60/Inputs!C137-1</f>
        <v>-0.827320244773075</v>
      </c>
      <c r="D61" s="7">
        <f>D60/Inputs!D137-1</f>
        <v>0.09261925328726361</v>
      </c>
      <c r="E61" s="7">
        <f>E60/Inputs!E137-1</f>
        <v>0.6085676520067291</v>
      </c>
      <c r="F61" s="7">
        <f>F60/Inputs!F137-1</f>
        <v>-0.13573648906582325</v>
      </c>
      <c r="G61" s="7">
        <f>G60/Inputs!G137-1</f>
        <v>-0.030500320718409246</v>
      </c>
      <c r="H61" s="16">
        <f>H60/C60-1</f>
        <v>2.5057573903875983</v>
      </c>
      <c r="I61" s="2"/>
    </row>
    <row r="62">
      <c r="A62" s="4"/>
      <c r="B62" s="23" t="s">
        <v>280</v>
      </c>
      <c r="C62" s="36">
        <f>C60-Inputs!F137</f>
        <v>-15628</v>
      </c>
      <c r="D62" s="10">
        <f>D60-C60</f>
        <v>20059</v>
      </c>
      <c r="E62" s="10">
        <f>E60-D60</f>
        <v>4005</v>
      </c>
      <c r="F62" s="10">
        <f>F60-E60</f>
        <v>-10925</v>
      </c>
      <c r="G62" s="10" t="s">
        <v>65</v>
      </c>
      <c r="H62" s="3">
        <f>H60-F60</f>
        <v>-6350.903229439997</v>
      </c>
      <c r="I62" s="2"/>
    </row>
    <row r="63">
      <c r="A63" s="4"/>
      <c r="B63" s="5" t="s">
        <v>281</v>
      </c>
      <c r="C63" s="1">
        <f>C60/C9</f>
        <v>0.05286678896217946</v>
      </c>
      <c r="D63" s="1">
        <f>D60/D9</f>
        <v>0.3801445911876179</v>
      </c>
      <c r="E63" s="1">
        <f>E60/E9</f>
        <v>0.47544884658414877</v>
      </c>
      <c r="F63" s="1">
        <f>F60/F9</f>
        <v>0.2606536076709265</v>
      </c>
      <c r="G63" s="1">
        <f>G60/G9</f>
        <v>0.3008369574952977</v>
      </c>
      <c r="H63" s="16">
        <f>H60/H9</f>
        <v>0.14872364203810298</v>
      </c>
      <c r="I63" s="2"/>
    </row>
    <row r="64">
      <c r="A64" s="4"/>
      <c r="B64" s="23" t="s">
        <v>282</v>
      </c>
      <c r="C64" s="8">
        <f>(C63-Inputs!C137/Inputs!C124)*10000</f>
        <v>-3336.4187101958905</v>
      </c>
      <c r="D64" s="8">
        <f>(D63-Inputs!D137/Inputs!D124)*10000</f>
        <v>-505.26071207752545</v>
      </c>
      <c r="E64" s="8">
        <f>(E63-Inputs!E137/Inputs!E124)*10000</f>
        <v>821.03854382986</v>
      </c>
      <c r="F64" s="8">
        <f>(F63-Inputs!F137/Inputs!F124)*10000</f>
        <v>-1252.5850614336764</v>
      </c>
      <c r="G64" s="8">
        <f>(G63-Inputs!G137/Inputs!G124)*10000</f>
        <v>-782.488839281587</v>
      </c>
      <c r="H64" s="66">
        <f>(H63-C63)*10000</f>
        <v>958.5685307592353</v>
      </c>
      <c r="I64" s="2"/>
    </row>
    <row r="65">
      <c r="A65" s="4"/>
      <c r="B65" s="23" t="s">
        <v>283</v>
      </c>
      <c r="C65" s="8">
        <f>(C63-Inputs!F137/Inputs!F124)*10000</f>
        <v>-3330.453248521147</v>
      </c>
      <c r="D65" s="70">
        <f>(D63-C63)*10000</f>
        <v>3272.7780222543847</v>
      </c>
      <c r="E65" s="70">
        <f>(E63-D63)*10000</f>
        <v>953.0425539653087</v>
      </c>
      <c r="F65" s="70">
        <f>(F63-E63)*10000</f>
        <v>-2147.952389132223</v>
      </c>
      <c r="G65" s="70" t="s">
        <v>65</v>
      </c>
      <c r="H65" s="66">
        <f>(H63-F63)*10000</f>
        <v>-1119.2996563282352</v>
      </c>
      <c r="I65" s="2"/>
    </row>
    <row r="66">
      <c r="A66" s="4"/>
      <c r="B66" s="67" t="s">
        <v>284</v>
      </c>
      <c r="C66" s="36">
        <f>'Share Count'!C10</f>
        <v>2517</v>
      </c>
      <c r="D66" s="36">
        <f>'Share Count'!D10</f>
        <v>2525</v>
      </c>
      <c r="E66" s="36">
        <f>'Share Count'!E10</f>
        <v>2534</v>
      </c>
      <c r="F66" s="36">
        <f>'Share Count'!F10</f>
        <v>2543</v>
      </c>
      <c r="G66" s="36">
        <f>'Share Count'!G10</f>
        <v>2521</v>
      </c>
      <c r="H66" s="52">
        <f>'Share Count'!H10</f>
        <v>2549</v>
      </c>
      <c r="I66" s="2"/>
    </row>
    <row r="67">
      <c r="A67" s="4"/>
      <c r="B67" s="67" t="s">
        <v>285</v>
      </c>
      <c r="C67" s="36">
        <f>'Share Count'!C15</f>
        <v>2572</v>
      </c>
      <c r="D67" s="36">
        <f>'Share Count'!D15</f>
        <v>2565</v>
      </c>
      <c r="E67" s="36">
        <f>'Share Count'!E15</f>
        <v>2564</v>
      </c>
      <c r="F67" s="36">
        <f>'Share Count'!F15</f>
        <v>2566</v>
      </c>
      <c r="G67" s="36">
        <f>'Share Count'!G15</f>
        <v>2574</v>
      </c>
      <c r="H67" s="52">
        <f>'Share Count'!H15</f>
        <v>2572</v>
      </c>
      <c r="I67" s="2"/>
    </row>
    <row r="68">
      <c r="A68" s="4"/>
      <c r="B68" s="13" t="s">
        <v>286</v>
      </c>
      <c r="C68" s="20">
        <f>C60/C66</f>
        <v>1.0762812872467222</v>
      </c>
      <c r="D68" s="20">
        <f>D60/D66</f>
        <v>9.017029702970296</v>
      </c>
      <c r="E68" s="20">
        <f>E60/E66</f>
        <v>10.5655090765588</v>
      </c>
      <c r="F68" s="20">
        <f>F60/F66</f>
        <v>6.2320094376720405</v>
      </c>
      <c r="G68" s="20">
        <f>G60/G66</f>
        <v>23.981753272510907</v>
      </c>
      <c r="H68" s="56">
        <f>H60/H66</f>
        <v>3.7258127777795225</v>
      </c>
      <c r="I68" s="2"/>
    </row>
    <row r="69">
      <c r="A69" s="4"/>
      <c r="B69" s="11" t="s">
        <v>287</v>
      </c>
      <c r="C69" s="32">
        <f>C60/C67</f>
        <v>1.0532659409020217</v>
      </c>
      <c r="D69" s="32">
        <f>D60/D67</f>
        <v>8.876413255360625</v>
      </c>
      <c r="E69" s="32">
        <f>E60/E67</f>
        <v>10.44188767550702</v>
      </c>
      <c r="F69" s="32">
        <f>F60/F67</f>
        <v>6.176149649259548</v>
      </c>
      <c r="G69" s="32">
        <f>G60/G67</f>
        <v>23.487956487956488</v>
      </c>
      <c r="H69" s="44">
        <f>H60/H67</f>
        <v>3.6924948563608098</v>
      </c>
      <c r="I69" s="2"/>
    </row>
    <row r="70">
      <c r="A70" s="4"/>
      <c r="B70" s="5" t="s">
        <v>288</v>
      </c>
      <c r="C70" s="7">
        <f>C69/Inputs!C138-1</f>
        <v>-0.8253290313595321</v>
      </c>
      <c r="D70" s="7">
        <f>D69/Inputs!D138-1</f>
        <v>0.10678469518212275</v>
      </c>
      <c r="E70" s="7">
        <f>E69/Inputs!E138-1</f>
        <v>0.6239327644645445</v>
      </c>
      <c r="F70" s="7">
        <f>F69/Inputs!F138-1</f>
        <v>-0.1349930463221921</v>
      </c>
      <c r="G70" s="7">
        <f>G69/Inputs!G138-1</f>
        <v>-0.015592770831664327</v>
      </c>
      <c r="H70" s="16">
        <f>H69/C69-1</f>
        <v>2.505757390387598</v>
      </c>
      <c r="I70" s="2"/>
    </row>
    <row r="71">
      <c r="A71" s="4"/>
      <c r="B71" s="67" t="s">
        <v>289</v>
      </c>
      <c r="C71" s="77">
        <v>1.05</v>
      </c>
      <c r="D71" s="77">
        <v>8.88</v>
      </c>
      <c r="E71" s="77">
        <v>10.44</v>
      </c>
      <c r="F71" s="77">
        <v>6.18</v>
      </c>
      <c r="G71" s="77">
        <v>23.49</v>
      </c>
      <c r="H71" s="56"/>
      <c r="I71" s="2" t="s">
        <v>99</v>
      </c>
    </row>
    <row r="72">
      <c r="A72" s="4"/>
      <c r="B72" s="67" t="s">
        <v>290</v>
      </c>
      <c r="C72" s="35" t="b">
        <f>ABS(C69-C71)&lt;0.005</f>
        <v>1</v>
      </c>
      <c r="D72" s="35" t="b">
        <f>ABS(D69-D71)&lt;0.005</f>
        <v>1</v>
      </c>
      <c r="E72" s="35" t="b">
        <f>ABS(E69-E71)&lt;0.005</f>
        <v>1</v>
      </c>
      <c r="F72" s="35" t="b">
        <f>ABS(F69-F71)&lt;0.005</f>
        <v>1</v>
      </c>
      <c r="G72" s="35" t="b">
        <f>ABS(G69-G71)&lt;0.005</f>
        <v>1</v>
      </c>
      <c r="H72" s="78"/>
      <c r="I72" s="2"/>
    </row>
    <row r="73">
      <c r="A73" s="4"/>
      <c r="B73" s="67" t="s">
        <v>291</v>
      </c>
      <c r="C73" s="20">
        <f>C69-C60/C67</f>
        <v>0</v>
      </c>
      <c r="D73" s="20">
        <f>D69-D60/D67</f>
        <v>0</v>
      </c>
      <c r="E73" s="20">
        <f>E69-E60/E67</f>
        <v>0</v>
      </c>
      <c r="F73" s="20">
        <f>F69-F60/F67</f>
        <v>0</v>
      </c>
      <c r="G73" s="20">
        <f>G69-G60/G67</f>
        <v>0</v>
      </c>
      <c r="H73" s="56">
        <f>H69-H60/H67</f>
        <v>0</v>
      </c>
      <c r="I73" s="2" t="s">
        <v>292</v>
      </c>
    </row>
    <row r="74">
      <c r="A74" s="4"/>
      <c r="B74" s="13"/>
      <c r="C74" s="4"/>
      <c r="D74" s="4"/>
      <c r="E74" s="4"/>
      <c r="F74" s="4"/>
      <c r="G74" s="4"/>
      <c r="H74" s="6"/>
      <c r="I74" s="2"/>
    </row>
    <row r="75">
      <c r="A75" s="4"/>
      <c r="B75" s="11" t="s">
        <v>293</v>
      </c>
      <c r="C75" s="12"/>
      <c r="D75" s="12"/>
      <c r="E75" s="12"/>
      <c r="F75" s="12"/>
      <c r="G75" s="12"/>
      <c r="H75" s="45"/>
      <c r="I75" s="2"/>
    </row>
    <row r="76">
      <c r="A76" s="4"/>
      <c r="B76" s="13" t="s">
        <v>294</v>
      </c>
      <c r="C76" s="10">
        <f>C60</f>
        <v>2709</v>
      </c>
      <c r="D76" s="10">
        <f>D60</f>
        <v>22768</v>
      </c>
      <c r="E76" s="10">
        <f>E60</f>
        <v>26773</v>
      </c>
      <c r="F76" s="10">
        <f>F60</f>
        <v>15848</v>
      </c>
      <c r="G76" s="10">
        <f>G60</f>
        <v>60458</v>
      </c>
      <c r="H76" s="3">
        <f>H60</f>
        <v>9497.096770560003</v>
      </c>
      <c r="I76" s="2"/>
    </row>
    <row r="77">
      <c r="A77" s="4"/>
      <c r="B77" s="67" t="s">
        <v>295</v>
      </c>
      <c r="C77" s="39">
        <v>15930</v>
      </c>
      <c r="D77" s="39">
        <v>0</v>
      </c>
      <c r="E77" s="39">
        <v>0</v>
      </c>
      <c r="F77" s="39">
        <v>0</v>
      </c>
      <c r="G77" s="10">
        <f>C77+D77</f>
        <v>15930</v>
      </c>
      <c r="H77" s="61">
        <v>0</v>
      </c>
      <c r="I77" s="2" t="s">
        <v>296</v>
      </c>
    </row>
    <row r="78">
      <c r="A78" s="4"/>
      <c r="B78" s="67" t="s">
        <v>297</v>
      </c>
      <c r="C78" s="39">
        <v>0</v>
      </c>
      <c r="D78" s="39">
        <v>0</v>
      </c>
      <c r="E78" s="39">
        <v>-8030</v>
      </c>
      <c r="F78" s="39">
        <v>0</v>
      </c>
      <c r="G78" s="39">
        <v>0</v>
      </c>
      <c r="H78" s="61">
        <v>0</v>
      </c>
      <c r="I78" s="2" t="s">
        <v>298</v>
      </c>
    </row>
    <row r="79">
      <c r="A79" s="4"/>
      <c r="B79" s="67" t="s">
        <v>299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">
        <f>H35</f>
        <v>10000</v>
      </c>
      <c r="I79" s="2" t="s">
        <v>300</v>
      </c>
    </row>
    <row r="80">
      <c r="A80" s="4"/>
      <c r="B80" s="67" t="s">
        <v>301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">
        <f>-H79*H58</f>
        <v>-1600</v>
      </c>
      <c r="I80" s="2" t="s">
        <v>302</v>
      </c>
    </row>
    <row r="81">
      <c r="A81" s="4"/>
      <c r="B81" s="11" t="s">
        <v>303</v>
      </c>
      <c r="C81" s="37">
        <f>C76+C77+C78+C79+C80</f>
        <v>18639</v>
      </c>
      <c r="D81" s="37">
        <f>D76+D77+D78+D79+D80</f>
        <v>22768</v>
      </c>
      <c r="E81" s="37">
        <f>E76+E77+E78+E79+E80</f>
        <v>18743</v>
      </c>
      <c r="F81" s="37">
        <f>F76+F77+F78+F79+F80</f>
        <v>15848</v>
      </c>
      <c r="G81" s="37">
        <f>G76+G77+G78+G79+G80</f>
        <v>76388</v>
      </c>
      <c r="H81" s="65">
        <f>H76+H77+H78+H79+H80</f>
        <v>17897.096770560005</v>
      </c>
      <c r="I81" s="2"/>
    </row>
    <row r="82">
      <c r="A82" s="4"/>
      <c r="B82" s="11" t="s">
        <v>304</v>
      </c>
      <c r="C82" s="32">
        <f>C81/C67</f>
        <v>7.246889580093312</v>
      </c>
      <c r="D82" s="32">
        <f>D81/D67</f>
        <v>8.876413255360625</v>
      </c>
      <c r="E82" s="32">
        <f>E81/E67</f>
        <v>7.3100624024961</v>
      </c>
      <c r="F82" s="32">
        <f>F81/F67</f>
        <v>6.176149649259548</v>
      </c>
      <c r="G82" s="32">
        <f>G81/G67</f>
        <v>29.67676767676768</v>
      </c>
      <c r="H82" s="44">
        <f>H81/H67</f>
        <v>6.958435758382584</v>
      </c>
      <c r="I82" s="2"/>
    </row>
    <row r="83">
      <c r="A83" s="4"/>
      <c r="B83" s="5" t="s">
        <v>305</v>
      </c>
      <c r="C83" s="7">
        <f>C82/Inputs!C138-1</f>
        <v>0.20180590051298708</v>
      </c>
      <c r="D83" s="7">
        <f>D82/Inputs!D138-1</f>
        <v>0.10678469518212275</v>
      </c>
      <c r="E83" s="7">
        <f>E82/Inputs!E138-1</f>
        <v>0.13686818079255048</v>
      </c>
      <c r="F83" s="7">
        <f>F82/Inputs!F138-1</f>
        <v>-0.1349930463221921</v>
      </c>
      <c r="G83" s="7">
        <f>G82/Inputs!G138-1</f>
        <v>0.24378741310845253</v>
      </c>
      <c r="H83" s="16">
        <f>H82/C82-1</f>
        <v>-0.039803810796716244</v>
      </c>
      <c r="I83" s="2" t="s">
        <v>306</v>
      </c>
    </row>
    <row r="84">
      <c r="A84" s="4"/>
      <c r="B84" s="67" t="s">
        <v>307</v>
      </c>
      <c r="C84" s="59">
        <f>Inputs!E103</f>
        <v>7.25</v>
      </c>
      <c r="D84" s="59">
        <f>Inputs!E104</f>
        <v>8.88</v>
      </c>
      <c r="E84" s="59">
        <f>Inputs!E105</f>
        <v>7.31</v>
      </c>
      <c r="F84" s="59">
        <f>Inputs!E106</f>
        <v>6.18</v>
      </c>
      <c r="G84" s="20"/>
      <c r="H84" s="56"/>
      <c r="I84" s="2" t="s">
        <v>308</v>
      </c>
    </row>
    <row r="85">
      <c r="A85" s="4"/>
      <c r="B85" s="67" t="s">
        <v>309</v>
      </c>
      <c r="C85" s="35" t="b">
        <f>ABS(C82-C84)&lt;0.01</f>
        <v>1</v>
      </c>
      <c r="D85" s="35" t="b">
        <f>ABS(D82-D84)&lt;0.01</f>
        <v>1</v>
      </c>
      <c r="E85" s="35" t="b">
        <f>ABS(E82-E84)&lt;0.01</f>
        <v>1</v>
      </c>
      <c r="F85" s="35" t="b">
        <f>ABS(F82-F84)&lt;0.01</f>
        <v>1</v>
      </c>
      <c r="G85" s="35"/>
      <c r="H85" s="78"/>
      <c r="I85" s="2"/>
    </row>
    <row r="86">
      <c r="A86" s="4"/>
      <c r="B86" s="67" t="s">
        <v>310</v>
      </c>
      <c r="C86" s="59">
        <f>Inputs!D103</f>
        <v>6.67</v>
      </c>
      <c r="D86" s="59">
        <f>Inputs!D104</f>
        <v>8.18</v>
      </c>
      <c r="E86" s="59">
        <f>Inputs!D105</f>
        <v>6.82</v>
      </c>
      <c r="F86" s="59">
        <f>Inputs!D106</f>
        <v>7.4</v>
      </c>
      <c r="G86" s="20"/>
      <c r="H86" s="28">
        <f>Inputs!C42</f>
        <v>6.76</v>
      </c>
      <c r="I86" s="2" t="s">
        <v>311</v>
      </c>
    </row>
    <row r="87">
      <c r="A87" s="4"/>
      <c r="B87" s="67" t="s">
        <v>312</v>
      </c>
      <c r="C87" s="20">
        <f>C82-C86</f>
        <v>0.5768895800933125</v>
      </c>
      <c r="D87" s="20">
        <f>D82-D86</f>
        <v>0.6964132553606248</v>
      </c>
      <c r="E87" s="20">
        <f>E82-E86</f>
        <v>0.49006240249609956</v>
      </c>
      <c r="F87" s="20">
        <f>F82-F86</f>
        <v>-1.2238503507404523</v>
      </c>
      <c r="G87" s="20"/>
      <c r="H87" s="56">
        <f>H82-H86</f>
        <v>0.1984357583825842</v>
      </c>
      <c r="I87" s="2"/>
    </row>
    <row r="88">
      <c r="A88" s="4"/>
      <c r="B88" s="67" t="s">
        <v>313</v>
      </c>
      <c r="C88" s="10" t="s">
        <v>68</v>
      </c>
      <c r="D88" s="10" t="s">
        <v>68</v>
      </c>
      <c r="E88" s="10" t="s">
        <v>68</v>
      </c>
      <c r="F88" s="10">
        <f>F35+F39</f>
        <v>3580</v>
      </c>
      <c r="G88" s="10" t="s">
        <v>68</v>
      </c>
      <c r="H88" s="61">
        <v>0</v>
      </c>
      <c r="I88" s="2" t="s">
        <v>314</v>
      </c>
    </row>
    <row r="89">
      <c r="A89" s="4"/>
      <c r="B89" s="13"/>
      <c r="C89" s="4"/>
      <c r="D89" s="4"/>
      <c r="E89" s="4"/>
      <c r="F89" s="4"/>
      <c r="G89" s="4"/>
      <c r="H89" s="6"/>
      <c r="I89" s="2"/>
    </row>
    <row r="90">
      <c r="A90" s="4"/>
      <c r="B90" s="11" t="s">
        <v>315</v>
      </c>
      <c r="C90" s="12"/>
      <c r="D90" s="12"/>
      <c r="E90" s="12"/>
      <c r="F90" s="12"/>
      <c r="G90" s="12"/>
      <c r="H90" s="45"/>
      <c r="I90" s="2"/>
    </row>
    <row r="91">
      <c r="A91" s="4"/>
      <c r="B91" s="67" t="s">
        <v>316</v>
      </c>
      <c r="C91" s="36">
        <f>'Cash Flow Statement'!C11</f>
        <v>4963</v>
      </c>
      <c r="D91" s="36">
        <f>'Cash Flow Statement'!D11</f>
        <v>5411</v>
      </c>
      <c r="E91" s="36">
        <f>'Cash Flow Statement'!E11</f>
        <v>5999</v>
      </c>
      <c r="F91" s="36">
        <f>'Cash Flow Statement'!F11</f>
        <v>6356</v>
      </c>
      <c r="G91" s="36">
        <f>'Cash Flow Statement'!G11</f>
        <v>18616</v>
      </c>
      <c r="H91" s="52">
        <f>'Cash Flow Statement'!H11</f>
        <v>7300</v>
      </c>
      <c r="I91" s="2"/>
    </row>
    <row r="92">
      <c r="A92" s="4"/>
      <c r="B92" s="67" t="s">
        <v>317</v>
      </c>
      <c r="C92" s="36">
        <f>'Cash Flow Statement'!C14</f>
        <v>5555</v>
      </c>
      <c r="D92" s="36">
        <f>'Cash Flow Statement'!D14</f>
        <v>5890</v>
      </c>
      <c r="E92" s="36">
        <f>'Cash Flow Statement'!E14</f>
        <v>6032</v>
      </c>
      <c r="F92" s="36">
        <f>'Cash Flow Statement'!F14</f>
        <v>7658</v>
      </c>
      <c r="G92" s="36">
        <f>'Cash Flow Statement'!G14</f>
        <v>20427</v>
      </c>
      <c r="H92" s="52">
        <f>'Cash Flow Statement'!H14</f>
        <v>7000</v>
      </c>
      <c r="I92" s="2"/>
    </row>
    <row r="93">
      <c r="A93" s="4"/>
      <c r="B93" s="5" t="s">
        <v>318</v>
      </c>
      <c r="C93" s="1">
        <f>C92/C9</f>
        <v>0.10840716599664338</v>
      </c>
      <c r="D93" s="1">
        <f>D92/D9</f>
        <v>0.09834204331057052</v>
      </c>
      <c r="E93" s="1">
        <f>E92/E9</f>
        <v>0.10711939052760562</v>
      </c>
      <c r="F93" s="1">
        <f>F92/F9</f>
        <v>0.1259518757915166</v>
      </c>
      <c r="G93" s="1">
        <f>G92/G9</f>
        <v>0.10164405919409253</v>
      </c>
      <c r="H93" s="16">
        <f>H92/H9</f>
        <v>0.10961934151223075</v>
      </c>
      <c r="I93" s="2"/>
    </row>
    <row r="94">
      <c r="A94" s="4"/>
      <c r="B94" s="23" t="s">
        <v>319</v>
      </c>
      <c r="C94" s="99">
        <f>(C93-Inputs!F144/Inputs!F124)*10000</f>
        <v>66.73013290186603</v>
      </c>
      <c r="D94" s="70">
        <f>(D93-C93)*10000</f>
        <v>-100.65122686072861</v>
      </c>
      <c r="E94" s="70">
        <f>(E93-D93)*10000</f>
        <v>87.77347217035103</v>
      </c>
      <c r="F94" s="70">
        <f>(F93-E93)*10000</f>
        <v>188.32485263910974</v>
      </c>
      <c r="G94" s="70" t="s">
        <v>65</v>
      </c>
      <c r="H94" s="66">
        <f>(H93-F93)*10000</f>
        <v>-163.3253427928584</v>
      </c>
      <c r="I94" s="2"/>
    </row>
    <row r="95">
      <c r="A95" s="4"/>
      <c r="B95" s="67" t="s">
        <v>320</v>
      </c>
      <c r="C95" s="10" t="s">
        <v>65</v>
      </c>
      <c r="D95" s="10" t="s">
        <v>65</v>
      </c>
      <c r="E95" s="10" t="s">
        <v>65</v>
      </c>
      <c r="F95" s="10" t="s">
        <v>65</v>
      </c>
      <c r="G95" s="10" t="s">
        <v>65</v>
      </c>
      <c r="H95" s="3" t="s">
        <v>65</v>
      </c>
      <c r="I95" s="2" t="s">
        <v>321</v>
      </c>
    </row>
    <row r="96">
      <c r="A96" s="4"/>
      <c r="B96" s="4"/>
      <c r="C96" s="4"/>
      <c r="D96" s="4"/>
      <c r="E96" s="4"/>
      <c r="F96" s="4"/>
      <c r="G96" s="4"/>
      <c r="H96" s="4"/>
      <c r="I96" s="4"/>
    </row>
    <row r="97">
      <c r="A97" s="4"/>
      <c r="B97" s="4"/>
      <c r="C97" s="4"/>
      <c r="D97" s="4"/>
      <c r="E97" s="4"/>
      <c r="F97" s="4"/>
      <c r="G97" s="4"/>
      <c r="H97" s="4"/>
      <c r="I97" s="4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I4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322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323</v>
      </c>
      <c r="C9" s="12"/>
      <c r="D9" s="12"/>
      <c r="E9" s="12"/>
      <c r="F9" s="12"/>
      <c r="G9" s="12"/>
      <c r="H9" s="45"/>
      <c r="I9" s="2"/>
    </row>
    <row r="10">
      <c r="A10" s="4"/>
      <c r="B10" s="67" t="s">
        <v>324</v>
      </c>
      <c r="C10" s="39">
        <v>10187</v>
      </c>
      <c r="D10" s="39">
        <v>35873</v>
      </c>
      <c r="E10" s="39">
        <v>23426</v>
      </c>
      <c r="F10" s="39">
        <v>15462</v>
      </c>
      <c r="G10" s="10">
        <f>D10</f>
        <v>35873</v>
      </c>
      <c r="H10" s="52">
        <f>'Cash Flow Statement'!H61-'Cash Flow Statement'!H62-'Cash Flow Statement'!H63</f>
        <v>17491.897466212176</v>
      </c>
      <c r="I10" s="2" t="s">
        <v>325</v>
      </c>
    </row>
    <row r="11">
      <c r="A11" s="4"/>
      <c r="B11" s="67" t="s">
        <v>326</v>
      </c>
      <c r="C11" s="39">
        <v>34261</v>
      </c>
      <c r="D11" s="39">
        <v>45719</v>
      </c>
      <c r="E11" s="39">
        <v>57754</v>
      </c>
      <c r="F11" s="39">
        <v>74798</v>
      </c>
      <c r="G11" s="10">
        <f>D11</f>
        <v>45719</v>
      </c>
      <c r="H11" s="52">
        <f>F11-'Cash Flow Statement'!H34-'Cash Flow Statement'!H35</f>
        <v>62798</v>
      </c>
      <c r="I11" s="2"/>
    </row>
    <row r="12">
      <c r="A12" s="4"/>
      <c r="B12" s="67" t="s">
        <v>327</v>
      </c>
      <c r="C12" s="39">
        <v>17297</v>
      </c>
      <c r="D12" s="39">
        <v>19769</v>
      </c>
      <c r="E12" s="39">
        <v>17470</v>
      </c>
      <c r="F12" s="39">
        <v>21752</v>
      </c>
      <c r="G12" s="10">
        <f>D12</f>
        <v>19769</v>
      </c>
      <c r="H12" s="52">
        <f>'Income Statement'!H9*H13/H7</f>
        <v>21864.19930434783</v>
      </c>
      <c r="I12" s="2"/>
    </row>
    <row r="13">
      <c r="A13" s="4"/>
      <c r="B13" s="23" t="s">
        <v>328</v>
      </c>
      <c r="C13" s="71">
        <f>C12/'Income Statement'!C9*C7</f>
        <v>31.05507201124078</v>
      </c>
      <c r="D13" s="71">
        <f>D12/'Income Statement'!D9*D7</f>
        <v>30.366620473177168</v>
      </c>
      <c r="E13" s="71">
        <f>E12/'Income Statement'!E9*E7</f>
        <v>27.921720445383674</v>
      </c>
      <c r="F13" s="71">
        <f>F12/'Income Statement'!F9*F7</f>
        <v>32.5559119093436</v>
      </c>
      <c r="G13" s="71">
        <f>G12/'Income Statement'!G9*G7</f>
        <v>35.905003831493886</v>
      </c>
      <c r="H13" s="76">
        <v>31.5</v>
      </c>
      <c r="I13" s="2" t="s">
        <v>329</v>
      </c>
    </row>
    <row r="14">
      <c r="A14" s="4"/>
      <c r="B14" s="23" t="s">
        <v>330</v>
      </c>
      <c r="C14" s="72" t="s">
        <v>68</v>
      </c>
      <c r="D14" s="71">
        <f>D13-Inputs!D142/Inputs!D124*D7</f>
        <v>-1.946038408707711</v>
      </c>
      <c r="E14" s="72" t="s">
        <v>68</v>
      </c>
      <c r="F14" s="72" t="s">
        <v>68</v>
      </c>
      <c r="G14" s="71">
        <f>G13-Inputs!G142/Inputs!G124*(EDATE(G6,-12)-EDATE(G6,-24))</f>
        <v>-1.9051249823127208</v>
      </c>
      <c r="H14" s="73">
        <f>H13-C13</f>
        <v>0.44492798875921835</v>
      </c>
      <c r="I14" s="2" t="s">
        <v>331</v>
      </c>
    </row>
    <row r="15">
      <c r="A15" s="4"/>
      <c r="B15" s="23" t="s">
        <v>332</v>
      </c>
      <c r="C15" s="72" t="s">
        <v>68</v>
      </c>
      <c r="D15" s="72">
        <f>D13-C13</f>
        <v>-0.6884515380636138</v>
      </c>
      <c r="E15" s="72">
        <f>E13-D13</f>
        <v>-2.4449000277934942</v>
      </c>
      <c r="F15" s="72">
        <f>F13-E13</f>
        <v>4.634191463959926</v>
      </c>
      <c r="G15" s="72" t="s">
        <v>65</v>
      </c>
      <c r="H15" s="73">
        <f>H13-F13</f>
        <v>-1.0559119093435996</v>
      </c>
      <c r="I15" s="2" t="s">
        <v>333</v>
      </c>
    </row>
    <row r="16">
      <c r="A16" s="4"/>
      <c r="B16" s="67" t="s">
        <v>334</v>
      </c>
      <c r="C16" s="39">
        <v>11373</v>
      </c>
      <c r="D16" s="39">
        <v>7361</v>
      </c>
      <c r="E16" s="39">
        <v>11115</v>
      </c>
      <c r="F16" s="39">
        <v>13463</v>
      </c>
      <c r="G16" s="10">
        <f>D16</f>
        <v>7361</v>
      </c>
      <c r="H16" s="52">
        <f>F16-'Cash Flow Statement'!H21</f>
        <v>13463</v>
      </c>
      <c r="I16" s="2"/>
    </row>
    <row r="17">
      <c r="A17" s="4"/>
      <c r="B17" s="11" t="s">
        <v>335</v>
      </c>
      <c r="C17" s="37">
        <f>SUM(C10,C11,C12,C16)</f>
        <v>73118</v>
      </c>
      <c r="D17" s="37">
        <f>SUM(D10,D11,D12,D16)</f>
        <v>108722</v>
      </c>
      <c r="E17" s="37">
        <f>SUM(E10,E11,E12,E16)</f>
        <v>109765</v>
      </c>
      <c r="F17" s="37">
        <f>SUM(F10,F11,F12,F16)</f>
        <v>125475</v>
      </c>
      <c r="G17" s="37">
        <f>SUM(G10,G11,G12,G16)</f>
        <v>108722</v>
      </c>
      <c r="H17" s="65">
        <f>SUM(H10,H11,H12,H16)</f>
        <v>115617.09677056</v>
      </c>
      <c r="I17" s="2"/>
    </row>
    <row r="18">
      <c r="A18" s="4"/>
      <c r="B18" s="67" t="s">
        <v>336</v>
      </c>
      <c r="C18" s="39">
        <v>25074</v>
      </c>
      <c r="D18" s="39">
        <v>27524</v>
      </c>
      <c r="E18" s="39">
        <v>28410</v>
      </c>
      <c r="F18" s="39">
        <v>30157</v>
      </c>
      <c r="G18" s="10">
        <f>D18</f>
        <v>27524</v>
      </c>
      <c r="H18" s="52">
        <f>F18-'Cash Flow Statement'!H38</f>
        <v>30157</v>
      </c>
      <c r="I18" s="2"/>
    </row>
    <row r="19">
      <c r="A19" s="4"/>
      <c r="B19" s="67" t="s">
        <v>337</v>
      </c>
      <c r="C19" s="39">
        <v>160270</v>
      </c>
      <c r="D19" s="39">
        <v>176400</v>
      </c>
      <c r="E19" s="39">
        <v>194776</v>
      </c>
      <c r="F19" s="39">
        <v>225724</v>
      </c>
      <c r="G19" s="10">
        <f>D19</f>
        <v>176400</v>
      </c>
      <c r="H19" s="52">
        <f>F19-'Cash Flow Statement'!H31-'Cash Flow Statement'!H11</f>
        <v>255424</v>
      </c>
      <c r="I19" s="2"/>
    </row>
    <row r="20">
      <c r="A20" s="4"/>
      <c r="B20" s="67" t="s">
        <v>338</v>
      </c>
      <c r="C20" s="39">
        <v>17372</v>
      </c>
      <c r="D20" s="39">
        <v>20404</v>
      </c>
      <c r="E20" s="39">
        <v>23268</v>
      </c>
      <c r="F20" s="39">
        <v>23985</v>
      </c>
      <c r="G20" s="10">
        <f>D20</f>
        <v>20404</v>
      </c>
      <c r="H20" s="3">
        <f>F20</f>
        <v>23985</v>
      </c>
      <c r="I20" s="2" t="s">
        <v>339</v>
      </c>
    </row>
    <row r="21">
      <c r="A21" s="4"/>
      <c r="B21" s="67" t="s">
        <v>340</v>
      </c>
      <c r="C21" s="39">
        <v>21158</v>
      </c>
      <c r="D21" s="39">
        <v>24534</v>
      </c>
      <c r="E21" s="39">
        <v>24748</v>
      </c>
      <c r="F21" s="39">
        <v>23406</v>
      </c>
      <c r="G21" s="10">
        <f>D21</f>
        <v>24534</v>
      </c>
      <c r="H21" s="3">
        <f>F21</f>
        <v>23406</v>
      </c>
      <c r="I21" s="2"/>
    </row>
    <row r="22">
      <c r="A22" s="4"/>
      <c r="B22" s="67" t="s">
        <v>341</v>
      </c>
      <c r="C22" s="39">
        <v>6852</v>
      </c>
      <c r="D22" s="39">
        <v>8437</v>
      </c>
      <c r="E22" s="39">
        <v>14283</v>
      </c>
      <c r="F22" s="39">
        <v>21209</v>
      </c>
      <c r="G22" s="10">
        <f>D22</f>
        <v>8437</v>
      </c>
      <c r="H22" s="52">
        <f>F22-'Cash Flow Statement'!H22-'Cash Flow Statement'!H39-'Cash Flow Statement'!H41-'Cash Flow Statement'!H42-'Cash Flow Statement'!H40</f>
        <v>21209</v>
      </c>
      <c r="I22" s="2"/>
    </row>
    <row r="23">
      <c r="A23" s="4"/>
      <c r="B23" s="11" t="s">
        <v>342</v>
      </c>
      <c r="C23" s="37">
        <f>SUM(C17,C18,C19,C20,C21,C22)</f>
        <v>303844</v>
      </c>
      <c r="D23" s="37">
        <f>SUM(D17,D18,D19,D20,D21,D22)</f>
        <v>366021</v>
      </c>
      <c r="E23" s="37">
        <f>SUM(E17,E18,E19,E20,E21,E22)</f>
        <v>395250</v>
      </c>
      <c r="F23" s="37">
        <f>SUM(F17,F18,F19,F20,F21,F22)</f>
        <v>449956</v>
      </c>
      <c r="G23" s="37">
        <f>SUM(G17,G18,G19,G20,G21,G22)</f>
        <v>366021</v>
      </c>
      <c r="H23" s="65">
        <f>SUM(H17,H18,H19,H20,H21,H22)</f>
        <v>469798.09677056</v>
      </c>
      <c r="I23" s="2"/>
    </row>
    <row r="24">
      <c r="A24" s="4"/>
      <c r="B24" s="13"/>
      <c r="C24" s="4"/>
      <c r="D24" s="4"/>
      <c r="E24" s="4"/>
      <c r="F24" s="4"/>
      <c r="G24" s="4"/>
      <c r="H24" s="6"/>
      <c r="I24" s="2"/>
    </row>
    <row r="25">
      <c r="A25" s="4"/>
      <c r="B25" s="11" t="s">
        <v>343</v>
      </c>
      <c r="C25" s="12"/>
      <c r="D25" s="12"/>
      <c r="E25" s="12"/>
      <c r="F25" s="12"/>
      <c r="G25" s="12"/>
      <c r="H25" s="45"/>
      <c r="I25" s="2"/>
    </row>
    <row r="26">
      <c r="A26" s="4"/>
      <c r="B26" s="67" t="s">
        <v>344</v>
      </c>
      <c r="C26" s="39">
        <v>7798</v>
      </c>
      <c r="D26" s="39">
        <v>8894</v>
      </c>
      <c r="E26" s="39">
        <v>13326</v>
      </c>
      <c r="F26" s="39">
        <v>15889</v>
      </c>
      <c r="G26" s="10">
        <f>D26</f>
        <v>8894</v>
      </c>
      <c r="H26" s="52">
        <f>F26+'Cash Flow Statement'!H23</f>
        <v>15889</v>
      </c>
      <c r="I26" s="2"/>
    </row>
    <row r="27">
      <c r="A27" s="4"/>
      <c r="B27" s="67" t="s">
        <v>345</v>
      </c>
      <c r="C27" s="39">
        <v>2113</v>
      </c>
      <c r="D27" s="39">
        <v>2213</v>
      </c>
      <c r="E27" s="39">
        <v>2414</v>
      </c>
      <c r="F27" s="39">
        <v>2425</v>
      </c>
      <c r="G27" s="10">
        <f>D27</f>
        <v>2213</v>
      </c>
      <c r="H27" s="3">
        <f>F27</f>
        <v>2425</v>
      </c>
      <c r="I27" s="2"/>
    </row>
    <row r="28">
      <c r="A28" s="4"/>
      <c r="B28" s="67" t="s">
        <v>346</v>
      </c>
      <c r="C28" s="39">
        <v>27047</v>
      </c>
      <c r="D28" s="39">
        <v>30729</v>
      </c>
      <c r="E28" s="39">
        <v>31013</v>
      </c>
      <c r="F28" s="39">
        <v>38065</v>
      </c>
      <c r="G28" s="10">
        <f>D28</f>
        <v>30729</v>
      </c>
      <c r="H28" s="52">
        <f>F28+'Cash Flow Statement'!H24+'Cash Flow Statement'!H53</f>
        <v>38335</v>
      </c>
      <c r="I28" s="2" t="s">
        <v>347</v>
      </c>
    </row>
    <row r="29">
      <c r="A29" s="4"/>
      <c r="B29" s="11" t="s">
        <v>348</v>
      </c>
      <c r="C29" s="37">
        <f>SUM(C26,C27,C28)</f>
        <v>36958</v>
      </c>
      <c r="D29" s="37">
        <f>SUM(D26,D27,D28)</f>
        <v>41836</v>
      </c>
      <c r="E29" s="37">
        <f>SUM(E26,E27,E28)</f>
        <v>46753</v>
      </c>
      <c r="F29" s="37">
        <f>SUM(F26,F27,F28)</f>
        <v>56379</v>
      </c>
      <c r="G29" s="37">
        <f>SUM(G26,G27,G28)</f>
        <v>41836</v>
      </c>
      <c r="H29" s="65">
        <f>SUM(H26,H27,H28)</f>
        <v>56649</v>
      </c>
      <c r="I29" s="2"/>
    </row>
    <row r="30">
      <c r="A30" s="4"/>
      <c r="B30" s="67" t="s">
        <v>349</v>
      </c>
      <c r="C30" s="39">
        <v>20113</v>
      </c>
      <c r="D30" s="39">
        <v>22940</v>
      </c>
      <c r="E30" s="39">
        <v>25607</v>
      </c>
      <c r="F30" s="39">
        <v>26229</v>
      </c>
      <c r="G30" s="10">
        <f>D30</f>
        <v>22940</v>
      </c>
      <c r="H30" s="3">
        <f>F30</f>
        <v>26229</v>
      </c>
      <c r="I30" s="2"/>
    </row>
    <row r="31">
      <c r="A31" s="4"/>
      <c r="B31" s="67" t="s">
        <v>350</v>
      </c>
      <c r="C31" s="39">
        <v>28834</v>
      </c>
      <c r="D31" s="39">
        <v>58744</v>
      </c>
      <c r="E31" s="39">
        <v>58748</v>
      </c>
      <c r="F31" s="39">
        <v>83664</v>
      </c>
      <c r="G31" s="10">
        <f>D31</f>
        <v>58744</v>
      </c>
      <c r="H31" s="52">
        <f>F31+'Cash Flow Statement'!H52</f>
        <v>83664</v>
      </c>
      <c r="I31" s="2" t="s">
        <v>351</v>
      </c>
    </row>
    <row r="32">
      <c r="A32" s="4"/>
      <c r="B32" s="67" t="s">
        <v>352</v>
      </c>
      <c r="C32" s="39">
        <v>11738</v>
      </c>
      <c r="D32" s="39">
        <v>21005</v>
      </c>
      <c r="E32" s="39">
        <v>16849</v>
      </c>
      <c r="F32" s="39">
        <v>18326</v>
      </c>
      <c r="G32" s="10">
        <f>D32</f>
        <v>21005</v>
      </c>
      <c r="H32" s="3">
        <f>F32</f>
        <v>18326</v>
      </c>
      <c r="I32" s="2"/>
    </row>
    <row r="33">
      <c r="A33" s="4"/>
      <c r="B33" s="67" t="s">
        <v>353</v>
      </c>
      <c r="C33" s="39">
        <v>12135</v>
      </c>
      <c r="D33" s="39">
        <v>4253</v>
      </c>
      <c r="E33" s="39">
        <v>3612</v>
      </c>
      <c r="F33" s="39">
        <v>4137</v>
      </c>
      <c r="G33" s="10">
        <f>D33</f>
        <v>4253</v>
      </c>
      <c r="H33" s="52">
        <f>F33+'Cash Flow Statement'!H25</f>
        <v>12867</v>
      </c>
      <c r="I33" s="2" t="s">
        <v>354</v>
      </c>
    </row>
    <row r="34">
      <c r="A34" s="4"/>
      <c r="B34" s="11" t="s">
        <v>355</v>
      </c>
      <c r="C34" s="37">
        <f>SUM(C29,C30,C31,C32,C33)</f>
        <v>109778</v>
      </c>
      <c r="D34" s="37">
        <f>SUM(D29,D30,D31,D32,D33)</f>
        <v>148778</v>
      </c>
      <c r="E34" s="37">
        <f>SUM(E29,E30,E31,E32,E33)</f>
        <v>151569</v>
      </c>
      <c r="F34" s="37">
        <f>SUM(F29,F30,F31,F32,F33)</f>
        <v>188735</v>
      </c>
      <c r="G34" s="37">
        <f>SUM(G29,G30,G31,G32,G33)</f>
        <v>148778</v>
      </c>
      <c r="H34" s="65">
        <f>SUM(H29,H30,H31,H32,H33)</f>
        <v>197735</v>
      </c>
      <c r="I34" s="2"/>
    </row>
    <row r="35">
      <c r="A35" s="4"/>
      <c r="B35" s="67" t="s">
        <v>356</v>
      </c>
      <c r="C35" s="39">
        <v>92330</v>
      </c>
      <c r="D35" s="39">
        <v>95793</v>
      </c>
      <c r="E35" s="39">
        <v>99337</v>
      </c>
      <c r="F35" s="39">
        <v>103981</v>
      </c>
      <c r="G35" s="10">
        <f>D35</f>
        <v>95793</v>
      </c>
      <c r="H35" s="52">
        <f>F35+'Cash Flow Statement'!H14+'Cash Flow Statement'!H45+'Cash Flow Statement'!H48+'Cash Flow Statement'!H56</f>
        <v>106681</v>
      </c>
      <c r="I35" s="2" t="s">
        <v>357</v>
      </c>
    </row>
    <row r="36">
      <c r="A36" s="4"/>
      <c r="B36" s="67" t="s">
        <v>358</v>
      </c>
      <c r="C36" s="39">
        <v>159</v>
      </c>
      <c r="D36" s="39">
        <v>271</v>
      </c>
      <c r="E36" s="39">
        <v>-303</v>
      </c>
      <c r="F36" s="39">
        <v>-603</v>
      </c>
      <c r="G36" s="10">
        <f>D36</f>
        <v>271</v>
      </c>
      <c r="H36" s="52">
        <f>F36+'Cash Flow Statement'!H58</f>
        <v>-603</v>
      </c>
      <c r="I36" s="2"/>
    </row>
    <row r="37">
      <c r="A37" s="4"/>
      <c r="B37" s="67" t="s">
        <v>359</v>
      </c>
      <c r="C37" s="39">
        <v>101577</v>
      </c>
      <c r="D37" s="39">
        <v>121179</v>
      </c>
      <c r="E37" s="39">
        <v>144647</v>
      </c>
      <c r="F37" s="39">
        <v>157843</v>
      </c>
      <c r="G37" s="10">
        <f>D37</f>
        <v>121179</v>
      </c>
      <c r="H37" s="52">
        <f>F37+'Income Statement'!H60+'Cash Flow Statement'!H49</f>
        <v>165985.09677056</v>
      </c>
      <c r="I37" s="2"/>
    </row>
    <row r="38">
      <c r="A38" s="4"/>
      <c r="B38" s="11" t="s">
        <v>360</v>
      </c>
      <c r="C38" s="37">
        <f>SUM(C35,C36,C37)</f>
        <v>194066</v>
      </c>
      <c r="D38" s="37">
        <f>SUM(D35,D36,D37)</f>
        <v>217243</v>
      </c>
      <c r="E38" s="37">
        <f>SUM(E35,E36,E37)</f>
        <v>243681</v>
      </c>
      <c r="F38" s="37">
        <f>SUM(F35,F36,F37)</f>
        <v>261221</v>
      </c>
      <c r="G38" s="37">
        <f>SUM(G35,G36,G37)</f>
        <v>217243</v>
      </c>
      <c r="H38" s="65">
        <f>SUM(H35,H36,H37)</f>
        <v>272063.09677056</v>
      </c>
      <c r="I38" s="2"/>
    </row>
    <row r="39">
      <c r="A39" s="4"/>
      <c r="B39" s="11" t="s">
        <v>361</v>
      </c>
      <c r="C39" s="37">
        <f>C34+C38</f>
        <v>303844</v>
      </c>
      <c r="D39" s="37">
        <f>D34+D38</f>
        <v>366021</v>
      </c>
      <c r="E39" s="37">
        <f>E34+E38</f>
        <v>395250</v>
      </c>
      <c r="F39" s="37">
        <f>F34+F38</f>
        <v>449956</v>
      </c>
      <c r="G39" s="37">
        <f>G34+G38</f>
        <v>366021</v>
      </c>
      <c r="H39" s="65">
        <f>H34+H38</f>
        <v>469798.09677056</v>
      </c>
      <c r="I39" s="2"/>
    </row>
    <row r="40">
      <c r="A40" s="4"/>
      <c r="B40" s="67" t="s">
        <v>362</v>
      </c>
      <c r="C40" s="39">
        <v>303844</v>
      </c>
      <c r="D40" s="39">
        <v>366021</v>
      </c>
      <c r="E40" s="39">
        <v>395250</v>
      </c>
      <c r="F40" s="39">
        <v>449956</v>
      </c>
      <c r="G40" s="10"/>
      <c r="H40" s="3"/>
      <c r="I40" s="2" t="s">
        <v>161</v>
      </c>
    </row>
    <row r="41">
      <c r="A41" s="4"/>
      <c r="B41" s="11" t="s">
        <v>363</v>
      </c>
      <c r="C41" s="17">
        <f>C23-C34-C38</f>
        <v>0</v>
      </c>
      <c r="D41" s="17">
        <f>D23-D34-D38</f>
        <v>0</v>
      </c>
      <c r="E41" s="17">
        <f>E23-E34-E38</f>
        <v>0</v>
      </c>
      <c r="F41" s="17">
        <f>F23-F34-F38</f>
        <v>0</v>
      </c>
      <c r="G41" s="17">
        <f>G23-G34-G38</f>
        <v>0</v>
      </c>
      <c r="H41" s="53">
        <f>H23-H34-H38</f>
        <v>0</v>
      </c>
      <c r="I41" s="2" t="s">
        <v>364</v>
      </c>
    </row>
    <row r="42">
      <c r="A42" s="4"/>
      <c r="B42" s="67" t="s">
        <v>365</v>
      </c>
      <c r="C42" s="10">
        <f>C23-C40</f>
        <v>0</v>
      </c>
      <c r="D42" s="10">
        <f>D23-D40</f>
        <v>0</v>
      </c>
      <c r="E42" s="10">
        <f>E23-E40</f>
        <v>0</v>
      </c>
      <c r="F42" s="10">
        <f>F23-F40</f>
        <v>0</v>
      </c>
      <c r="G42" s="10"/>
      <c r="H42" s="3"/>
      <c r="I42" s="2"/>
    </row>
    <row r="43">
      <c r="A43" s="4"/>
      <c r="B43" s="13"/>
      <c r="C43" s="4"/>
      <c r="D43" s="4"/>
      <c r="E43" s="4"/>
      <c r="F43" s="4"/>
      <c r="G43" s="4"/>
      <c r="H43" s="6"/>
      <c r="I43" s="2"/>
    </row>
    <row r="44">
      <c r="A44" s="4"/>
      <c r="B44" s="11" t="s">
        <v>366</v>
      </c>
      <c r="C44" s="12"/>
      <c r="D44" s="12"/>
      <c r="E44" s="12"/>
      <c r="F44" s="12"/>
      <c r="G44" s="12"/>
      <c r="H44" s="45"/>
      <c r="I44" s="2"/>
    </row>
    <row r="45">
      <c r="A45" s="4"/>
      <c r="B45" s="13" t="s">
        <v>367</v>
      </c>
      <c r="C45" s="10">
        <f>C10+C11-C31</f>
        <v>15614</v>
      </c>
      <c r="D45" s="10">
        <f>D10+D11-D31</f>
        <v>22848</v>
      </c>
      <c r="E45" s="10">
        <f>E10+E11-E31</f>
        <v>22432</v>
      </c>
      <c r="F45" s="10">
        <f>F10+F11-F31</f>
        <v>6596</v>
      </c>
      <c r="G45" s="10">
        <f>G10+G11-G31</f>
        <v>22848</v>
      </c>
      <c r="H45" s="3">
        <f>H10+H11-H31</f>
        <v>-3374.1025337878236</v>
      </c>
      <c r="I45" s="2"/>
    </row>
    <row r="46">
      <c r="A46" s="4"/>
      <c r="B46" s="13" t="s">
        <v>368</v>
      </c>
      <c r="C46" s="75">
        <f>C31/C38</f>
        <v>0.148578318716313</v>
      </c>
      <c r="D46" s="75">
        <f>D31/D38</f>
        <v>0.27040687156778354</v>
      </c>
      <c r="E46" s="75">
        <f>E31/E38</f>
        <v>0.24108568169040673</v>
      </c>
      <c r="F46" s="75">
        <f>F31/F38</f>
        <v>0.32028052874768875</v>
      </c>
      <c r="G46" s="75">
        <f>G31/G38</f>
        <v>0.27040687156778354</v>
      </c>
      <c r="H46" s="74">
        <f>H31/H38</f>
        <v>0.3075168995468602</v>
      </c>
      <c r="I46" s="2"/>
    </row>
    <row r="47">
      <c r="A47" s="4"/>
      <c r="B47" s="4"/>
      <c r="C47" s="4"/>
      <c r="D47" s="4"/>
      <c r="E47" s="4"/>
      <c r="F47" s="4"/>
      <c r="G47" s="4"/>
      <c r="H47" s="4"/>
      <c r="I47" s="4"/>
    </row>
    <row r="48">
      <c r="A48" s="4"/>
      <c r="B48" s="4"/>
      <c r="C48" s="4"/>
      <c r="D48" s="4"/>
      <c r="E48" s="4"/>
      <c r="F48" s="4"/>
      <c r="G48" s="4"/>
      <c r="H48" s="4"/>
      <c r="I48" s="4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I7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369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370</v>
      </c>
      <c r="C9" s="12"/>
      <c r="D9" s="12"/>
      <c r="E9" s="12"/>
      <c r="F9" s="12"/>
      <c r="G9" s="12"/>
      <c r="H9" s="45"/>
      <c r="I9" s="2"/>
    </row>
    <row r="10">
      <c r="A10" s="4"/>
      <c r="B10" s="67" t="s">
        <v>371</v>
      </c>
      <c r="C10" s="36">
        <f>'Income Statement'!C60</f>
        <v>2709</v>
      </c>
      <c r="D10" s="36">
        <f>'Income Statement'!D60</f>
        <v>22768</v>
      </c>
      <c r="E10" s="36">
        <f>'Income Statement'!E60</f>
        <v>26773</v>
      </c>
      <c r="F10" s="36">
        <f>'Income Statement'!F60</f>
        <v>15848</v>
      </c>
      <c r="G10" s="36">
        <f>'Income Statement'!G60</f>
        <v>60458</v>
      </c>
      <c r="H10" s="52">
        <f>'Income Statement'!H60</f>
        <v>9497.096770560003</v>
      </c>
      <c r="I10" s="2" t="s">
        <v>372</v>
      </c>
    </row>
    <row r="11">
      <c r="A11" s="4"/>
      <c r="B11" s="67" t="s">
        <v>373</v>
      </c>
      <c r="C11" s="39">
        <v>4963</v>
      </c>
      <c r="D11" s="39">
        <v>5411</v>
      </c>
      <c r="E11" s="39">
        <v>5999</v>
      </c>
      <c r="F11" s="39">
        <v>6356</v>
      </c>
      <c r="G11" s="36">
        <f>Inputs!G178+D11</f>
        <v>18616</v>
      </c>
      <c r="H11" s="61">
        <v>7300</v>
      </c>
      <c r="I11" s="2" t="s">
        <v>374</v>
      </c>
    </row>
    <row r="12">
      <c r="A12" s="4"/>
      <c r="B12" s="5" t="s">
        <v>375</v>
      </c>
      <c r="C12" s="7">
        <f>C11/Inputs!C143-1</f>
        <v>0.2324310901415445</v>
      </c>
      <c r="D12" s="7">
        <f>D11/Inputs!D143-1</f>
        <v>0.21322869955156953</v>
      </c>
      <c r="E12" s="7">
        <f>E11/Inputs!E143-1</f>
        <v>0.5382051282051281</v>
      </c>
      <c r="F12" s="7">
        <f>F11/Inputs!F143-1</f>
        <v>0.4638415476738831</v>
      </c>
      <c r="G12" s="7">
        <f>G11/Inputs!G143-1</f>
        <v>0.20118724996773785</v>
      </c>
      <c r="H12" s="16">
        <f>H11/C11-1</f>
        <v>0.4708845456377191</v>
      </c>
      <c r="I12" s="2"/>
    </row>
    <row r="13">
      <c r="A13" s="4"/>
      <c r="B13" s="23" t="s">
        <v>376</v>
      </c>
      <c r="C13" s="36">
        <f>C11-Inputs!F143</f>
        <v>621</v>
      </c>
      <c r="D13" s="10">
        <f>D11-C11</f>
        <v>448</v>
      </c>
      <c r="E13" s="10">
        <f>E11-D11</f>
        <v>588</v>
      </c>
      <c r="F13" s="10">
        <f>F11-E11</f>
        <v>357</v>
      </c>
      <c r="G13" s="10" t="s">
        <v>65</v>
      </c>
      <c r="H13" s="3">
        <f>H11-F11</f>
        <v>944</v>
      </c>
      <c r="I13" s="2"/>
    </row>
    <row r="14">
      <c r="A14" s="4"/>
      <c r="B14" s="67" t="s">
        <v>317</v>
      </c>
      <c r="C14" s="39">
        <v>5555</v>
      </c>
      <c r="D14" s="39">
        <v>5890</v>
      </c>
      <c r="E14" s="39">
        <v>6032</v>
      </c>
      <c r="F14" s="39">
        <v>7658</v>
      </c>
      <c r="G14" s="36">
        <f>Inputs!G179+D14</f>
        <v>20427</v>
      </c>
      <c r="H14" s="61">
        <v>7000</v>
      </c>
      <c r="I14" s="2" t="s">
        <v>377</v>
      </c>
    </row>
    <row r="15">
      <c r="A15" s="4"/>
      <c r="B15" s="5" t="s">
        <v>378</v>
      </c>
      <c r="C15" s="7">
        <f>C14/Inputs!C144-1</f>
        <v>0.30705882352941183</v>
      </c>
      <c r="D15" s="7">
        <f>D14/Inputs!D144-1</f>
        <v>0.38198029094321906</v>
      </c>
      <c r="E15" s="7">
        <f>E14/Inputs!E144-1</f>
        <v>0.4545454545454546</v>
      </c>
      <c r="F15" s="7">
        <f>F14/Inputs!F144-1</f>
        <v>0.584195283409185</v>
      </c>
      <c r="G15" s="7">
        <f>G14/Inputs!G144-1</f>
        <v>0.22390653085680046</v>
      </c>
      <c r="H15" s="16">
        <f>H14/C14-1</f>
        <v>0.2601260126012601</v>
      </c>
      <c r="I15" s="2"/>
    </row>
    <row r="16">
      <c r="A16" s="4"/>
      <c r="B16" s="23" t="s">
        <v>379</v>
      </c>
      <c r="C16" s="36">
        <f>C14-Inputs!F144</f>
        <v>721</v>
      </c>
      <c r="D16" s="10">
        <f>D14-C14</f>
        <v>335</v>
      </c>
      <c r="E16" s="10">
        <f>E14-D14</f>
        <v>142</v>
      </c>
      <c r="F16" s="10">
        <f>F14-E14</f>
        <v>1626</v>
      </c>
      <c r="G16" s="10" t="s">
        <v>65</v>
      </c>
      <c r="H16" s="3">
        <f>H14-F14</f>
        <v>-658</v>
      </c>
      <c r="I16" s="2"/>
    </row>
    <row r="17">
      <c r="A17" s="4"/>
      <c r="B17" s="67" t="s">
        <v>380</v>
      </c>
      <c r="C17" s="39">
        <v>19868</v>
      </c>
      <c r="D17" s="39">
        <v>1033</v>
      </c>
      <c r="E17" s="39">
        <v>123</v>
      </c>
      <c r="F17" s="39">
        <v>1445</v>
      </c>
      <c r="G17" s="36">
        <f>Inputs!G180+D17</f>
        <v>18737</v>
      </c>
      <c r="H17" s="61">
        <v>0</v>
      </c>
      <c r="I17" s="2" t="s">
        <v>381</v>
      </c>
    </row>
    <row r="18">
      <c r="A18" s="4"/>
      <c r="B18" s="67" t="s">
        <v>382</v>
      </c>
      <c r="C18" s="39">
        <v>-922</v>
      </c>
      <c r="D18" s="39">
        <v>-496</v>
      </c>
      <c r="E18" s="39">
        <v>1075</v>
      </c>
      <c r="F18" s="39">
        <v>111</v>
      </c>
      <c r="G18" s="36">
        <f>Inputs!G181+D18</f>
        <v>-1044</v>
      </c>
      <c r="H18" s="61">
        <v>0</v>
      </c>
      <c r="I18" s="2" t="s">
        <v>383</v>
      </c>
    </row>
    <row r="19">
      <c r="A19" s="4"/>
      <c r="B19" s="67" t="s">
        <v>384</v>
      </c>
      <c r="C19" s="39">
        <v>-23</v>
      </c>
      <c r="D19" s="39">
        <v>-56</v>
      </c>
      <c r="E19" s="39">
        <v>-17</v>
      </c>
      <c r="F19" s="39">
        <v>-56</v>
      </c>
      <c r="G19" s="36">
        <f>Inputs!G182+D19</f>
        <v>-509</v>
      </c>
      <c r="H19" s="61">
        <v>0</v>
      </c>
      <c r="I19" s="2" t="s">
        <v>385</v>
      </c>
    </row>
    <row r="20">
      <c r="A20" s="4"/>
      <c r="B20" s="67" t="s">
        <v>386</v>
      </c>
      <c r="C20" s="39">
        <v>-807</v>
      </c>
      <c r="D20" s="39">
        <v>-2475</v>
      </c>
      <c r="E20" s="39">
        <v>2128</v>
      </c>
      <c r="F20" s="39">
        <v>-4401</v>
      </c>
      <c r="G20" s="36">
        <f>Inputs!G183+D20</f>
        <v>-1815</v>
      </c>
      <c r="H20" s="52">
        <f>-('Balance Sheet'!H12-'Balance Sheet'!F12)</f>
        <v>-112.19930434782873</v>
      </c>
      <c r="I20" s="2"/>
    </row>
    <row r="21">
      <c r="A21" s="4"/>
      <c r="B21" s="67" t="s">
        <v>387</v>
      </c>
      <c r="C21" s="39">
        <v>-1033</v>
      </c>
      <c r="D21" s="39">
        <v>259</v>
      </c>
      <c r="E21" s="39">
        <v>-2424</v>
      </c>
      <c r="F21" s="39">
        <v>-807</v>
      </c>
      <c r="G21" s="36">
        <f>Inputs!G184+D21</f>
        <v>-89</v>
      </c>
      <c r="H21" s="61">
        <v>0</v>
      </c>
      <c r="I21" s="2"/>
    </row>
    <row r="22">
      <c r="A22" s="4"/>
      <c r="B22" s="67" t="s">
        <v>388</v>
      </c>
      <c r="C22" s="39">
        <v>33</v>
      </c>
      <c r="D22" s="39">
        <v>-272</v>
      </c>
      <c r="E22" s="39">
        <v>-1082</v>
      </c>
      <c r="F22" s="39">
        <v>-1454</v>
      </c>
      <c r="G22" s="36">
        <f>Inputs!G185+D22</f>
        <v>-481</v>
      </c>
      <c r="H22" s="61">
        <v>0</v>
      </c>
      <c r="I22" s="2"/>
    </row>
    <row r="23">
      <c r="A23" s="4"/>
      <c r="B23" s="67" t="s">
        <v>389</v>
      </c>
      <c r="C23" s="39">
        <v>-63</v>
      </c>
      <c r="D23" s="39">
        <v>623</v>
      </c>
      <c r="E23" s="39">
        <v>-937</v>
      </c>
      <c r="F23" s="39">
        <v>584</v>
      </c>
      <c r="G23" s="36">
        <f>Inputs!G186+D23</f>
        <v>-14</v>
      </c>
      <c r="H23" s="61">
        <v>0</v>
      </c>
      <c r="I23" s="2"/>
    </row>
    <row r="24">
      <c r="A24" s="4"/>
      <c r="B24" s="67" t="s">
        <v>390</v>
      </c>
      <c r="C24" s="39">
        <v>455</v>
      </c>
      <c r="D24" s="39">
        <v>3960</v>
      </c>
      <c r="E24" s="39">
        <v>-271</v>
      </c>
      <c r="F24" s="39">
        <v>5933</v>
      </c>
      <c r="G24" s="36">
        <f>Inputs!G187+D24</f>
        <v>1077</v>
      </c>
      <c r="H24" s="52">
        <f>'Income Statement'!H35*H27</f>
        <v>1270</v>
      </c>
      <c r="I24" s="2" t="s">
        <v>391</v>
      </c>
    </row>
    <row r="25">
      <c r="A25" s="4"/>
      <c r="B25" s="67" t="s">
        <v>392</v>
      </c>
      <c r="C25" s="39">
        <v>-736</v>
      </c>
      <c r="D25" s="39">
        <v>-431</v>
      </c>
      <c r="E25" s="39">
        <v>-5173</v>
      </c>
      <c r="F25" s="39">
        <v>645</v>
      </c>
      <c r="G25" s="36">
        <f>Inputs!G188+D25</f>
        <v>437</v>
      </c>
      <c r="H25" s="52">
        <f>'Income Statement'!H35-H24</f>
        <v>8730</v>
      </c>
      <c r="I25" s="2" t="s">
        <v>393</v>
      </c>
    </row>
    <row r="26">
      <c r="A26" s="4"/>
      <c r="B26" s="11" t="s">
        <v>394</v>
      </c>
      <c r="C26" s="37">
        <f>C10+C11+C14+C17+C18+C19+C20+C21+C22+C23+C24+C25</f>
        <v>29999</v>
      </c>
      <c r="D26" s="37">
        <f>D10+D11+D14+D17+D18+D19+D20+D21+D22+D23+D24+D25</f>
        <v>36214</v>
      </c>
      <c r="E26" s="37">
        <f>E10+E11+E14+E17+E18+E19+E20+E21+E22+E23+E24+E25</f>
        <v>32226</v>
      </c>
      <c r="F26" s="37">
        <f>F10+F11+F14+F17+F18+F19+F20+F21+F22+F23+F24+F25</f>
        <v>31862</v>
      </c>
      <c r="G26" s="37">
        <f>G10+G11+G14+G17+G18+G19+G20+G21+G22+G23+G24+G25</f>
        <v>115800</v>
      </c>
      <c r="H26" s="65">
        <f>H10+H11+H14+H17+H18+H19+H20+H21+H22+H23+H24+H25</f>
        <v>33684.89746621218</v>
      </c>
      <c r="I26" s="2"/>
    </row>
    <row r="27">
      <c r="A27" s="4"/>
      <c r="B27" s="5" t="s">
        <v>395</v>
      </c>
      <c r="C27" s="1"/>
      <c r="D27" s="1"/>
      <c r="E27" s="1"/>
      <c r="F27" s="1"/>
      <c r="G27" s="1"/>
      <c r="H27" s="42">
        <v>0.127</v>
      </c>
      <c r="I27" s="2" t="s">
        <v>396</v>
      </c>
    </row>
    <row r="28">
      <c r="A28" s="4"/>
      <c r="B28" s="67" t="s">
        <v>397</v>
      </c>
      <c r="C28" s="39">
        <v>29999</v>
      </c>
      <c r="D28" s="39">
        <v>36214</v>
      </c>
      <c r="E28" s="39">
        <v>32226</v>
      </c>
      <c r="F28" s="39">
        <v>31862</v>
      </c>
      <c r="G28" s="39">
        <v>115800</v>
      </c>
      <c r="H28" s="3"/>
      <c r="I28" s="2" t="s">
        <v>161</v>
      </c>
    </row>
    <row r="29">
      <c r="A29" s="4"/>
      <c r="B29" s="67" t="s">
        <v>398</v>
      </c>
      <c r="C29" s="10">
        <f>C26-C28</f>
        <v>0</v>
      </c>
      <c r="D29" s="10">
        <f>D26-D28</f>
        <v>0</v>
      </c>
      <c r="E29" s="10">
        <f>E26-E28</f>
        <v>0</v>
      </c>
      <c r="F29" s="10">
        <f>F26-F28</f>
        <v>0</v>
      </c>
      <c r="G29" s="10">
        <f>G26-G28</f>
        <v>0</v>
      </c>
      <c r="H29" s="3"/>
      <c r="I29" s="2"/>
    </row>
    <row r="30">
      <c r="A30" s="4"/>
      <c r="B30" s="11" t="s">
        <v>399</v>
      </c>
      <c r="C30" s="12"/>
      <c r="D30" s="12"/>
      <c r="E30" s="12"/>
      <c r="F30" s="12"/>
      <c r="G30" s="12"/>
      <c r="H30" s="45"/>
      <c r="I30" s="2"/>
    </row>
    <row r="31">
      <c r="A31" s="4"/>
      <c r="B31" s="67" t="s">
        <v>400</v>
      </c>
      <c r="C31" s="39">
        <v>-18829</v>
      </c>
      <c r="D31" s="39">
        <v>-21383</v>
      </c>
      <c r="E31" s="39">
        <v>-18997</v>
      </c>
      <c r="F31" s="39">
        <v>-30116</v>
      </c>
      <c r="G31" s="36">
        <f>Inputs!G189+D31</f>
        <v>-69691</v>
      </c>
      <c r="H31" s="61">
        <v>-37000</v>
      </c>
      <c r="I31" s="2" t="s">
        <v>401</v>
      </c>
    </row>
    <row r="32">
      <c r="A32" s="4"/>
      <c r="B32" s="5" t="s">
        <v>402</v>
      </c>
      <c r="C32" s="7">
        <f>C31/Inputs!C145-1</f>
        <v>1.2800920319689997</v>
      </c>
      <c r="D32" s="7">
        <f>D31/Inputs!D145-1</f>
        <v>0.48235701906412487</v>
      </c>
      <c r="E32" s="7">
        <f>E31/Inputs!E145-1</f>
        <v>0.46797001777296954</v>
      </c>
      <c r="F32" s="7">
        <f>F31/Inputs!F145-1</f>
        <v>0.821018260974725</v>
      </c>
      <c r="G32" s="7">
        <f>G31/Inputs!G145-1</f>
        <v>0.8705980244792786</v>
      </c>
      <c r="H32" s="16">
        <f>H31/C31-1</f>
        <v>0.9650539062085082</v>
      </c>
      <c r="I32" s="2"/>
    </row>
    <row r="33">
      <c r="A33" s="4"/>
      <c r="B33" s="23" t="s">
        <v>403</v>
      </c>
      <c r="C33" s="36">
        <f>C31-Inputs!F145</f>
        <v>-2291</v>
      </c>
      <c r="D33" s="10">
        <f>D31-C31</f>
        <v>-2554</v>
      </c>
      <c r="E33" s="10">
        <f>E31-D31</f>
        <v>2386</v>
      </c>
      <c r="F33" s="10">
        <f>F31-E31</f>
        <v>-11119</v>
      </c>
      <c r="G33" s="10" t="s">
        <v>65</v>
      </c>
      <c r="H33" s="3">
        <f>H31-F31</f>
        <v>-6884</v>
      </c>
      <c r="I33" s="2"/>
    </row>
    <row r="34">
      <c r="A34" s="4"/>
      <c r="B34" s="67" t="s">
        <v>404</v>
      </c>
      <c r="C34" s="39">
        <v>-2840</v>
      </c>
      <c r="D34" s="39">
        <v>-14580</v>
      </c>
      <c r="E34" s="39">
        <v>-32978</v>
      </c>
      <c r="F34" s="39">
        <v>-42615</v>
      </c>
      <c r="G34" s="36">
        <f>Inputs!G190+D34</f>
        <v>-36929</v>
      </c>
      <c r="H34" s="61">
        <v>0</v>
      </c>
      <c r="I34" s="2"/>
    </row>
    <row r="35">
      <c r="A35" s="4"/>
      <c r="B35" s="67" t="s">
        <v>405</v>
      </c>
      <c r="C35" s="39">
        <v>4704</v>
      </c>
      <c r="D35" s="39">
        <v>3113</v>
      </c>
      <c r="E35" s="39">
        <v>19176</v>
      </c>
      <c r="F35" s="39">
        <v>24860</v>
      </c>
      <c r="G35" s="36">
        <f>Inputs!G191+D35</f>
        <v>26874</v>
      </c>
      <c r="H35" s="61">
        <v>12000</v>
      </c>
      <c r="I35" s="2" t="s">
        <v>406</v>
      </c>
    </row>
    <row r="36">
      <c r="A36" s="4"/>
      <c r="B36" s="5" t="s">
        <v>407</v>
      </c>
      <c r="C36" s="7">
        <f>C35/Inputs!C146-1</f>
        <v>0.14341273699562462</v>
      </c>
      <c r="D36" s="7">
        <f>D35/Inputs!D146-1</f>
        <v>-0.18443804034582134</v>
      </c>
      <c r="E36" s="7">
        <f>E35/Inputs!E146-1</f>
        <v>3.0083612040133776</v>
      </c>
      <c r="F36" s="7">
        <f>F35/Inputs!F146-1</f>
        <v>0.7417501576402998</v>
      </c>
      <c r="G36" s="7">
        <f>G35/Inputs!G146-1</f>
        <v>0.702071062131864</v>
      </c>
      <c r="H36" s="16">
        <f>H35/C35-1</f>
        <v>1.5510204081632653</v>
      </c>
      <c r="I36" s="2"/>
    </row>
    <row r="37">
      <c r="A37" s="4"/>
      <c r="B37" s="23" t="s">
        <v>408</v>
      </c>
      <c r="C37" s="36">
        <f>C35-Inputs!F146</f>
        <v>-9569</v>
      </c>
      <c r="D37" s="10">
        <f>D35-C35</f>
        <v>-1591</v>
      </c>
      <c r="E37" s="10">
        <f>E35-D35</f>
        <v>16063</v>
      </c>
      <c r="F37" s="10">
        <f>F35-E35</f>
        <v>5684</v>
      </c>
      <c r="G37" s="10" t="s">
        <v>65</v>
      </c>
      <c r="H37" s="3">
        <f>H35-F35</f>
        <v>-12860</v>
      </c>
      <c r="I37" s="2"/>
    </row>
    <row r="38">
      <c r="A38" s="4"/>
      <c r="B38" s="67" t="s">
        <v>409</v>
      </c>
      <c r="C38" s="39">
        <v>-3046</v>
      </c>
      <c r="D38" s="39">
        <v>-70</v>
      </c>
      <c r="E38" s="39">
        <v>-544</v>
      </c>
      <c r="F38" s="39">
        <v>-1126</v>
      </c>
      <c r="G38" s="36">
        <f>Inputs!G192+D38</f>
        <v>-18330</v>
      </c>
      <c r="H38" s="61">
        <v>0</v>
      </c>
      <c r="I38" s="2"/>
    </row>
    <row r="39">
      <c r="A39" s="4"/>
      <c r="B39" s="67" t="s">
        <v>410</v>
      </c>
      <c r="C39" s="39">
        <v>-1022</v>
      </c>
      <c r="D39" s="39">
        <v>-635</v>
      </c>
      <c r="E39" s="39">
        <v>-118</v>
      </c>
      <c r="F39" s="39">
        <v>-556</v>
      </c>
      <c r="G39" s="36">
        <f>Inputs!G193+D39</f>
        <v>-2432</v>
      </c>
      <c r="H39" s="61">
        <v>0</v>
      </c>
      <c r="I39" s="2"/>
    </row>
    <row r="40">
      <c r="A40" s="4"/>
      <c r="B40" s="67" t="s">
        <v>411</v>
      </c>
      <c r="C40" s="39">
        <v>0</v>
      </c>
      <c r="D40" s="39">
        <v>2554</v>
      </c>
      <c r="E40" s="39">
        <v>0</v>
      </c>
      <c r="F40" s="39">
        <v>0</v>
      </c>
      <c r="G40" s="36">
        <f>Inputs!G194+D40</f>
        <v>2554</v>
      </c>
      <c r="H40" s="61">
        <v>0</v>
      </c>
      <c r="I40" s="2"/>
    </row>
    <row r="41">
      <c r="A41" s="4"/>
      <c r="B41" s="67" t="s">
        <v>412</v>
      </c>
      <c r="C41" s="39">
        <v>-753</v>
      </c>
      <c r="D41" s="39">
        <v>-3415</v>
      </c>
      <c r="E41" s="39">
        <v>-372</v>
      </c>
      <c r="F41" s="39">
        <v>-101</v>
      </c>
      <c r="G41" s="36">
        <f>Inputs!G195+D41</f>
        <v>-4230</v>
      </c>
      <c r="H41" s="61">
        <v>0</v>
      </c>
      <c r="I41" s="2"/>
    </row>
    <row r="42">
      <c r="A42" s="4"/>
      <c r="B42" s="67" t="s">
        <v>413</v>
      </c>
      <c r="C42" s="39">
        <v>-62</v>
      </c>
      <c r="D42" s="39">
        <v>229</v>
      </c>
      <c r="E42" s="39">
        <v>155</v>
      </c>
      <c r="F42" s="39">
        <v>1</v>
      </c>
      <c r="G42" s="36">
        <f>Inputs!G196+D42</f>
        <v>181</v>
      </c>
      <c r="H42" s="61">
        <v>0</v>
      </c>
      <c r="I42" s="2"/>
    </row>
    <row r="43">
      <c r="A43" s="4"/>
      <c r="B43" s="11" t="s">
        <v>414</v>
      </c>
      <c r="C43" s="37">
        <f>C31+C34+C35+C38+C39+C40+C41+C42</f>
        <v>-21848</v>
      </c>
      <c r="D43" s="37">
        <f>D31+D34+D35+D38+D39+D40+D41+D42</f>
        <v>-34187</v>
      </c>
      <c r="E43" s="37">
        <f>E31+E34+E35+E38+E39+E40+E41+E42</f>
        <v>-33678</v>
      </c>
      <c r="F43" s="37">
        <f>F31+F34+F35+F38+F39+F40+F41+F42</f>
        <v>-49653</v>
      </c>
      <c r="G43" s="37">
        <f>G31+G34+G35+G38+G39+G40+G41+G42</f>
        <v>-102003</v>
      </c>
      <c r="H43" s="65">
        <f>H31+H34+H35+H38+H39+H40+H41+H42</f>
        <v>-25000</v>
      </c>
      <c r="I43" s="2"/>
    </row>
    <row r="44">
      <c r="A44" s="4"/>
      <c r="B44" s="11" t="s">
        <v>415</v>
      </c>
      <c r="C44" s="12"/>
      <c r="D44" s="12"/>
      <c r="E44" s="12"/>
      <c r="F44" s="12"/>
      <c r="G44" s="12"/>
      <c r="H44" s="45"/>
      <c r="I44" s="2"/>
    </row>
    <row r="45">
      <c r="A45" s="4"/>
      <c r="B45" s="67" t="s">
        <v>416</v>
      </c>
      <c r="C45" s="39">
        <v>-5135</v>
      </c>
      <c r="D45" s="39">
        <v>-4272</v>
      </c>
      <c r="E45" s="39">
        <v>-4423</v>
      </c>
      <c r="F45" s="39">
        <v>-4281</v>
      </c>
      <c r="G45" s="36">
        <f>Inputs!G197+D45</f>
        <v>-18400</v>
      </c>
      <c r="H45" s="61">
        <v>-4300</v>
      </c>
      <c r="I45" s="2"/>
    </row>
    <row r="46">
      <c r="A46" s="4"/>
      <c r="B46" s="5" t="s">
        <v>417</v>
      </c>
      <c r="C46" s="7">
        <f>C45/Inputs!C147-1</f>
        <v>0.44892776523702027</v>
      </c>
      <c r="D46" s="7">
        <f>D45/Inputs!D147-1</f>
        <v>0.10759657765102415</v>
      </c>
      <c r="E46" s="7">
        <f>E45/Inputs!E147-1</f>
        <v>-0.09420438255171004</v>
      </c>
      <c r="F46" s="7">
        <f>F45/Inputs!F147-1</f>
        <v>0.04160583941605833</v>
      </c>
      <c r="G46" s="7">
        <f>G45/Inputs!G147-1</f>
        <v>0.336238198983297</v>
      </c>
      <c r="H46" s="16">
        <f>H45/C45-1</f>
        <v>-0.1626095423563778</v>
      </c>
      <c r="I46" s="2"/>
    </row>
    <row r="47">
      <c r="A47" s="4"/>
      <c r="B47" s="23" t="s">
        <v>418</v>
      </c>
      <c r="C47" s="36">
        <f>C45-Inputs!F147</f>
        <v>-1025</v>
      </c>
      <c r="D47" s="10">
        <f>D45-C45</f>
        <v>863</v>
      </c>
      <c r="E47" s="10">
        <f>E45-D45</f>
        <v>-151</v>
      </c>
      <c r="F47" s="10">
        <f>F45-E45</f>
        <v>142</v>
      </c>
      <c r="G47" s="10" t="s">
        <v>65</v>
      </c>
      <c r="H47" s="3">
        <f>H45-F45</f>
        <v>-19</v>
      </c>
      <c r="I47" s="2"/>
    </row>
    <row r="48">
      <c r="A48" s="4"/>
      <c r="B48" s="67" t="s">
        <v>419</v>
      </c>
      <c r="C48" s="39">
        <v>-3327</v>
      </c>
      <c r="D48" s="39">
        <v>0</v>
      </c>
      <c r="E48" s="39">
        <v>0</v>
      </c>
      <c r="F48" s="39">
        <v>0</v>
      </c>
      <c r="G48" s="36">
        <f>Inputs!G198+D48</f>
        <v>-26248</v>
      </c>
      <c r="H48" s="61">
        <v>0</v>
      </c>
      <c r="I48" s="2" t="s">
        <v>420</v>
      </c>
    </row>
    <row r="49">
      <c r="A49" s="4"/>
      <c r="B49" s="67" t="s">
        <v>421</v>
      </c>
      <c r="C49" s="39">
        <v>-1330</v>
      </c>
      <c r="D49" s="39">
        <v>-1338</v>
      </c>
      <c r="E49" s="39">
        <v>-1346</v>
      </c>
      <c r="F49" s="39">
        <v>-1353</v>
      </c>
      <c r="G49" s="36">
        <f>Inputs!G199+D49</f>
        <v>-5324</v>
      </c>
      <c r="H49" s="61">
        <v>-1355</v>
      </c>
      <c r="I49" s="2"/>
    </row>
    <row r="50">
      <c r="A50" s="4"/>
      <c r="B50" s="5" t="s">
        <v>422</v>
      </c>
      <c r="C50" s="7">
        <f>C49/Inputs!C148-1</f>
        <v>0.053048297703879754</v>
      </c>
      <c r="D50" s="7">
        <f>D49/Inputs!D148-1</f>
        <v>0.05437352245862881</v>
      </c>
      <c r="E50" s="7">
        <f>E49/Inputs!E148-1</f>
        <v>0.012791572610985735</v>
      </c>
      <c r="F50" s="7">
        <f>F49/Inputs!F148-1</f>
        <v>0.019593067068575776</v>
      </c>
      <c r="G50" s="7">
        <f>G49/Inputs!G148-1</f>
        <v>0.0496845425867507</v>
      </c>
      <c r="H50" s="16">
        <f>H49/C49-1</f>
        <v>0.018796992481203034</v>
      </c>
      <c r="I50" s="2"/>
    </row>
    <row r="51">
      <c r="A51" s="4"/>
      <c r="B51" s="23" t="s">
        <v>423</v>
      </c>
      <c r="C51" s="36">
        <f>C49-Inputs!F148</f>
        <v>-3</v>
      </c>
      <c r="D51" s="10">
        <f>D49-C49</f>
        <v>-8</v>
      </c>
      <c r="E51" s="10">
        <f>E49-D49</f>
        <v>-8</v>
      </c>
      <c r="F51" s="10">
        <f>F49-E49</f>
        <v>-7</v>
      </c>
      <c r="G51" s="10" t="s">
        <v>65</v>
      </c>
      <c r="H51" s="3">
        <f>H49-F49</f>
        <v>-2</v>
      </c>
      <c r="I51" s="2"/>
    </row>
    <row r="52">
      <c r="A52" s="4"/>
      <c r="B52" s="67" t="s">
        <v>424</v>
      </c>
      <c r="C52" s="39">
        <v>0</v>
      </c>
      <c r="D52" s="39">
        <v>29906</v>
      </c>
      <c r="E52" s="39">
        <v>0</v>
      </c>
      <c r="F52" s="39">
        <v>24910</v>
      </c>
      <c r="G52" s="36">
        <f>Inputs!G200+D52</f>
        <v>29906</v>
      </c>
      <c r="H52" s="61">
        <v>0</v>
      </c>
      <c r="I52" s="2"/>
    </row>
    <row r="53">
      <c r="A53" s="4"/>
      <c r="B53" s="67" t="s">
        <v>425</v>
      </c>
      <c r="C53" s="39">
        <v>-545</v>
      </c>
      <c r="D53" s="39">
        <v>-754</v>
      </c>
      <c r="E53" s="39">
        <v>-843</v>
      </c>
      <c r="F53" s="39">
        <v>-962</v>
      </c>
      <c r="G53" s="36">
        <f>Inputs!G201+D53</f>
        <v>-2524</v>
      </c>
      <c r="H53" s="61">
        <v>-1000</v>
      </c>
      <c r="I53" s="2"/>
    </row>
    <row r="54">
      <c r="A54" s="4"/>
      <c r="B54" s="5" t="s">
        <v>426</v>
      </c>
      <c r="C54" s="7">
        <f>C53/Inputs!C149-1</f>
        <v>-0.42266949152542377</v>
      </c>
      <c r="D54" s="7">
        <f>D53/Inputs!D149-1</f>
        <v>0.8345498783454988</v>
      </c>
      <c r="E54" s="7">
        <f>E53/Inputs!E149-1</f>
        <v>0.12250332889480697</v>
      </c>
      <c r="F54" s="7">
        <f>F53/Inputs!F149-1</f>
        <v>1.0295358649789028</v>
      </c>
      <c r="G54" s="7">
        <f>G53/Inputs!G149-1</f>
        <v>0.28186896901980707</v>
      </c>
      <c r="H54" s="16">
        <f>H53/C53-1</f>
        <v>0.834862385321101</v>
      </c>
      <c r="I54" s="2"/>
    </row>
    <row r="55">
      <c r="A55" s="4"/>
      <c r="B55" s="23" t="s">
        <v>427</v>
      </c>
      <c r="C55" s="36">
        <f>C53-Inputs!F149</f>
        <v>-71</v>
      </c>
      <c r="D55" s="10">
        <f>D53-C53</f>
        <v>-209</v>
      </c>
      <c r="E55" s="10">
        <f>E53-D53</f>
        <v>-89</v>
      </c>
      <c r="F55" s="10">
        <f>F53-E53</f>
        <v>-119</v>
      </c>
      <c r="G55" s="10" t="s">
        <v>65</v>
      </c>
      <c r="H55" s="3">
        <f>H53-F53</f>
        <v>-38</v>
      </c>
      <c r="I55" s="2"/>
    </row>
    <row r="56">
      <c r="A56" s="4"/>
      <c r="B56" s="67" t="s">
        <v>428</v>
      </c>
      <c r="C56" s="39">
        <v>290</v>
      </c>
      <c r="D56" s="39">
        <v>1607</v>
      </c>
      <c r="E56" s="39">
        <v>59</v>
      </c>
      <c r="F56" s="39">
        <v>-2347</v>
      </c>
      <c r="G56" s="36">
        <f>Inputs!G202+D56</f>
        <v>2220</v>
      </c>
      <c r="H56" s="61">
        <v>0</v>
      </c>
      <c r="I56" s="2"/>
    </row>
    <row r="57">
      <c r="A57" s="4"/>
      <c r="B57" s="11" t="s">
        <v>429</v>
      </c>
      <c r="C57" s="37">
        <f>C45+C48+C49+C52+C53+C56</f>
        <v>-10047</v>
      </c>
      <c r="D57" s="37">
        <f>D45+D48+D49+D52+D53+D56</f>
        <v>25149</v>
      </c>
      <c r="E57" s="37">
        <f>E45+E48+E49+E52+E53+E56</f>
        <v>-6553</v>
      </c>
      <c r="F57" s="37">
        <f>F45+F48+F49+F52+F53+F56</f>
        <v>15967</v>
      </c>
      <c r="G57" s="37">
        <f>G45+G48+G49+G52+G53+G56</f>
        <v>-20370</v>
      </c>
      <c r="H57" s="65">
        <f>H45+H48+H49+H52+H53+H56</f>
        <v>-6655</v>
      </c>
      <c r="I57" s="2"/>
    </row>
    <row r="58">
      <c r="A58" s="4"/>
      <c r="B58" s="13" t="s">
        <v>430</v>
      </c>
      <c r="C58" s="39">
        <v>9</v>
      </c>
      <c r="D58" s="39">
        <v>-17</v>
      </c>
      <c r="E58" s="39">
        <v>7</v>
      </c>
      <c r="F58" s="39">
        <v>-7</v>
      </c>
      <c r="G58" s="36">
        <f>Inputs!G203+D58</f>
        <v>235</v>
      </c>
      <c r="H58" s="61">
        <v>0</v>
      </c>
      <c r="I58" s="2"/>
    </row>
    <row r="59">
      <c r="A59" s="4"/>
      <c r="B59" s="11" t="s">
        <v>431</v>
      </c>
      <c r="C59" s="37">
        <f>C26+C43+C57+C58</f>
        <v>-1887</v>
      </c>
      <c r="D59" s="37">
        <f>D26+D43+D57+D58</f>
        <v>27159</v>
      </c>
      <c r="E59" s="37">
        <f>E26+E43+E57+E58</f>
        <v>-7998</v>
      </c>
      <c r="F59" s="37">
        <f>F26+F43+F57+F58</f>
        <v>-1831</v>
      </c>
      <c r="G59" s="37">
        <f>G26+G43+G57+G58</f>
        <v>-6338</v>
      </c>
      <c r="H59" s="65">
        <f>H26+H43+H57+H58</f>
        <v>2029.8974662121764</v>
      </c>
      <c r="I59" s="2"/>
    </row>
    <row r="60">
      <c r="A60" s="4"/>
      <c r="B60" s="67" t="s">
        <v>432</v>
      </c>
      <c r="C60" s="36">
        <f>Inputs!C206</f>
        <v>13828</v>
      </c>
      <c r="D60" s="10">
        <f>C61</f>
        <v>11941</v>
      </c>
      <c r="E60" s="10">
        <f>D61</f>
        <v>39100</v>
      </c>
      <c r="F60" s="10">
        <f>E61</f>
        <v>31102</v>
      </c>
      <c r="G60" s="36">
        <f>Inputs!G205</f>
        <v>45438</v>
      </c>
      <c r="H60" s="3">
        <f>F61</f>
        <v>29271</v>
      </c>
      <c r="I60" s="2"/>
    </row>
    <row r="61">
      <c r="A61" s="4"/>
      <c r="B61" s="11" t="s">
        <v>433</v>
      </c>
      <c r="C61" s="37">
        <f>C60+C59</f>
        <v>11941</v>
      </c>
      <c r="D61" s="37">
        <f>D60+D59</f>
        <v>39100</v>
      </c>
      <c r="E61" s="37">
        <f>E60+E59</f>
        <v>31102</v>
      </c>
      <c r="F61" s="37">
        <f>F60+F59</f>
        <v>29271</v>
      </c>
      <c r="G61" s="37">
        <f>G60+G59</f>
        <v>39100</v>
      </c>
      <c r="H61" s="65">
        <f>H60+H59</f>
        <v>31300.897466212176</v>
      </c>
      <c r="I61" s="2"/>
    </row>
    <row r="62">
      <c r="A62" s="4"/>
      <c r="B62" s="67" t="s">
        <v>434</v>
      </c>
      <c r="C62" s="39">
        <v>142</v>
      </c>
      <c r="D62" s="39">
        <v>837</v>
      </c>
      <c r="E62" s="39">
        <v>340</v>
      </c>
      <c r="F62" s="39">
        <v>702</v>
      </c>
      <c r="G62" s="10">
        <f>D62</f>
        <v>837</v>
      </c>
      <c r="H62" s="3">
        <f>F62</f>
        <v>702</v>
      </c>
      <c r="I62" s="2" t="s">
        <v>435</v>
      </c>
    </row>
    <row r="63">
      <c r="A63" s="4"/>
      <c r="B63" s="67" t="s">
        <v>436</v>
      </c>
      <c r="C63" s="39">
        <v>1612</v>
      </c>
      <c r="D63" s="39">
        <v>2390</v>
      </c>
      <c r="E63" s="39">
        <v>7336</v>
      </c>
      <c r="F63" s="39">
        <v>13107</v>
      </c>
      <c r="G63" s="10">
        <f>D63</f>
        <v>2390</v>
      </c>
      <c r="H63" s="3">
        <f>F63</f>
        <v>13107</v>
      </c>
      <c r="I63" s="2"/>
    </row>
    <row r="64">
      <c r="A64" s="4"/>
      <c r="B64" s="11" t="s">
        <v>437</v>
      </c>
      <c r="C64" s="18">
        <f>C61-('Balance Sheet'!C10+C62+C63)</f>
        <v>0</v>
      </c>
      <c r="D64" s="18">
        <f>D61-('Balance Sheet'!D10+D62+D63)</f>
        <v>0</v>
      </c>
      <c r="E64" s="18">
        <f>E61-('Balance Sheet'!E10+E62+E63)</f>
        <v>0</v>
      </c>
      <c r="F64" s="18">
        <f>F61-('Balance Sheet'!F10+F62+F63)</f>
        <v>0</v>
      </c>
      <c r="G64" s="18">
        <f>G61-('Balance Sheet'!G10+G62+G63)</f>
        <v>0</v>
      </c>
      <c r="H64" s="24">
        <f>H61-('Balance Sheet'!H10+H62+H63)</f>
        <v>0</v>
      </c>
      <c r="I64" s="2" t="s">
        <v>438</v>
      </c>
    </row>
    <row r="65">
      <c r="A65" s="4"/>
      <c r="B65" s="13"/>
      <c r="C65" s="4"/>
      <c r="D65" s="4"/>
      <c r="E65" s="4"/>
      <c r="F65" s="4"/>
      <c r="G65" s="4"/>
      <c r="H65" s="6"/>
      <c r="I65" s="2"/>
    </row>
    <row r="66">
      <c r="A66" s="4"/>
      <c r="B66" s="11" t="s">
        <v>439</v>
      </c>
      <c r="C66" s="12"/>
      <c r="D66" s="12"/>
      <c r="E66" s="12"/>
      <c r="F66" s="12"/>
      <c r="G66" s="12"/>
      <c r="H66" s="45"/>
      <c r="I66" s="2"/>
    </row>
    <row r="67">
      <c r="A67" s="4"/>
      <c r="B67" s="13" t="s">
        <v>440</v>
      </c>
      <c r="C67" s="10">
        <f>-(C31+C53)</f>
        <v>19374</v>
      </c>
      <c r="D67" s="10">
        <f>-(D31+D53)</f>
        <v>22137</v>
      </c>
      <c r="E67" s="10">
        <f>-(E31+E53)</f>
        <v>19840</v>
      </c>
      <c r="F67" s="10">
        <f>-(F31+F53)</f>
        <v>31078</v>
      </c>
      <c r="G67" s="10">
        <f>-(G31+G53)</f>
        <v>72215</v>
      </c>
      <c r="H67" s="3">
        <f>-(H31+H53)</f>
        <v>38000</v>
      </c>
      <c r="I67" s="2"/>
    </row>
    <row r="68">
      <c r="A68" s="4"/>
      <c r="B68" s="11" t="s">
        <v>441</v>
      </c>
      <c r="C68" s="37">
        <f>C26+C31+C53</f>
        <v>10625</v>
      </c>
      <c r="D68" s="37">
        <f>D26+D31+D53</f>
        <v>14077</v>
      </c>
      <c r="E68" s="37">
        <f>E26+E31+E53</f>
        <v>12386</v>
      </c>
      <c r="F68" s="37">
        <f>F26+F31+F53</f>
        <v>784</v>
      </c>
      <c r="G68" s="37">
        <f>G26+G31+G53</f>
        <v>43585</v>
      </c>
      <c r="H68" s="65">
        <f>H26+H31+H53</f>
        <v>-4315.102533787824</v>
      </c>
      <c r="I68" s="2"/>
    </row>
    <row r="69">
      <c r="A69" s="4"/>
      <c r="B69" s="67" t="s">
        <v>442</v>
      </c>
      <c r="C69" s="39">
        <v>10625</v>
      </c>
      <c r="D69" s="39">
        <v>14077</v>
      </c>
      <c r="E69" s="39">
        <v>12386</v>
      </c>
      <c r="F69" s="39">
        <v>784</v>
      </c>
      <c r="G69" s="39">
        <v>43585</v>
      </c>
      <c r="H69" s="3"/>
      <c r="I69" s="2" t="s">
        <v>161</v>
      </c>
    </row>
    <row r="70">
      <c r="A70" s="4"/>
      <c r="B70" s="5" t="s">
        <v>443</v>
      </c>
      <c r="C70" s="7">
        <f>C68/'Income Statement'!C9</f>
        <v>0.2073494399125717</v>
      </c>
      <c r="D70" s="7">
        <f>D68/'Income Statement'!D9</f>
        <v>0.2350358138680647</v>
      </c>
      <c r="E70" s="7">
        <f>E68/'Income Statement'!E9</f>
        <v>0.2199570243824475</v>
      </c>
      <c r="F70" s="7">
        <f>F68/'Income Statement'!F9</f>
        <v>0.012894524761105903</v>
      </c>
      <c r="G70" s="7">
        <f>G68/'Income Statement'!G9</f>
        <v>0.2168774817630843</v>
      </c>
      <c r="H70" s="50">
        <f>H68/'Income Statement'!H9</f>
        <v>-0.0675740997587971</v>
      </c>
      <c r="I70" s="2"/>
    </row>
    <row r="71">
      <c r="A71" s="4"/>
      <c r="B71" s="23" t="s">
        <v>444</v>
      </c>
      <c r="C71" s="70" t="s">
        <v>68</v>
      </c>
      <c r="D71" s="70">
        <f>(D70-C70)*10000</f>
        <v>276.86373955493</v>
      </c>
      <c r="E71" s="70">
        <f>(E70-D70)*10000</f>
        <v>-150.78789485617222</v>
      </c>
      <c r="F71" s="70">
        <f>(F70-E70)*10000</f>
        <v>-2070.624996213416</v>
      </c>
      <c r="G71" s="70" t="s">
        <v>65</v>
      </c>
      <c r="H71" s="66">
        <f>(H70-F70)*10000</f>
        <v>-804.6862451990299</v>
      </c>
      <c r="I71" s="2" t="s">
        <v>445</v>
      </c>
    </row>
    <row r="72">
      <c r="A72" s="4"/>
      <c r="B72" s="67" t="s">
        <v>446</v>
      </c>
      <c r="C72" s="39">
        <v>749</v>
      </c>
      <c r="D72" s="39">
        <v>1285</v>
      </c>
      <c r="E72" s="39">
        <v>541</v>
      </c>
      <c r="F72" s="39">
        <v>1458</v>
      </c>
      <c r="G72" s="36">
        <f>Inputs!G204+D72</f>
        <v>7578</v>
      </c>
      <c r="H72" s="3" t="s">
        <v>65</v>
      </c>
      <c r="I72" s="2" t="s">
        <v>447</v>
      </c>
    </row>
    <row r="73">
      <c r="A73" s="4"/>
      <c r="B73" s="4"/>
      <c r="C73" s="4"/>
      <c r="D73" s="4"/>
      <c r="E73" s="4"/>
      <c r="F73" s="4"/>
      <c r="G73" s="4"/>
      <c r="H73" s="4"/>
      <c r="I73" s="4"/>
    </row>
    <row r="74">
      <c r="A74" s="4"/>
      <c r="B74" s="4"/>
      <c r="C74" s="4"/>
      <c r="D74" s="4"/>
      <c r="E74" s="4"/>
      <c r="F74" s="4"/>
      <c r="G74" s="4"/>
      <c r="H74" s="4"/>
      <c r="I74" s="4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I12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448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449</v>
      </c>
      <c r="C9" s="12"/>
      <c r="D9" s="12"/>
      <c r="E9" s="12"/>
      <c r="F9" s="12"/>
      <c r="G9" s="12"/>
      <c r="H9" s="45"/>
      <c r="I9" s="2"/>
    </row>
    <row r="10">
      <c r="A10" s="4"/>
      <c r="B10" s="67" t="s">
        <v>450</v>
      </c>
      <c r="C10" s="39">
        <v>21751</v>
      </c>
      <c r="D10" s="39">
        <v>26472</v>
      </c>
      <c r="E10" s="39">
        <v>24079</v>
      </c>
      <c r="F10" s="39">
        <v>26816</v>
      </c>
      <c r="G10" s="36">
        <f>Inputs!E154+Inputs!F154+C10+D10</f>
        <v>87199</v>
      </c>
      <c r="H10" s="3">
        <f>C10*(1+H11)</f>
        <v>27623.77</v>
      </c>
      <c r="I10" s="2" t="s">
        <v>451</v>
      </c>
    </row>
    <row r="11">
      <c r="A11" s="4"/>
      <c r="B11" s="5" t="s">
        <v>452</v>
      </c>
      <c r="C11" s="7">
        <f>C10/Inputs!C154-1</f>
        <v>0.23522062581634384</v>
      </c>
      <c r="D11" s="7">
        <f>D10/Inputs!D154-1</f>
        <v>0.21525960611486017</v>
      </c>
      <c r="E11" s="7">
        <f>E10/Inputs!E154-1</f>
        <v>0.29422198333781235</v>
      </c>
      <c r="F11" s="7">
        <f>F10/Inputs!F154-1</f>
        <v>0.3163811300377988</v>
      </c>
      <c r="G11" s="1" t="s">
        <v>65</v>
      </c>
      <c r="H11" s="42">
        <v>0.27</v>
      </c>
      <c r="I11" s="2" t="s">
        <v>453</v>
      </c>
    </row>
    <row r="12">
      <c r="A12" s="4"/>
      <c r="B12" s="5" t="s">
        <v>454</v>
      </c>
      <c r="C12" s="7">
        <f>C10/Inputs!F154-1</f>
        <v>0.0677433606597615</v>
      </c>
      <c r="D12" s="1">
        <f>D10/C10-1</f>
        <v>0.21704749206933016</v>
      </c>
      <c r="E12" s="1">
        <f>E10/D10-1</f>
        <v>-0.09039740102750071</v>
      </c>
      <c r="F12" s="1">
        <f>F10/E10-1</f>
        <v>0.11366751110926532</v>
      </c>
      <c r="G12" s="1" t="s">
        <v>65</v>
      </c>
      <c r="H12" s="16">
        <f>H10/F10-1</f>
        <v>0.030122687947494065</v>
      </c>
      <c r="I12" s="2"/>
    </row>
    <row r="13">
      <c r="A13" s="4"/>
      <c r="B13" s="5" t="s">
        <v>455</v>
      </c>
      <c r="C13" s="1">
        <f>C10/C43</f>
        <v>0.42447601576831506</v>
      </c>
      <c r="D13" s="1">
        <f>D10/D43</f>
        <v>0.44198821231195634</v>
      </c>
      <c r="E13" s="1">
        <f>E10/E43</f>
        <v>0.4276073946475822</v>
      </c>
      <c r="F13" s="1">
        <f>F10/F43</f>
        <v>0.4410453775431325</v>
      </c>
      <c r="G13" s="1">
        <f>G10/G43</f>
        <v>0.43389926654259925</v>
      </c>
      <c r="H13" s="16">
        <f>H10/H43</f>
        <v>0.43258563964075925</v>
      </c>
      <c r="I13" s="2"/>
    </row>
    <row r="14">
      <c r="A14" s="4"/>
      <c r="B14" s="23" t="s">
        <v>456</v>
      </c>
      <c r="C14" s="36">
        <f>C10-Inputs!F154</f>
        <v>1380</v>
      </c>
      <c r="D14" s="10">
        <f>D10-C10</f>
        <v>4721</v>
      </c>
      <c r="E14" s="10">
        <f>E10-D10</f>
        <v>-2393</v>
      </c>
      <c r="F14" s="10">
        <f>F10-E10</f>
        <v>2737</v>
      </c>
      <c r="G14" s="10" t="s">
        <v>65</v>
      </c>
      <c r="H14" s="3">
        <f>H10-F10</f>
        <v>807.7700000000004</v>
      </c>
      <c r="I14" s="2"/>
    </row>
    <row r="15">
      <c r="A15" s="4"/>
      <c r="B15" s="5" t="s">
        <v>457</v>
      </c>
      <c r="C15" s="1" t="s">
        <v>68</v>
      </c>
      <c r="D15" s="1" t="s">
        <v>68</v>
      </c>
      <c r="E15" s="1" t="s">
        <v>68</v>
      </c>
      <c r="F15" s="1" t="s">
        <v>68</v>
      </c>
      <c r="G15" s="1" t="s">
        <v>68</v>
      </c>
      <c r="H15" s="16" t="s">
        <v>68</v>
      </c>
      <c r="I15" s="2" t="s">
        <v>458</v>
      </c>
    </row>
    <row r="16">
      <c r="A16" s="4"/>
      <c r="B16" s="5" t="s">
        <v>459</v>
      </c>
      <c r="C16" s="1" t="s">
        <v>68</v>
      </c>
      <c r="D16" s="1" t="s">
        <v>68</v>
      </c>
      <c r="E16" s="1" t="s">
        <v>68</v>
      </c>
      <c r="F16" s="1" t="s">
        <v>68</v>
      </c>
      <c r="G16" s="1" t="s">
        <v>68</v>
      </c>
      <c r="H16" s="16" t="s">
        <v>68</v>
      </c>
      <c r="I16" s="2"/>
    </row>
    <row r="17">
      <c r="A17" s="4"/>
      <c r="B17" s="5" t="s">
        <v>460</v>
      </c>
      <c r="C17" s="1" t="str">
        <f>IFERROR((1+C11)/((1+C16)*(1+C15))-1,"n/a")</f>
        <v>n/a</v>
      </c>
      <c r="D17" s="1" t="str">
        <f>IFERROR((1+D11)/((1+D16)*(1+D15))-1,"n/a")</f>
        <v>n/a</v>
      </c>
      <c r="E17" s="1" t="str">
        <f>IFERROR((1+E11)/((1+E16)*(1+E15))-1,"n/a")</f>
        <v>n/a</v>
      </c>
      <c r="F17" s="1" t="str">
        <f>IFERROR((1+F11)/((1+F16)*(1+F15))-1,"n/a")</f>
        <v>n/a</v>
      </c>
      <c r="G17" s="1" t="str">
        <f>IFERROR((1+G11)/((1+G16)*(1+G15))-1,"n/a")</f>
        <v>n/a</v>
      </c>
      <c r="H17" s="16" t="str">
        <f>IFERROR((1+H11)/((1+H16)*(1+H15))-1,"n/a")</f>
        <v>n/a</v>
      </c>
      <c r="I17" s="2"/>
    </row>
    <row r="18">
      <c r="A18" s="4"/>
      <c r="B18" s="67" t="s">
        <v>461</v>
      </c>
      <c r="C18" s="39">
        <v>12268</v>
      </c>
      <c r="D18" s="39">
        <v>14480</v>
      </c>
      <c r="E18" s="39">
        <v>13500</v>
      </c>
      <c r="F18" s="39">
        <v>14296</v>
      </c>
      <c r="G18" s="36">
        <f>Inputs!E155+Inputs!F155+C18+D18</f>
        <v>47960</v>
      </c>
      <c r="H18" s="3">
        <f>C18*(1+H19)</f>
        <v>14844.279999999999</v>
      </c>
      <c r="I18" s="2" t="s">
        <v>451</v>
      </c>
    </row>
    <row r="19">
      <c r="A19" s="4"/>
      <c r="B19" s="5" t="s">
        <v>462</v>
      </c>
      <c r="C19" s="7">
        <f>C18/Inputs!C155-1</f>
        <v>0.2924568057311421</v>
      </c>
      <c r="D19" s="7">
        <f>D18/Inputs!D155-1</f>
        <v>0.25880205163870285</v>
      </c>
      <c r="E19" s="7">
        <f>E18/Inputs!E155-1</f>
        <v>0.3946280991735538</v>
      </c>
      <c r="F19" s="7">
        <f>F18/Inputs!F155-1</f>
        <v>0.2396808879639265</v>
      </c>
      <c r="G19" s="1" t="s">
        <v>65</v>
      </c>
      <c r="H19" s="42">
        <v>0.21</v>
      </c>
      <c r="I19" s="2" t="s">
        <v>453</v>
      </c>
    </row>
    <row r="20">
      <c r="A20" s="4"/>
      <c r="B20" s="5" t="s">
        <v>463</v>
      </c>
      <c r="C20" s="7">
        <f>C18/Inputs!F155-1</f>
        <v>0.06382240721470689</v>
      </c>
      <c r="D20" s="1">
        <f>D18/C18-1</f>
        <v>0.18030648842517127</v>
      </c>
      <c r="E20" s="1">
        <f>E18/D18-1</f>
        <v>-0.06767955801104975</v>
      </c>
      <c r="F20" s="1">
        <f>F18/E18-1</f>
        <v>0.058962962962962884</v>
      </c>
      <c r="G20" s="1" t="s">
        <v>65</v>
      </c>
      <c r="H20" s="16">
        <f>H18/F18-1</f>
        <v>0.03835198656966976</v>
      </c>
      <c r="I20" s="2"/>
    </row>
    <row r="21">
      <c r="A21" s="4"/>
      <c r="B21" s="5" t="s">
        <v>464</v>
      </c>
      <c r="C21" s="1">
        <f>C18/C43</f>
        <v>0.23941298153858162</v>
      </c>
      <c r="D21" s="1">
        <f>D18/D43</f>
        <v>0.24176447998931427</v>
      </c>
      <c r="E21" s="1">
        <f>E18/E43</f>
        <v>0.2397400152723269</v>
      </c>
      <c r="F21" s="1">
        <f>F18/F43</f>
        <v>0.23512771171526783</v>
      </c>
      <c r="G21" s="1">
        <f>G18/G43</f>
        <v>0.23864733337977567</v>
      </c>
      <c r="H21" s="16">
        <f>H18/H43</f>
        <v>0.23246002840331095</v>
      </c>
      <c r="I21" s="2"/>
    </row>
    <row r="22">
      <c r="A22" s="4"/>
      <c r="B22" s="23" t="s">
        <v>465</v>
      </c>
      <c r="C22" s="36">
        <f>C18-Inputs!F155</f>
        <v>736</v>
      </c>
      <c r="D22" s="10">
        <f>D18-C18</f>
        <v>2212</v>
      </c>
      <c r="E22" s="10">
        <f>E18-D18</f>
        <v>-980</v>
      </c>
      <c r="F22" s="10">
        <f>F18-E18</f>
        <v>796</v>
      </c>
      <c r="G22" s="10" t="s">
        <v>65</v>
      </c>
      <c r="H22" s="3">
        <f>H18-F18</f>
        <v>548.2799999999988</v>
      </c>
      <c r="I22" s="2"/>
    </row>
    <row r="23">
      <c r="A23" s="4"/>
      <c r="B23" s="5" t="s">
        <v>466</v>
      </c>
      <c r="C23" s="1" t="s">
        <v>68</v>
      </c>
      <c r="D23" s="1" t="s">
        <v>68</v>
      </c>
      <c r="E23" s="1" t="s">
        <v>68</v>
      </c>
      <c r="F23" s="1" t="s">
        <v>68</v>
      </c>
      <c r="G23" s="1" t="s">
        <v>68</v>
      </c>
      <c r="H23" s="16" t="s">
        <v>68</v>
      </c>
      <c r="I23" s="2" t="s">
        <v>458</v>
      </c>
    </row>
    <row r="24">
      <c r="A24" s="4"/>
      <c r="B24" s="5" t="s">
        <v>467</v>
      </c>
      <c r="C24" s="1" t="s">
        <v>68</v>
      </c>
      <c r="D24" s="1" t="s">
        <v>68</v>
      </c>
      <c r="E24" s="1" t="s">
        <v>68</v>
      </c>
      <c r="F24" s="1" t="s">
        <v>68</v>
      </c>
      <c r="G24" s="1" t="s">
        <v>68</v>
      </c>
      <c r="H24" s="16" t="s">
        <v>68</v>
      </c>
      <c r="I24" s="2"/>
    </row>
    <row r="25">
      <c r="A25" s="4"/>
      <c r="B25" s="5" t="s">
        <v>468</v>
      </c>
      <c r="C25" s="1" t="str">
        <f>IFERROR((1+C19)/((1+C24)*(1+C23))-1,"n/a")</f>
        <v>n/a</v>
      </c>
      <c r="D25" s="1" t="str">
        <f>IFERROR((1+D19)/((1+D24)*(1+D23))-1,"n/a")</f>
        <v>n/a</v>
      </c>
      <c r="E25" s="1" t="str">
        <f>IFERROR((1+E19)/((1+E24)*(1+E23))-1,"n/a")</f>
        <v>n/a</v>
      </c>
      <c r="F25" s="1" t="str">
        <f>IFERROR((1+F19)/((1+F24)*(1+F23))-1,"n/a")</f>
        <v>n/a</v>
      </c>
      <c r="G25" s="1" t="str">
        <f>IFERROR((1+G19)/((1+G24)*(1+G23))-1,"n/a")</f>
        <v>n/a</v>
      </c>
      <c r="H25" s="16" t="str">
        <f>IFERROR((1+H19)/((1+H24)*(1+H23))-1,"n/a")</f>
        <v>n/a</v>
      </c>
      <c r="I25" s="2"/>
    </row>
    <row r="26">
      <c r="A26" s="4"/>
      <c r="B26" s="67" t="s">
        <v>469</v>
      </c>
      <c r="C26" s="39">
        <v>10272</v>
      </c>
      <c r="D26" s="39">
        <v>11182</v>
      </c>
      <c r="E26" s="39">
        <v>10914</v>
      </c>
      <c r="F26" s="39">
        <v>11164</v>
      </c>
      <c r="G26" s="36">
        <f>Inputs!E156+Inputs!F156+C26+D26</f>
        <v>39259</v>
      </c>
      <c r="H26" s="3">
        <f>C26*(1+H27)</f>
        <v>11915.519999999999</v>
      </c>
      <c r="I26" s="2" t="s">
        <v>451</v>
      </c>
    </row>
    <row r="27">
      <c r="A27" s="4"/>
      <c r="B27" s="5" t="s">
        <v>470</v>
      </c>
      <c r="C27" s="7">
        <f>C26/Inputs!C156-1</f>
        <v>0.24963503649635044</v>
      </c>
      <c r="D27" s="7">
        <f>D26/Inputs!D156-1</f>
        <v>0.20951865873445108</v>
      </c>
      <c r="E27" s="7">
        <f>E26/Inputs!E156-1</f>
        <v>0.2932811944543192</v>
      </c>
      <c r="F27" s="7">
        <f>F26/Inputs!F156-1</f>
        <v>0.19197095878710235</v>
      </c>
      <c r="G27" s="1" t="s">
        <v>65</v>
      </c>
      <c r="H27" s="42">
        <v>0.16</v>
      </c>
      <c r="I27" s="2" t="s">
        <v>453</v>
      </c>
    </row>
    <row r="28">
      <c r="A28" s="4"/>
      <c r="B28" s="5" t="s">
        <v>471</v>
      </c>
      <c r="C28" s="7">
        <f>C26/Inputs!F156-1</f>
        <v>0.09673286354900701</v>
      </c>
      <c r="D28" s="1">
        <f>D26/C26-1</f>
        <v>0.08859034267912769</v>
      </c>
      <c r="E28" s="1">
        <f>E26/D26-1</f>
        <v>-0.02396708996601682</v>
      </c>
      <c r="F28" s="1">
        <f>F26/E26-1</f>
        <v>0.022906358805204308</v>
      </c>
      <c r="G28" s="1" t="s">
        <v>65</v>
      </c>
      <c r="H28" s="16">
        <f>H26/F26-1</f>
        <v>0.06731637405947666</v>
      </c>
      <c r="I28" s="2"/>
    </row>
    <row r="29">
      <c r="A29" s="4"/>
      <c r="B29" s="5" t="s">
        <v>472</v>
      </c>
      <c r="C29" s="1">
        <f>C26/C43</f>
        <v>0.20046055969712345</v>
      </c>
      <c r="D29" s="1">
        <f>D26/D43</f>
        <v>0.18669961431219007</v>
      </c>
      <c r="E29" s="1">
        <f>E26/E43</f>
        <v>0.19381648345793895</v>
      </c>
      <c r="F29" s="1">
        <f>F26/F43</f>
        <v>0.18361540106248253</v>
      </c>
      <c r="G29" s="1">
        <f>G26/G43</f>
        <v>0.19535145248449987</v>
      </c>
      <c r="H29" s="16">
        <f>H26/H43</f>
        <v>0.1865959223108308</v>
      </c>
      <c r="I29" s="2"/>
    </row>
    <row r="30">
      <c r="A30" s="4"/>
      <c r="B30" s="23" t="s">
        <v>473</v>
      </c>
      <c r="C30" s="36">
        <f>C26-Inputs!F156</f>
        <v>906</v>
      </c>
      <c r="D30" s="10">
        <f>D26-C26</f>
        <v>910</v>
      </c>
      <c r="E30" s="10">
        <f>E26-D26</f>
        <v>-268</v>
      </c>
      <c r="F30" s="10">
        <f>F26-E26</f>
        <v>250</v>
      </c>
      <c r="G30" s="10" t="s">
        <v>65</v>
      </c>
      <c r="H30" s="3">
        <f>H26-F26</f>
        <v>751.5199999999986</v>
      </c>
      <c r="I30" s="2"/>
    </row>
    <row r="31">
      <c r="A31" s="4"/>
      <c r="B31" s="5" t="s">
        <v>474</v>
      </c>
      <c r="C31" s="1" t="s">
        <v>68</v>
      </c>
      <c r="D31" s="1" t="s">
        <v>68</v>
      </c>
      <c r="E31" s="1" t="s">
        <v>68</v>
      </c>
      <c r="F31" s="1" t="s">
        <v>68</v>
      </c>
      <c r="G31" s="1" t="s">
        <v>68</v>
      </c>
      <c r="H31" s="16" t="s">
        <v>68</v>
      </c>
      <c r="I31" s="2" t="s">
        <v>458</v>
      </c>
    </row>
    <row r="32">
      <c r="A32" s="4"/>
      <c r="B32" s="5" t="s">
        <v>475</v>
      </c>
      <c r="C32" s="1" t="s">
        <v>68</v>
      </c>
      <c r="D32" s="1" t="s">
        <v>68</v>
      </c>
      <c r="E32" s="1" t="s">
        <v>68</v>
      </c>
      <c r="F32" s="1" t="s">
        <v>68</v>
      </c>
      <c r="G32" s="1" t="s">
        <v>68</v>
      </c>
      <c r="H32" s="16" t="s">
        <v>68</v>
      </c>
      <c r="I32" s="2"/>
    </row>
    <row r="33">
      <c r="A33" s="4"/>
      <c r="B33" s="5" t="s">
        <v>476</v>
      </c>
      <c r="C33" s="1" t="str">
        <f>IFERROR((1+C27)/((1+C32)*(1+C31))-1,"n/a")</f>
        <v>n/a</v>
      </c>
      <c r="D33" s="1" t="str">
        <f>IFERROR((1+D27)/((1+D32)*(1+D31))-1,"n/a")</f>
        <v>n/a</v>
      </c>
      <c r="E33" s="1" t="str">
        <f>IFERROR((1+E27)/((1+E32)*(1+E31))-1,"n/a")</f>
        <v>n/a</v>
      </c>
      <c r="F33" s="1" t="str">
        <f>IFERROR((1+F27)/((1+F32)*(1+F31))-1,"n/a")</f>
        <v>n/a</v>
      </c>
      <c r="G33" s="1" t="str">
        <f>IFERROR((1+G27)/((1+G32)*(1+G31))-1,"n/a")</f>
        <v>n/a</v>
      </c>
      <c r="H33" s="16" t="str">
        <f>IFERROR((1+H27)/((1+H32)*(1+H31))-1,"n/a")</f>
        <v>n/a</v>
      </c>
      <c r="I33" s="2"/>
    </row>
    <row r="34">
      <c r="A34" s="4"/>
      <c r="B34" s="67" t="s">
        <v>477</v>
      </c>
      <c r="C34" s="39">
        <v>6951</v>
      </c>
      <c r="D34" s="39">
        <v>7759</v>
      </c>
      <c r="E34" s="39">
        <v>7818</v>
      </c>
      <c r="F34" s="39">
        <v>8525</v>
      </c>
      <c r="G34" s="36">
        <f>Inputs!E157+Inputs!F157+C34+D34</f>
        <v>26547</v>
      </c>
      <c r="H34" s="3">
        <f>H43-H10-H18-H26</f>
        <v>9473.77400000001</v>
      </c>
      <c r="I34" s="2" t="s">
        <v>478</v>
      </c>
    </row>
    <row r="35">
      <c r="A35" s="4"/>
      <c r="B35" s="5" t="s">
        <v>479</v>
      </c>
      <c r="C35" s="7">
        <f>C34/Inputs!C157-1</f>
        <v>0.3194760820045559</v>
      </c>
      <c r="D35" s="7">
        <f>D34/Inputs!D157-1</f>
        <v>0.3254185172531603</v>
      </c>
      <c r="E35" s="7">
        <f>E34/Inputs!E157-1</f>
        <v>0.3985688729874777</v>
      </c>
      <c r="F35" s="7">
        <f>F34/Inputs!F157-1</f>
        <v>0.36465503441652003</v>
      </c>
      <c r="G35" s="1" t="s">
        <v>65</v>
      </c>
      <c r="H35" s="16">
        <f>H34/C34-1</f>
        <v>0.3629368436196245</v>
      </c>
      <c r="I35" s="2" t="s">
        <v>480</v>
      </c>
    </row>
    <row r="36">
      <c r="A36" s="4"/>
      <c r="B36" s="5" t="s">
        <v>481</v>
      </c>
      <c r="C36" s="7">
        <f>C34/Inputs!F157-1</f>
        <v>0.11269409316471912</v>
      </c>
      <c r="D36" s="1">
        <f>D34/C34-1</f>
        <v>0.11624226729966902</v>
      </c>
      <c r="E36" s="1">
        <f>E34/D34-1</f>
        <v>0.007604072689779695</v>
      </c>
      <c r="F36" s="1">
        <f>F34/E34-1</f>
        <v>0.0904323356357124</v>
      </c>
      <c r="G36" s="1" t="s">
        <v>65</v>
      </c>
      <c r="H36" s="16">
        <f>H34/F34-1</f>
        <v>0.11129313782991335</v>
      </c>
      <c r="I36" s="2"/>
    </row>
    <row r="37">
      <c r="A37" s="4"/>
      <c r="B37" s="5" t="s">
        <v>482</v>
      </c>
      <c r="C37" s="1">
        <f>C34/C43</f>
        <v>0.13565044299597986</v>
      </c>
      <c r="D37" s="1">
        <f>D34/D43</f>
        <v>0.12954769338653932</v>
      </c>
      <c r="E37" s="1">
        <f>E34/E43</f>
        <v>0.13883610662215198</v>
      </c>
      <c r="F37" s="1">
        <f>F34/F43</f>
        <v>0.1402115096791171</v>
      </c>
      <c r="G37" s="1">
        <f>G34/G43</f>
        <v>0.1320969716270414</v>
      </c>
      <c r="H37" s="16">
        <f>H34/H43</f>
        <v>0.14835840964509908</v>
      </c>
      <c r="I37" s="2"/>
    </row>
    <row r="38">
      <c r="A38" s="4"/>
      <c r="B38" s="23" t="s">
        <v>483</v>
      </c>
      <c r="C38" s="36">
        <f>C34-Inputs!F157</f>
        <v>704</v>
      </c>
      <c r="D38" s="10">
        <f>D34-C34</f>
        <v>808</v>
      </c>
      <c r="E38" s="10">
        <f>E34-D34</f>
        <v>59</v>
      </c>
      <c r="F38" s="10">
        <f>F34-E34</f>
        <v>707</v>
      </c>
      <c r="G38" s="10" t="s">
        <v>65</v>
      </c>
      <c r="H38" s="3">
        <f>H34-F34</f>
        <v>948.7740000000103</v>
      </c>
      <c r="I38" s="2"/>
    </row>
    <row r="39">
      <c r="A39" s="4"/>
      <c r="B39" s="5" t="s">
        <v>484</v>
      </c>
      <c r="C39" s="1" t="s">
        <v>68</v>
      </c>
      <c r="D39" s="1" t="s">
        <v>68</v>
      </c>
      <c r="E39" s="1" t="s">
        <v>68</v>
      </c>
      <c r="F39" s="1" t="s">
        <v>68</v>
      </c>
      <c r="G39" s="1" t="s">
        <v>68</v>
      </c>
      <c r="H39" s="16" t="s">
        <v>68</v>
      </c>
      <c r="I39" s="2" t="s">
        <v>458</v>
      </c>
    </row>
    <row r="40">
      <c r="A40" s="4"/>
      <c r="B40" s="5" t="s">
        <v>485</v>
      </c>
      <c r="C40" s="1" t="s">
        <v>68</v>
      </c>
      <c r="D40" s="1" t="s">
        <v>68</v>
      </c>
      <c r="E40" s="1" t="s">
        <v>68</v>
      </c>
      <c r="F40" s="1" t="s">
        <v>68</v>
      </c>
      <c r="G40" s="1" t="s">
        <v>68</v>
      </c>
      <c r="H40" s="16" t="s">
        <v>68</v>
      </c>
      <c r="I40" s="2"/>
    </row>
    <row r="41">
      <c r="A41" s="4"/>
      <c r="B41" s="5" t="s">
        <v>486</v>
      </c>
      <c r="C41" s="1" t="str">
        <f>IFERROR((1+C35)/((1+C40)*(1+C39))-1,"n/a")</f>
        <v>n/a</v>
      </c>
      <c r="D41" s="1" t="str">
        <f>IFERROR((1+D35)/((1+D40)*(1+D39))-1,"n/a")</f>
        <v>n/a</v>
      </c>
      <c r="E41" s="1" t="str">
        <f>IFERROR((1+E35)/((1+E40)*(1+E39))-1,"n/a")</f>
        <v>n/a</v>
      </c>
      <c r="F41" s="1" t="str">
        <f>IFERROR((1+F35)/((1+F40)*(1+F39))-1,"n/a")</f>
        <v>n/a</v>
      </c>
      <c r="G41" s="1" t="str">
        <f>IFERROR((1+G35)/((1+G40)*(1+G39))-1,"n/a")</f>
        <v>n/a</v>
      </c>
      <c r="H41" s="16" t="str">
        <f>IFERROR((1+H35)/((1+H40)*(1+H39))-1,"n/a")</f>
        <v>n/a</v>
      </c>
      <c r="I41" s="2"/>
    </row>
    <row r="42">
      <c r="A42" s="4"/>
      <c r="B42" s="11" t="s">
        <v>487</v>
      </c>
      <c r="C42" s="37">
        <f>SUM(C10,C18,C26,C34)</f>
        <v>51242</v>
      </c>
      <c r="D42" s="37">
        <f>SUM(D10,D18,D26,D34)</f>
        <v>59893</v>
      </c>
      <c r="E42" s="37">
        <f>SUM(E10,E18,E26,E34)</f>
        <v>56311</v>
      </c>
      <c r="F42" s="37">
        <f>SUM(F10,F18,F26,F34)</f>
        <v>60801</v>
      </c>
      <c r="G42" s="37">
        <f>SUM(G10,G18,G26,G34)</f>
        <v>200965</v>
      </c>
      <c r="H42" s="65">
        <f>SUM(H10,H18,H26,H34)</f>
        <v>63857.34400000001</v>
      </c>
      <c r="I42" s="2"/>
    </row>
    <row r="43">
      <c r="A43" s="4"/>
      <c r="B43" s="67" t="s">
        <v>488</v>
      </c>
      <c r="C43" s="36">
        <f>'Revenue summary'!C38</f>
        <v>51242</v>
      </c>
      <c r="D43" s="36">
        <f>'Revenue summary'!D38</f>
        <v>59893</v>
      </c>
      <c r="E43" s="36">
        <f>'Revenue summary'!E38</f>
        <v>56311</v>
      </c>
      <c r="F43" s="36">
        <f>'Revenue summary'!F38</f>
        <v>60801</v>
      </c>
      <c r="G43" s="36">
        <f>'Revenue summary'!G38</f>
        <v>200966</v>
      </c>
      <c r="H43" s="52">
        <f>'Revenue summary'!H38</f>
        <v>63857.344000000005</v>
      </c>
      <c r="I43" s="2"/>
    </row>
    <row r="44">
      <c r="A44" s="4"/>
      <c r="B44" s="67" t="s">
        <v>489</v>
      </c>
      <c r="C44" s="10">
        <f>C42-C43</f>
        <v>0</v>
      </c>
      <c r="D44" s="10">
        <f>D42-D43</f>
        <v>0</v>
      </c>
      <c r="E44" s="10">
        <f>E42-E43</f>
        <v>0</v>
      </c>
      <c r="F44" s="10">
        <f>F42-F43</f>
        <v>0</v>
      </c>
      <c r="G44" s="10">
        <f>G42-G43</f>
        <v>-1</v>
      </c>
      <c r="H44" s="3">
        <f>H42-H43</f>
        <v>0</v>
      </c>
      <c r="I44" s="2" t="s">
        <v>490</v>
      </c>
    </row>
    <row r="45">
      <c r="A45" s="4"/>
      <c r="B45" s="67" t="s">
        <v>491</v>
      </c>
      <c r="C45" s="10">
        <f>IF(ABS(C44)&lt;=2,0,C44)</f>
        <v>0</v>
      </c>
      <c r="D45" s="10">
        <f>IF(ABS(D44)&lt;=2,0,D44)</f>
        <v>0</v>
      </c>
      <c r="E45" s="10">
        <f>IF(ABS(E44)&lt;=2,0,E44)</f>
        <v>0</v>
      </c>
      <c r="F45" s="10">
        <f>IF(ABS(F44)&lt;=2,0,F44)</f>
        <v>0</v>
      </c>
      <c r="G45" s="10">
        <f>IF(ABS(G44)&lt;=2,0,G44)</f>
        <v>0</v>
      </c>
      <c r="H45" s="3">
        <f>IF(ABS(H44)&lt;=2,0,H44)</f>
        <v>0</v>
      </c>
      <c r="I45" s="2" t="s">
        <v>492</v>
      </c>
    </row>
    <row r="46">
      <c r="A46" s="4"/>
      <c r="B46" s="13"/>
      <c r="C46" s="4"/>
      <c r="D46" s="4"/>
      <c r="E46" s="4"/>
      <c r="F46" s="4"/>
      <c r="G46" s="4"/>
      <c r="H46" s="6"/>
      <c r="I46" s="2"/>
    </row>
    <row r="47">
      <c r="A47" s="4"/>
      <c r="B47" s="11" t="s">
        <v>493</v>
      </c>
      <c r="C47" s="12"/>
      <c r="D47" s="12"/>
      <c r="E47" s="12"/>
      <c r="F47" s="12"/>
      <c r="G47" s="12"/>
      <c r="H47" s="45"/>
      <c r="I47" s="2"/>
    </row>
    <row r="48">
      <c r="A48" s="4"/>
      <c r="B48" s="67" t="s">
        <v>450</v>
      </c>
      <c r="C48" s="39">
        <v>21331</v>
      </c>
      <c r="D48" s="39">
        <v>25643</v>
      </c>
      <c r="E48" s="39">
        <v>23667</v>
      </c>
      <c r="F48" s="39">
        <v>26337</v>
      </c>
      <c r="G48" s="36">
        <f>Inputs!E158+Inputs!F158+C48+D48</f>
        <v>85278</v>
      </c>
      <c r="H48" s="3">
        <f>C48*(1+H49)</f>
        <v>27090.37</v>
      </c>
      <c r="I48" s="2" t="s">
        <v>138</v>
      </c>
    </row>
    <row r="49">
      <c r="A49" s="4"/>
      <c r="B49" s="5" t="s">
        <v>452</v>
      </c>
      <c r="C49" s="7">
        <f>C48/Inputs!C158-1</f>
        <v>0.2266950370924148</v>
      </c>
      <c r="D49" s="7">
        <f>D48/Inputs!D158-1</f>
        <v>0.22214278905728713</v>
      </c>
      <c r="E49" s="7">
        <f>E48/Inputs!E158-1</f>
        <v>0.29618270441973826</v>
      </c>
      <c r="F49" s="7">
        <f>F48/Inputs!F158-1</f>
        <v>0.3138937390870542</v>
      </c>
      <c r="G49" s="1" t="s">
        <v>65</v>
      </c>
      <c r="H49" s="42">
        <v>0.27</v>
      </c>
      <c r="I49" s="2" t="s">
        <v>494</v>
      </c>
    </row>
    <row r="50">
      <c r="A50" s="4"/>
      <c r="B50" s="5" t="s">
        <v>454</v>
      </c>
      <c r="C50" s="7">
        <f>C48/Inputs!F158-1</f>
        <v>0.06415564978797694</v>
      </c>
      <c r="D50" s="1">
        <f>D48/C48-1</f>
        <v>0.20214710984013884</v>
      </c>
      <c r="E50" s="1">
        <f>E48/D48-1</f>
        <v>-0.07705806652887726</v>
      </c>
      <c r="F50" s="1">
        <f>F48/E48-1</f>
        <v>0.1128153124603879</v>
      </c>
      <c r="G50" s="1" t="s">
        <v>65</v>
      </c>
      <c r="H50" s="16">
        <f>H48/F48-1</f>
        <v>0.028605004366480502</v>
      </c>
      <c r="I50" s="2"/>
    </row>
    <row r="51">
      <c r="A51" s="4"/>
      <c r="B51" s="23" t="s">
        <v>456</v>
      </c>
      <c r="C51" s="36">
        <f>C48-Inputs!F158</f>
        <v>1286</v>
      </c>
      <c r="D51" s="10">
        <f>D48-C48</f>
        <v>4312</v>
      </c>
      <c r="E51" s="10">
        <f>E48-D48</f>
        <v>-1976</v>
      </c>
      <c r="F51" s="10">
        <f>F48-E48</f>
        <v>2670</v>
      </c>
      <c r="G51" s="10" t="s">
        <v>65</v>
      </c>
      <c r="H51" s="3">
        <f>H48-F48</f>
        <v>753.369999999999</v>
      </c>
      <c r="I51" s="2"/>
    </row>
    <row r="52">
      <c r="A52" s="4"/>
      <c r="B52" s="5" t="s">
        <v>495</v>
      </c>
      <c r="C52" s="1">
        <f>C48/C81</f>
        <v>0.42592148875843616</v>
      </c>
      <c r="D52" s="1">
        <f>D48/D81</f>
        <v>0.4410788310370332</v>
      </c>
      <c r="E52" s="1">
        <f>E48/E81</f>
        <v>0.4301214015702239</v>
      </c>
      <c r="F52" s="1">
        <f>F48/F81</f>
        <v>0.44366019237572224</v>
      </c>
      <c r="G52" s="1">
        <f>G48/G81</f>
        <v>0.43470592433248034</v>
      </c>
      <c r="H52" s="16">
        <f>H48/H81</f>
        <v>0.43552358351305465</v>
      </c>
      <c r="I52" s="2"/>
    </row>
    <row r="53">
      <c r="A53" s="4"/>
      <c r="B53" s="5" t="s">
        <v>457</v>
      </c>
      <c r="C53" s="1" t="s">
        <v>68</v>
      </c>
      <c r="D53" s="1" t="s">
        <v>68</v>
      </c>
      <c r="E53" s="1" t="s">
        <v>68</v>
      </c>
      <c r="F53" s="1" t="s">
        <v>68</v>
      </c>
      <c r="G53" s="1" t="s">
        <v>68</v>
      </c>
      <c r="H53" s="16" t="s">
        <v>68</v>
      </c>
      <c r="I53" s="2" t="s">
        <v>458</v>
      </c>
    </row>
    <row r="54">
      <c r="A54" s="4"/>
      <c r="B54" s="5" t="s">
        <v>459</v>
      </c>
      <c r="C54" s="1" t="s">
        <v>68</v>
      </c>
      <c r="D54" s="1" t="s">
        <v>68</v>
      </c>
      <c r="E54" s="1" t="s">
        <v>68</v>
      </c>
      <c r="F54" s="1" t="s">
        <v>68</v>
      </c>
      <c r="G54" s="1" t="s">
        <v>68</v>
      </c>
      <c r="H54" s="16" t="s">
        <v>68</v>
      </c>
      <c r="I54" s="2"/>
    </row>
    <row r="55">
      <c r="A55" s="4"/>
      <c r="B55" s="5" t="s">
        <v>460</v>
      </c>
      <c r="C55" s="1" t="str">
        <f>IFERROR((1+C49)/((1+C54)*(1+C53))-1,"n/a")</f>
        <v>n/a</v>
      </c>
      <c r="D55" s="1" t="str">
        <f>IFERROR((1+D49)/((1+D54)*(1+D53))-1,"n/a")</f>
        <v>n/a</v>
      </c>
      <c r="E55" s="1" t="str">
        <f>IFERROR((1+E49)/((1+E54)*(1+E53))-1,"n/a")</f>
        <v>n/a</v>
      </c>
      <c r="F55" s="1" t="str">
        <f>IFERROR((1+F49)/((1+F54)*(1+F53))-1,"n/a")</f>
        <v>n/a</v>
      </c>
      <c r="G55" s="1" t="str">
        <f>IFERROR((1+G49)/((1+G54)*(1+G53))-1,"n/a")</f>
        <v>n/a</v>
      </c>
      <c r="H55" s="16" t="str">
        <f>IFERROR((1+H49)/((1+H54)*(1+H53))-1,"n/a")</f>
        <v>n/a</v>
      </c>
      <c r="I55" s="2"/>
    </row>
    <row r="56">
      <c r="A56" s="4"/>
      <c r="B56" s="67" t="s">
        <v>461</v>
      </c>
      <c r="C56" s="39">
        <v>12072</v>
      </c>
      <c r="D56" s="39">
        <v>14198</v>
      </c>
      <c r="E56" s="39">
        <v>13296</v>
      </c>
      <c r="F56" s="39">
        <v>14085</v>
      </c>
      <c r="G56" s="36">
        <f>Inputs!E159+Inputs!F159+C56+D56</f>
        <v>47163</v>
      </c>
      <c r="H56" s="3">
        <f>C56*(1+H57)</f>
        <v>14546.76</v>
      </c>
      <c r="I56" s="2" t="s">
        <v>138</v>
      </c>
    </row>
    <row r="57">
      <c r="A57" s="4"/>
      <c r="B57" s="5" t="s">
        <v>462</v>
      </c>
      <c r="C57" s="7">
        <f>C56/Inputs!C159-1</f>
        <v>0.29001923487924763</v>
      </c>
      <c r="D57" s="7">
        <f>D56/Inputs!D159-1</f>
        <v>0.2729065805988884</v>
      </c>
      <c r="E57" s="7">
        <f>E56/Inputs!E159-1</f>
        <v>0.39561246982260934</v>
      </c>
      <c r="F57" s="7">
        <f>F56/Inputs!F159-1</f>
        <v>0.2392222417737111</v>
      </c>
      <c r="G57" s="1" t="s">
        <v>65</v>
      </c>
      <c r="H57" s="42">
        <v>0.205</v>
      </c>
      <c r="I57" s="2" t="s">
        <v>494</v>
      </c>
    </row>
    <row r="58">
      <c r="A58" s="4"/>
      <c r="B58" s="5" t="s">
        <v>463</v>
      </c>
      <c r="C58" s="7">
        <f>C56/Inputs!F159-1</f>
        <v>0.06211508006334676</v>
      </c>
      <c r="D58" s="1">
        <f>D56/C56-1</f>
        <v>0.17611000662690524</v>
      </c>
      <c r="E58" s="1">
        <f>E56/D56-1</f>
        <v>-0.06353007465840255</v>
      </c>
      <c r="F58" s="1">
        <f>F56/E56-1</f>
        <v>0.059341155234656995</v>
      </c>
      <c r="G58" s="1" t="s">
        <v>65</v>
      </c>
      <c r="H58" s="16">
        <f>H56/F56-1</f>
        <v>0.032783812566560266</v>
      </c>
      <c r="I58" s="2"/>
    </row>
    <row r="59">
      <c r="A59" s="4"/>
      <c r="B59" s="23" t="s">
        <v>465</v>
      </c>
      <c r="C59" s="36">
        <f>C56-Inputs!F159</f>
        <v>706</v>
      </c>
      <c r="D59" s="10">
        <f>D56-C56</f>
        <v>2126</v>
      </c>
      <c r="E59" s="10">
        <f>E56-D56</f>
        <v>-902</v>
      </c>
      <c r="F59" s="10">
        <f>F56-E56</f>
        <v>789</v>
      </c>
      <c r="G59" s="10" t="s">
        <v>65</v>
      </c>
      <c r="H59" s="3">
        <f>H56-F56</f>
        <v>461.7600000000002</v>
      </c>
      <c r="I59" s="2"/>
    </row>
    <row r="60">
      <c r="A60" s="4"/>
      <c r="B60" s="5" t="s">
        <v>496</v>
      </c>
      <c r="C60" s="1">
        <f>C56/C81</f>
        <v>0.2410446867137894</v>
      </c>
      <c r="D60" s="1">
        <f>D56/D81</f>
        <v>0.24421624782840531</v>
      </c>
      <c r="E60" s="1">
        <f>E56/E81</f>
        <v>0.24164001163128818</v>
      </c>
      <c r="F60" s="1">
        <f>F56/F81</f>
        <v>0.23726900594646497</v>
      </c>
      <c r="G60" s="1">
        <f>G56/G81</f>
        <v>0.24041412215686075</v>
      </c>
      <c r="H60" s="16">
        <f>H56/H81</f>
        <v>0.23386380635275056</v>
      </c>
      <c r="I60" s="2"/>
    </row>
    <row r="61">
      <c r="A61" s="4"/>
      <c r="B61" s="5" t="s">
        <v>466</v>
      </c>
      <c r="C61" s="1" t="s">
        <v>68</v>
      </c>
      <c r="D61" s="1" t="s">
        <v>68</v>
      </c>
      <c r="E61" s="1" t="s">
        <v>68</v>
      </c>
      <c r="F61" s="1" t="s">
        <v>68</v>
      </c>
      <c r="G61" s="1" t="s">
        <v>68</v>
      </c>
      <c r="H61" s="16" t="s">
        <v>68</v>
      </c>
      <c r="I61" s="2" t="s">
        <v>458</v>
      </c>
    </row>
    <row r="62">
      <c r="A62" s="4"/>
      <c r="B62" s="5" t="s">
        <v>467</v>
      </c>
      <c r="C62" s="1" t="s">
        <v>68</v>
      </c>
      <c r="D62" s="1" t="s">
        <v>68</v>
      </c>
      <c r="E62" s="1" t="s">
        <v>68</v>
      </c>
      <c r="F62" s="1" t="s">
        <v>68</v>
      </c>
      <c r="G62" s="1" t="s">
        <v>68</v>
      </c>
      <c r="H62" s="16" t="s">
        <v>68</v>
      </c>
      <c r="I62" s="2"/>
    </row>
    <row r="63">
      <c r="A63" s="4"/>
      <c r="B63" s="5" t="s">
        <v>468</v>
      </c>
      <c r="C63" s="1" t="str">
        <f>IFERROR((1+C57)/((1+C62)*(1+C61))-1,"n/a")</f>
        <v>n/a</v>
      </c>
      <c r="D63" s="1" t="str">
        <f>IFERROR((1+D57)/((1+D62)*(1+D61))-1,"n/a")</f>
        <v>n/a</v>
      </c>
      <c r="E63" s="1" t="str">
        <f>IFERROR((1+E57)/((1+E62)*(1+E61))-1,"n/a")</f>
        <v>n/a</v>
      </c>
      <c r="F63" s="1" t="str">
        <f>IFERROR((1+F57)/((1+F62)*(1+F61))-1,"n/a")</f>
        <v>n/a</v>
      </c>
      <c r="G63" s="1" t="str">
        <f>IFERROR((1+G57)/((1+G62)*(1+G61))-1,"n/a")</f>
        <v>n/a</v>
      </c>
      <c r="H63" s="16" t="str">
        <f>IFERROR((1+H57)/((1+H62)*(1+H61))-1,"n/a")</f>
        <v>n/a</v>
      </c>
      <c r="I63" s="2"/>
    </row>
    <row r="64">
      <c r="A64" s="4"/>
      <c r="B64" s="67" t="s">
        <v>469</v>
      </c>
      <c r="C64" s="39">
        <v>10020</v>
      </c>
      <c r="D64" s="39">
        <v>10893</v>
      </c>
      <c r="E64" s="39">
        <v>10631</v>
      </c>
      <c r="F64" s="39">
        <v>10847</v>
      </c>
      <c r="G64" s="36">
        <f>Inputs!E160+Inputs!F160+C64+D64</f>
        <v>38285</v>
      </c>
      <c r="H64" s="3">
        <f>C64*(1+H65)</f>
        <v>11573.1</v>
      </c>
      <c r="I64" s="2" t="s">
        <v>138</v>
      </c>
    </row>
    <row r="65">
      <c r="A65" s="4"/>
      <c r="B65" s="5" t="s">
        <v>470</v>
      </c>
      <c r="C65" s="7">
        <f>C64/Inputs!C160-1</f>
        <v>0.2447204968944099</v>
      </c>
      <c r="D65" s="7">
        <f>D64/Inputs!D160-1</f>
        <v>0.20872170439414117</v>
      </c>
      <c r="E65" s="7">
        <f>E64/Inputs!E160-1</f>
        <v>0.2926799610894941</v>
      </c>
      <c r="F65" s="7">
        <f>F64/Inputs!F160-1</f>
        <v>0.18572365544381286</v>
      </c>
      <c r="G65" s="1" t="s">
        <v>65</v>
      </c>
      <c r="H65" s="42">
        <v>0.155</v>
      </c>
      <c r="I65" s="2" t="s">
        <v>494</v>
      </c>
    </row>
    <row r="66">
      <c r="A66" s="4"/>
      <c r="B66" s="5" t="s">
        <v>471</v>
      </c>
      <c r="C66" s="7">
        <f>C64/Inputs!F160-1</f>
        <v>0.09532138172278093</v>
      </c>
      <c r="D66" s="1">
        <f>D64/C64-1</f>
        <v>0.08712574850299393</v>
      </c>
      <c r="E66" s="1">
        <f>E64/D64-1</f>
        <v>-0.024052143578444873</v>
      </c>
      <c r="F66" s="1">
        <f>F64/E64-1</f>
        <v>0.0203179381055405</v>
      </c>
      <c r="G66" s="1" t="s">
        <v>65</v>
      </c>
      <c r="H66" s="16">
        <f>H64/F64-1</f>
        <v>0.06694016778832856</v>
      </c>
      <c r="I66" s="2"/>
    </row>
    <row r="67">
      <c r="A67" s="4"/>
      <c r="B67" s="23" t="s">
        <v>473</v>
      </c>
      <c r="C67" s="36">
        <f>C64-Inputs!F160</f>
        <v>872</v>
      </c>
      <c r="D67" s="10">
        <f>D64-C64</f>
        <v>873</v>
      </c>
      <c r="E67" s="10">
        <f>E64-D64</f>
        <v>-262</v>
      </c>
      <c r="F67" s="10">
        <f>F64-E64</f>
        <v>216</v>
      </c>
      <c r="G67" s="10" t="s">
        <v>65</v>
      </c>
      <c r="H67" s="3">
        <f>H64-F64</f>
        <v>726.1000000000004</v>
      </c>
      <c r="I67" s="2"/>
    </row>
    <row r="68">
      <c r="A68" s="4"/>
      <c r="B68" s="5" t="s">
        <v>497</v>
      </c>
      <c r="C68" s="1">
        <f>C64/C81</f>
        <v>0.20007188211333413</v>
      </c>
      <c r="D68" s="1">
        <f>D64/D81</f>
        <v>0.18736776923473863</v>
      </c>
      <c r="E68" s="1">
        <f>E64/E81</f>
        <v>0.19320660075603374</v>
      </c>
      <c r="F68" s="1">
        <f>F64/F81</f>
        <v>0.18272324511901353</v>
      </c>
      <c r="G68" s="1">
        <f>G64/G81</f>
        <v>0.1951583798056827</v>
      </c>
      <c r="H68" s="16">
        <f>H64/H81</f>
        <v>0.18605718505708607</v>
      </c>
      <c r="I68" s="2"/>
    </row>
    <row r="69">
      <c r="A69" s="4"/>
      <c r="B69" s="5" t="s">
        <v>474</v>
      </c>
      <c r="C69" s="1" t="s">
        <v>68</v>
      </c>
      <c r="D69" s="1" t="s">
        <v>68</v>
      </c>
      <c r="E69" s="1" t="s">
        <v>68</v>
      </c>
      <c r="F69" s="1" t="s">
        <v>68</v>
      </c>
      <c r="G69" s="1" t="s">
        <v>68</v>
      </c>
      <c r="H69" s="16" t="s">
        <v>68</v>
      </c>
      <c r="I69" s="2" t="s">
        <v>458</v>
      </c>
    </row>
    <row r="70">
      <c r="A70" s="4"/>
      <c r="B70" s="5" t="s">
        <v>475</v>
      </c>
      <c r="C70" s="1" t="s">
        <v>68</v>
      </c>
      <c r="D70" s="1" t="s">
        <v>68</v>
      </c>
      <c r="E70" s="1" t="s">
        <v>68</v>
      </c>
      <c r="F70" s="1" t="s">
        <v>68</v>
      </c>
      <c r="G70" s="1" t="s">
        <v>68</v>
      </c>
      <c r="H70" s="16" t="s">
        <v>68</v>
      </c>
      <c r="I70" s="2"/>
    </row>
    <row r="71">
      <c r="A71" s="4"/>
      <c r="B71" s="5" t="s">
        <v>476</v>
      </c>
      <c r="C71" s="1" t="str">
        <f>IFERROR((1+C65)/((1+C70)*(1+C69))-1,"n/a")</f>
        <v>n/a</v>
      </c>
      <c r="D71" s="1" t="str">
        <f>IFERROR((1+D65)/((1+D70)*(1+D69))-1,"n/a")</f>
        <v>n/a</v>
      </c>
      <c r="E71" s="1" t="str">
        <f>IFERROR((1+E65)/((1+E70)*(1+E69))-1,"n/a")</f>
        <v>n/a</v>
      </c>
      <c r="F71" s="1" t="str">
        <f>IFERROR((1+F65)/((1+F70)*(1+F69))-1,"n/a")</f>
        <v>n/a</v>
      </c>
      <c r="G71" s="1" t="str">
        <f>IFERROR((1+G65)/((1+G70)*(1+G69))-1,"n/a")</f>
        <v>n/a</v>
      </c>
      <c r="H71" s="16" t="str">
        <f>IFERROR((1+H65)/((1+H70)*(1+H69))-1,"n/a")</f>
        <v>n/a</v>
      </c>
      <c r="I71" s="2"/>
    </row>
    <row r="72">
      <c r="A72" s="4"/>
      <c r="B72" s="67" t="s">
        <v>477</v>
      </c>
      <c r="C72" s="39">
        <v>6659</v>
      </c>
      <c r="D72" s="39">
        <v>7403</v>
      </c>
      <c r="E72" s="39">
        <v>7430</v>
      </c>
      <c r="F72" s="39">
        <v>8094</v>
      </c>
      <c r="G72" s="36">
        <f>Inputs!E161+Inputs!F161+C72+D72</f>
        <v>25448</v>
      </c>
      <c r="H72" s="3">
        <f>H81-H48-H56-H64</f>
        <v>8991.614</v>
      </c>
      <c r="I72" s="2" t="s">
        <v>498</v>
      </c>
    </row>
    <row r="73">
      <c r="A73" s="4"/>
      <c r="B73" s="5" t="s">
        <v>479</v>
      </c>
      <c r="C73" s="7">
        <f>C72/Inputs!C161-1</f>
        <v>0.30876572327044016</v>
      </c>
      <c r="D73" s="7">
        <f>D72/Inputs!D161-1</f>
        <v>0.3137533274179236</v>
      </c>
      <c r="E73" s="7">
        <f>E72/Inputs!E161-1</f>
        <v>0.38052768487551103</v>
      </c>
      <c r="F73" s="7">
        <f>F72/Inputs!F161-1</f>
        <v>0.3481012658227849</v>
      </c>
      <c r="G73" s="1" t="s">
        <v>65</v>
      </c>
      <c r="H73" s="16">
        <f>H72/C72-1</f>
        <v>0.35029493918005694</v>
      </c>
      <c r="I73" s="2"/>
    </row>
    <row r="74">
      <c r="A74" s="4"/>
      <c r="B74" s="5" t="s">
        <v>481</v>
      </c>
      <c r="C74" s="7">
        <f>C72/Inputs!F161-1</f>
        <v>0.10909393737508322</v>
      </c>
      <c r="D74" s="1">
        <f>D72/C72-1</f>
        <v>0.11172848776092503</v>
      </c>
      <c r="E74" s="1">
        <f>E72/D72-1</f>
        <v>0.003647170066189309</v>
      </c>
      <c r="F74" s="1">
        <f>F72/E72-1</f>
        <v>0.08936742934051134</v>
      </c>
      <c r="G74" s="1" t="s">
        <v>65</v>
      </c>
      <c r="H74" s="16">
        <f>H72/F72-1</f>
        <v>0.11089869038794165</v>
      </c>
      <c r="I74" s="2"/>
    </row>
    <row r="75">
      <c r="A75" s="4"/>
      <c r="B75" s="23" t="s">
        <v>483</v>
      </c>
      <c r="C75" s="36">
        <f>C72-Inputs!F161</f>
        <v>655</v>
      </c>
      <c r="D75" s="10">
        <f>D72-C72</f>
        <v>744</v>
      </c>
      <c r="E75" s="10">
        <f>E72-D72</f>
        <v>27</v>
      </c>
      <c r="F75" s="10">
        <f>F72-E72</f>
        <v>664</v>
      </c>
      <c r="G75" s="10" t="s">
        <v>65</v>
      </c>
      <c r="H75" s="3">
        <f>H72-F72</f>
        <v>897.6139999999996</v>
      </c>
      <c r="I75" s="2"/>
    </row>
    <row r="76">
      <c r="A76" s="4"/>
      <c r="B76" s="5" t="s">
        <v>499</v>
      </c>
      <c r="C76" s="1">
        <f>C72/C81</f>
        <v>0.13296194241444032</v>
      </c>
      <c r="D76" s="1">
        <f>D72/D81</f>
        <v>0.12733715189982284</v>
      </c>
      <c r="E76" s="1">
        <f>E72/E81</f>
        <v>0.1350319860424542</v>
      </c>
      <c r="F76" s="1">
        <f>F72/F81</f>
        <v>0.13634755655879927</v>
      </c>
      <c r="G76" s="1">
        <f>G72/G81</f>
        <v>0.1297215737049762</v>
      </c>
      <c r="H76" s="16">
        <f>H72/H81</f>
        <v>0.14455542507710864</v>
      </c>
      <c r="I76" s="2"/>
    </row>
    <row r="77">
      <c r="A77" s="4"/>
      <c r="B77" s="5" t="s">
        <v>484</v>
      </c>
      <c r="C77" s="1" t="s">
        <v>68</v>
      </c>
      <c r="D77" s="1" t="s">
        <v>68</v>
      </c>
      <c r="E77" s="1" t="s">
        <v>68</v>
      </c>
      <c r="F77" s="1" t="s">
        <v>68</v>
      </c>
      <c r="G77" s="1" t="s">
        <v>68</v>
      </c>
      <c r="H77" s="16" t="s">
        <v>68</v>
      </c>
      <c r="I77" s="2" t="s">
        <v>458</v>
      </c>
    </row>
    <row r="78">
      <c r="A78" s="4"/>
      <c r="B78" s="5" t="s">
        <v>485</v>
      </c>
      <c r="C78" s="1" t="s">
        <v>68</v>
      </c>
      <c r="D78" s="1" t="s">
        <v>68</v>
      </c>
      <c r="E78" s="1" t="s">
        <v>68</v>
      </c>
      <c r="F78" s="1" t="s">
        <v>68</v>
      </c>
      <c r="G78" s="1" t="s">
        <v>68</v>
      </c>
      <c r="H78" s="16" t="s">
        <v>68</v>
      </c>
      <c r="I78" s="2"/>
    </row>
    <row r="79">
      <c r="A79" s="4"/>
      <c r="B79" s="5" t="s">
        <v>486</v>
      </c>
      <c r="C79" s="1" t="str">
        <f>IFERROR((1+C73)/((1+C78)*(1+C77))-1,"n/a")</f>
        <v>n/a</v>
      </c>
      <c r="D79" s="1" t="str">
        <f>IFERROR((1+D73)/((1+D78)*(1+D77))-1,"n/a")</f>
        <v>n/a</v>
      </c>
      <c r="E79" s="1" t="str">
        <f>IFERROR((1+E73)/((1+E78)*(1+E77))-1,"n/a")</f>
        <v>n/a</v>
      </c>
      <c r="F79" s="1" t="str">
        <f>IFERROR((1+F73)/((1+F78)*(1+F77))-1,"n/a")</f>
        <v>n/a</v>
      </c>
      <c r="G79" s="1" t="str">
        <f>IFERROR((1+G73)/((1+G78)*(1+G77))-1,"n/a")</f>
        <v>n/a</v>
      </c>
      <c r="H79" s="16" t="str">
        <f>IFERROR((1+H73)/((1+H78)*(1+H77))-1,"n/a")</f>
        <v>n/a</v>
      </c>
      <c r="I79" s="2"/>
    </row>
    <row r="80">
      <c r="A80" s="4"/>
      <c r="B80" s="11" t="s">
        <v>500</v>
      </c>
      <c r="C80" s="37">
        <f>SUM(C48,C56,C64,C72)</f>
        <v>50082</v>
      </c>
      <c r="D80" s="37">
        <f>SUM(D48,D56,D64,D72)</f>
        <v>58137</v>
      </c>
      <c r="E80" s="37">
        <f>SUM(E48,E56,E64,E72)</f>
        <v>55024</v>
      </c>
      <c r="F80" s="37">
        <f>SUM(F48,F56,F64,F72)</f>
        <v>59363</v>
      </c>
      <c r="G80" s="37">
        <f>SUM(G48,G56,G64,G72)</f>
        <v>196174</v>
      </c>
      <c r="H80" s="65">
        <f>SUM(H48,H56,H64,H72)</f>
        <v>62201.844</v>
      </c>
      <c r="I80" s="2"/>
    </row>
    <row r="81">
      <c r="A81" s="4"/>
      <c r="B81" s="67" t="s">
        <v>501</v>
      </c>
      <c r="C81" s="36">
        <f>'Segment - Family of Apps'!C32</f>
        <v>50082</v>
      </c>
      <c r="D81" s="36">
        <f>'Segment - Family of Apps'!D32</f>
        <v>58137</v>
      </c>
      <c r="E81" s="36">
        <f>'Segment - Family of Apps'!E32</f>
        <v>55024</v>
      </c>
      <c r="F81" s="36">
        <f>'Segment - Family of Apps'!F32</f>
        <v>59363</v>
      </c>
      <c r="G81" s="36">
        <f>'Segment - Family of Apps'!G32</f>
        <v>196174</v>
      </c>
      <c r="H81" s="52">
        <f>'Segment - Family of Apps'!H32</f>
        <v>62201.844000000005</v>
      </c>
      <c r="I81" s="2"/>
    </row>
    <row r="82">
      <c r="A82" s="4"/>
      <c r="B82" s="67" t="s">
        <v>502</v>
      </c>
      <c r="C82" s="10">
        <f>C80-C81</f>
        <v>0</v>
      </c>
      <c r="D82" s="10">
        <f>D80-D81</f>
        <v>0</v>
      </c>
      <c r="E82" s="10">
        <f>E80-E81</f>
        <v>0</v>
      </c>
      <c r="F82" s="10">
        <f>F80-F81</f>
        <v>0</v>
      </c>
      <c r="G82" s="10">
        <f>G80-G81</f>
        <v>0</v>
      </c>
      <c r="H82" s="3">
        <f>H80-H81</f>
        <v>0</v>
      </c>
      <c r="I82" s="2"/>
    </row>
    <row r="83">
      <c r="A83" s="4"/>
      <c r="B83" s="67" t="s">
        <v>503</v>
      </c>
      <c r="C83" s="10">
        <f>IF(ABS(C82)&lt;=2,0,C82)</f>
        <v>0</v>
      </c>
      <c r="D83" s="10">
        <f>IF(ABS(D82)&lt;=2,0,D82)</f>
        <v>0</v>
      </c>
      <c r="E83" s="10">
        <f>IF(ABS(E82)&lt;=2,0,E82)</f>
        <v>0</v>
      </c>
      <c r="F83" s="10">
        <f>IF(ABS(F82)&lt;=2,0,F82)</f>
        <v>0</v>
      </c>
      <c r="G83" s="10">
        <f>IF(ABS(G82)&lt;=2,0,G82)</f>
        <v>0</v>
      </c>
      <c r="H83" s="3">
        <f>IF(ABS(H82)&lt;=2,0,H82)</f>
        <v>0</v>
      </c>
      <c r="I83" s="2" t="s">
        <v>504</v>
      </c>
    </row>
    <row r="84">
      <c r="A84" s="4"/>
      <c r="B84" s="13"/>
      <c r="C84" s="4"/>
      <c r="D84" s="4"/>
      <c r="E84" s="4"/>
      <c r="F84" s="4"/>
      <c r="G84" s="4"/>
      <c r="H84" s="6"/>
      <c r="I84" s="2"/>
    </row>
    <row r="85">
      <c r="A85" s="4"/>
      <c r="B85" s="11" t="s">
        <v>505</v>
      </c>
      <c r="C85" s="12"/>
      <c r="D85" s="12"/>
      <c r="E85" s="12"/>
      <c r="F85" s="12"/>
      <c r="G85" s="12"/>
      <c r="H85" s="45"/>
      <c r="I85" s="2"/>
    </row>
    <row r="86">
      <c r="A86" s="4"/>
      <c r="B86" s="67" t="s">
        <v>450</v>
      </c>
      <c r="C86" s="10">
        <f>C10-C48</f>
        <v>420</v>
      </c>
      <c r="D86" s="10">
        <f>D10-D48</f>
        <v>829</v>
      </c>
      <c r="E86" s="10">
        <f>E10-E48</f>
        <v>412</v>
      </c>
      <c r="F86" s="10">
        <f>F10-F48</f>
        <v>479</v>
      </c>
      <c r="G86" s="10">
        <f>G10-G48</f>
        <v>1921</v>
      </c>
      <c r="H86" s="3">
        <f>H10-H48</f>
        <v>533.4000000000015</v>
      </c>
      <c r="I86" s="2"/>
    </row>
    <row r="87">
      <c r="A87" s="4"/>
      <c r="B87" s="5" t="s">
        <v>452</v>
      </c>
      <c r="C87" s="7">
        <f>C86/(Inputs!C154-Inputs!C158)-1</f>
        <v>0.9090909090909092</v>
      </c>
      <c r="D87" s="7">
        <f>D86/(Inputs!D154-Inputs!D158)-1</f>
        <v>0.03495630461922605</v>
      </c>
      <c r="E87" s="7">
        <f>E86/(Inputs!E154-Inputs!E158)-1</f>
        <v>0.19075144508670516</v>
      </c>
      <c r="F87" s="7">
        <f>F86/(Inputs!F154-Inputs!F158)-1</f>
        <v>0.4693251533742331</v>
      </c>
      <c r="G87" s="1" t="s">
        <v>65</v>
      </c>
      <c r="H87" s="16">
        <f>H86/C86-1</f>
        <v>0.27000000000000357</v>
      </c>
      <c r="I87" s="2"/>
    </row>
    <row r="88">
      <c r="A88" s="4"/>
      <c r="B88" s="23" t="s">
        <v>456</v>
      </c>
      <c r="C88" s="36">
        <f>C86-(Inputs!F154-Inputs!F158)</f>
        <v>94</v>
      </c>
      <c r="D88" s="10">
        <f>D86-C86</f>
        <v>409</v>
      </c>
      <c r="E88" s="10">
        <f>E86-D86</f>
        <v>-417</v>
      </c>
      <c r="F88" s="10">
        <f>F86-E86</f>
        <v>67</v>
      </c>
      <c r="G88" s="10" t="s">
        <v>65</v>
      </c>
      <c r="H88" s="3">
        <f>H86-F86</f>
        <v>54.400000000001455</v>
      </c>
      <c r="I88" s="2"/>
    </row>
    <row r="89">
      <c r="A89" s="4"/>
      <c r="B89" s="5" t="s">
        <v>457</v>
      </c>
      <c r="C89" s="1" t="s">
        <v>68</v>
      </c>
      <c r="D89" s="1" t="s">
        <v>68</v>
      </c>
      <c r="E89" s="1" t="s">
        <v>68</v>
      </c>
      <c r="F89" s="1" t="s">
        <v>68</v>
      </c>
      <c r="G89" s="1" t="s">
        <v>68</v>
      </c>
      <c r="H89" s="16" t="s">
        <v>68</v>
      </c>
      <c r="I89" s="2"/>
    </row>
    <row r="90">
      <c r="A90" s="4"/>
      <c r="B90" s="5" t="s">
        <v>459</v>
      </c>
      <c r="C90" s="1" t="s">
        <v>68</v>
      </c>
      <c r="D90" s="1" t="s">
        <v>68</v>
      </c>
      <c r="E90" s="1" t="s">
        <v>68</v>
      </c>
      <c r="F90" s="1" t="s">
        <v>68</v>
      </c>
      <c r="G90" s="1" t="s">
        <v>68</v>
      </c>
      <c r="H90" s="16" t="s">
        <v>68</v>
      </c>
      <c r="I90" s="2"/>
    </row>
    <row r="91">
      <c r="A91" s="4"/>
      <c r="B91" s="5" t="s">
        <v>460</v>
      </c>
      <c r="C91" s="1" t="str">
        <f>IFERROR((1+C87)/((1+C90)*(1+C89))-1,"n/a")</f>
        <v>n/a</v>
      </c>
      <c r="D91" s="1" t="str">
        <f>IFERROR((1+D87)/((1+D90)*(1+D89))-1,"n/a")</f>
        <v>n/a</v>
      </c>
      <c r="E91" s="1" t="str">
        <f>IFERROR((1+E87)/((1+E90)*(1+E89))-1,"n/a")</f>
        <v>n/a</v>
      </c>
      <c r="F91" s="1" t="str">
        <f>IFERROR((1+F87)/((1+F90)*(1+F89))-1,"n/a")</f>
        <v>n/a</v>
      </c>
      <c r="G91" s="1" t="str">
        <f>IFERROR((1+G87)/((1+G90)*(1+G89))-1,"n/a")</f>
        <v>n/a</v>
      </c>
      <c r="H91" s="16" t="str">
        <f>IFERROR((1+H87)/((1+H90)*(1+H89))-1,"n/a")</f>
        <v>n/a</v>
      </c>
      <c r="I91" s="2"/>
    </row>
    <row r="92">
      <c r="A92" s="4"/>
      <c r="B92" s="67" t="s">
        <v>461</v>
      </c>
      <c r="C92" s="10">
        <f>C18-C56</f>
        <v>196</v>
      </c>
      <c r="D92" s="10">
        <f>D18-D56</f>
        <v>282</v>
      </c>
      <c r="E92" s="10">
        <f>E18-E56</f>
        <v>204</v>
      </c>
      <c r="F92" s="10">
        <f>F18-F56</f>
        <v>211</v>
      </c>
      <c r="G92" s="10">
        <f>G18-G56</f>
        <v>797</v>
      </c>
      <c r="H92" s="3">
        <f>H18-H56</f>
        <v>297.5199999999986</v>
      </c>
      <c r="I92" s="2"/>
    </row>
    <row r="93">
      <c r="A93" s="4"/>
      <c r="B93" s="5" t="s">
        <v>462</v>
      </c>
      <c r="C93" s="7">
        <f>C92/(Inputs!C155-Inputs!C159)-1</f>
        <v>0.4626865671641791</v>
      </c>
      <c r="D93" s="7">
        <f>D92/(Inputs!D155-Inputs!D159)-1</f>
        <v>-0.1919770773638968</v>
      </c>
      <c r="E93" s="7">
        <f>E92/(Inputs!E155-Inputs!E159)-1</f>
        <v>0.33333333333333326</v>
      </c>
      <c r="F93" s="7">
        <f>F92/(Inputs!F155-Inputs!F159)-1</f>
        <v>0.27108433734939763</v>
      </c>
      <c r="G93" s="1" t="s">
        <v>65</v>
      </c>
      <c r="H93" s="16">
        <f>H92/C92-1</f>
        <v>0.5179591836734623</v>
      </c>
      <c r="I93" s="2"/>
    </row>
    <row r="94">
      <c r="A94" s="4"/>
      <c r="B94" s="23" t="s">
        <v>465</v>
      </c>
      <c r="C94" s="36">
        <f>C92-(Inputs!F155-Inputs!F159)</f>
        <v>30</v>
      </c>
      <c r="D94" s="10">
        <f>D92-C92</f>
        <v>86</v>
      </c>
      <c r="E94" s="10">
        <f>E92-D92</f>
        <v>-78</v>
      </c>
      <c r="F94" s="10">
        <f>F92-E92</f>
        <v>7</v>
      </c>
      <c r="G94" s="10" t="s">
        <v>65</v>
      </c>
      <c r="H94" s="3">
        <f>H92-F92</f>
        <v>86.51999999999862</v>
      </c>
      <c r="I94" s="2"/>
    </row>
    <row r="95">
      <c r="A95" s="4"/>
      <c r="B95" s="5" t="s">
        <v>466</v>
      </c>
      <c r="C95" s="1" t="s">
        <v>68</v>
      </c>
      <c r="D95" s="1" t="s">
        <v>68</v>
      </c>
      <c r="E95" s="1" t="s">
        <v>68</v>
      </c>
      <c r="F95" s="1" t="s">
        <v>68</v>
      </c>
      <c r="G95" s="1" t="s">
        <v>68</v>
      </c>
      <c r="H95" s="16" t="s">
        <v>68</v>
      </c>
      <c r="I95" s="2"/>
    </row>
    <row r="96">
      <c r="A96" s="4"/>
      <c r="B96" s="5" t="s">
        <v>467</v>
      </c>
      <c r="C96" s="1" t="s">
        <v>68</v>
      </c>
      <c r="D96" s="1" t="s">
        <v>68</v>
      </c>
      <c r="E96" s="1" t="s">
        <v>68</v>
      </c>
      <c r="F96" s="1" t="s">
        <v>68</v>
      </c>
      <c r="G96" s="1" t="s">
        <v>68</v>
      </c>
      <c r="H96" s="16" t="s">
        <v>68</v>
      </c>
      <c r="I96" s="2"/>
    </row>
    <row r="97">
      <c r="A97" s="4"/>
      <c r="B97" s="5" t="s">
        <v>468</v>
      </c>
      <c r="C97" s="1" t="str">
        <f>IFERROR((1+C93)/((1+C96)*(1+C95))-1,"n/a")</f>
        <v>n/a</v>
      </c>
      <c r="D97" s="1" t="str">
        <f>IFERROR((1+D93)/((1+D96)*(1+D95))-1,"n/a")</f>
        <v>n/a</v>
      </c>
      <c r="E97" s="1" t="str">
        <f>IFERROR((1+E93)/((1+E96)*(1+E95))-1,"n/a")</f>
        <v>n/a</v>
      </c>
      <c r="F97" s="1" t="str">
        <f>IFERROR((1+F93)/((1+F96)*(1+F95))-1,"n/a")</f>
        <v>n/a</v>
      </c>
      <c r="G97" s="1" t="str">
        <f>IFERROR((1+G93)/((1+G96)*(1+G95))-1,"n/a")</f>
        <v>n/a</v>
      </c>
      <c r="H97" s="16" t="str">
        <f>IFERROR((1+H93)/((1+H96)*(1+H95))-1,"n/a")</f>
        <v>n/a</v>
      </c>
      <c r="I97" s="2"/>
    </row>
    <row r="98">
      <c r="A98" s="4"/>
      <c r="B98" s="67" t="s">
        <v>469</v>
      </c>
      <c r="C98" s="10">
        <f>C26-C64</f>
        <v>252</v>
      </c>
      <c r="D98" s="10">
        <f>D26-D64</f>
        <v>289</v>
      </c>
      <c r="E98" s="10">
        <f>E26-E64</f>
        <v>283</v>
      </c>
      <c r="F98" s="10">
        <f>F26-F64</f>
        <v>317</v>
      </c>
      <c r="G98" s="10">
        <f>G26-G64</f>
        <v>974</v>
      </c>
      <c r="H98" s="3">
        <f>H26-H64</f>
        <v>342.41999999999825</v>
      </c>
      <c r="I98" s="2"/>
    </row>
    <row r="99">
      <c r="A99" s="4"/>
      <c r="B99" s="5" t="s">
        <v>470</v>
      </c>
      <c r="C99" s="7">
        <f>C98/(Inputs!C156-Inputs!C160)-1</f>
        <v>0.48235294117647065</v>
      </c>
      <c r="D99" s="7">
        <f>D98/(Inputs!D156-Inputs!D160)-1</f>
        <v>0.24034334763948495</v>
      </c>
      <c r="E99" s="7">
        <f>E98/(Inputs!E156-Inputs!E160)-1</f>
        <v>0.3162790697674418</v>
      </c>
      <c r="F99" s="7">
        <f>F98/(Inputs!F156-Inputs!F160)-1</f>
        <v>0.45412844036697253</v>
      </c>
      <c r="G99" s="1" t="s">
        <v>65</v>
      </c>
      <c r="H99" s="16">
        <f>H98/C98-1</f>
        <v>0.3588095238095168</v>
      </c>
      <c r="I99" s="2"/>
    </row>
    <row r="100">
      <c r="A100" s="4"/>
      <c r="B100" s="23" t="s">
        <v>473</v>
      </c>
      <c r="C100" s="36">
        <f>C98-(Inputs!F156-Inputs!F160)</f>
        <v>34</v>
      </c>
      <c r="D100" s="10">
        <f>D98-C98</f>
        <v>37</v>
      </c>
      <c r="E100" s="10">
        <f>E98-D98</f>
        <v>-6</v>
      </c>
      <c r="F100" s="10">
        <f>F98-E98</f>
        <v>34</v>
      </c>
      <c r="G100" s="10" t="s">
        <v>65</v>
      </c>
      <c r="H100" s="3">
        <f>H98-F98</f>
        <v>25.419999999998254</v>
      </c>
      <c r="I100" s="2"/>
    </row>
    <row r="101">
      <c r="A101" s="4"/>
      <c r="B101" s="5" t="s">
        <v>474</v>
      </c>
      <c r="C101" s="1" t="s">
        <v>68</v>
      </c>
      <c r="D101" s="1" t="s">
        <v>68</v>
      </c>
      <c r="E101" s="1" t="s">
        <v>68</v>
      </c>
      <c r="F101" s="1" t="s">
        <v>68</v>
      </c>
      <c r="G101" s="1" t="s">
        <v>68</v>
      </c>
      <c r="H101" s="16" t="s">
        <v>68</v>
      </c>
      <c r="I101" s="2"/>
    </row>
    <row r="102">
      <c r="A102" s="4"/>
      <c r="B102" s="5" t="s">
        <v>475</v>
      </c>
      <c r="C102" s="1" t="s">
        <v>68</v>
      </c>
      <c r="D102" s="1" t="s">
        <v>68</v>
      </c>
      <c r="E102" s="1" t="s">
        <v>68</v>
      </c>
      <c r="F102" s="1" t="s">
        <v>68</v>
      </c>
      <c r="G102" s="1" t="s">
        <v>68</v>
      </c>
      <c r="H102" s="16" t="s">
        <v>68</v>
      </c>
      <c r="I102" s="2"/>
    </row>
    <row r="103">
      <c r="A103" s="4"/>
      <c r="B103" s="5" t="s">
        <v>476</v>
      </c>
      <c r="C103" s="1" t="str">
        <f>IFERROR((1+C99)/((1+C102)*(1+C101))-1,"n/a")</f>
        <v>n/a</v>
      </c>
      <c r="D103" s="1" t="str">
        <f>IFERROR((1+D99)/((1+D102)*(1+D101))-1,"n/a")</f>
        <v>n/a</v>
      </c>
      <c r="E103" s="1" t="str">
        <f>IFERROR((1+E99)/((1+E102)*(1+E101))-1,"n/a")</f>
        <v>n/a</v>
      </c>
      <c r="F103" s="1" t="str">
        <f>IFERROR((1+F99)/((1+F102)*(1+F101))-1,"n/a")</f>
        <v>n/a</v>
      </c>
      <c r="G103" s="1" t="str">
        <f>IFERROR((1+G99)/((1+G102)*(1+G101))-1,"n/a")</f>
        <v>n/a</v>
      </c>
      <c r="H103" s="16" t="str">
        <f>IFERROR((1+H99)/((1+H102)*(1+H101))-1,"n/a")</f>
        <v>n/a</v>
      </c>
      <c r="I103" s="2"/>
    </row>
    <row r="104">
      <c r="A104" s="4"/>
      <c r="B104" s="67" t="s">
        <v>477</v>
      </c>
      <c r="C104" s="10">
        <f>C34-C72</f>
        <v>292</v>
      </c>
      <c r="D104" s="10">
        <f>D34-D72</f>
        <v>356</v>
      </c>
      <c r="E104" s="10">
        <f>E34-E72</f>
        <v>388</v>
      </c>
      <c r="F104" s="10">
        <f>F34-F72</f>
        <v>431</v>
      </c>
      <c r="G104" s="10">
        <f>G34-G72</f>
        <v>1099</v>
      </c>
      <c r="H104" s="3">
        <f>H34-H72</f>
        <v>482.16000000001077</v>
      </c>
      <c r="I104" s="2"/>
    </row>
    <row r="105">
      <c r="A105" s="4"/>
      <c r="B105" s="5" t="s">
        <v>479</v>
      </c>
      <c r="C105" s="7">
        <f>C104/(Inputs!C157-Inputs!C161)-1</f>
        <v>0.6222222222222222</v>
      </c>
      <c r="D105" s="7">
        <f>D104/(Inputs!D157-Inputs!D161)-1</f>
        <v>0.6255707762557077</v>
      </c>
      <c r="E105" s="7">
        <f>E104/(Inputs!E157-Inputs!E161)-1</f>
        <v>0.8653846153846154</v>
      </c>
      <c r="F105" s="7">
        <f>F104/(Inputs!F157-Inputs!F161)-1</f>
        <v>0.7736625514403292</v>
      </c>
      <c r="G105" s="1" t="s">
        <v>65</v>
      </c>
      <c r="H105" s="16">
        <f>H104/C104-1</f>
        <v>0.6512328767123656</v>
      </c>
      <c r="I105" s="2"/>
    </row>
    <row r="106">
      <c r="A106" s="4"/>
      <c r="B106" s="23" t="s">
        <v>483</v>
      </c>
      <c r="C106" s="36">
        <f>C104-(Inputs!F157-Inputs!F161)</f>
        <v>49</v>
      </c>
      <c r="D106" s="10">
        <f>D104-C104</f>
        <v>64</v>
      </c>
      <c r="E106" s="10">
        <f>E104-D104</f>
        <v>32</v>
      </c>
      <c r="F106" s="10">
        <f>F104-E104</f>
        <v>43</v>
      </c>
      <c r="G106" s="10" t="s">
        <v>65</v>
      </c>
      <c r="H106" s="3">
        <f>H104-F104</f>
        <v>51.16000000001077</v>
      </c>
      <c r="I106" s="2"/>
    </row>
    <row r="107">
      <c r="A107" s="4"/>
      <c r="B107" s="5" t="s">
        <v>484</v>
      </c>
      <c r="C107" s="1" t="s">
        <v>68</v>
      </c>
      <c r="D107" s="1" t="s">
        <v>68</v>
      </c>
      <c r="E107" s="1" t="s">
        <v>68</v>
      </c>
      <c r="F107" s="1" t="s">
        <v>68</v>
      </c>
      <c r="G107" s="1" t="s">
        <v>68</v>
      </c>
      <c r="H107" s="16" t="s">
        <v>68</v>
      </c>
      <c r="I107" s="2"/>
    </row>
    <row r="108">
      <c r="A108" s="4"/>
      <c r="B108" s="5" t="s">
        <v>485</v>
      </c>
      <c r="C108" s="1" t="s">
        <v>68</v>
      </c>
      <c r="D108" s="1" t="s">
        <v>68</v>
      </c>
      <c r="E108" s="1" t="s">
        <v>68</v>
      </c>
      <c r="F108" s="1" t="s">
        <v>68</v>
      </c>
      <c r="G108" s="1" t="s">
        <v>68</v>
      </c>
      <c r="H108" s="16" t="s">
        <v>68</v>
      </c>
      <c r="I108" s="2"/>
    </row>
    <row r="109">
      <c r="A109" s="4"/>
      <c r="B109" s="5" t="s">
        <v>486</v>
      </c>
      <c r="C109" s="1" t="str">
        <f>IFERROR((1+C105)/((1+C108)*(1+C107))-1,"n/a")</f>
        <v>n/a</v>
      </c>
      <c r="D109" s="1" t="str">
        <f>IFERROR((1+D105)/((1+D108)*(1+D107))-1,"n/a")</f>
        <v>n/a</v>
      </c>
      <c r="E109" s="1" t="str">
        <f>IFERROR((1+E105)/((1+E108)*(1+E107))-1,"n/a")</f>
        <v>n/a</v>
      </c>
      <c r="F109" s="1" t="str">
        <f>IFERROR((1+F105)/((1+F108)*(1+F107))-1,"n/a")</f>
        <v>n/a</v>
      </c>
      <c r="G109" s="1" t="str">
        <f>IFERROR((1+G105)/((1+G108)*(1+G107))-1,"n/a")</f>
        <v>n/a</v>
      </c>
      <c r="H109" s="16" t="str">
        <f>IFERROR((1+H105)/((1+H108)*(1+H107))-1,"n/a")</f>
        <v>n/a</v>
      </c>
      <c r="I109" s="2"/>
    </row>
    <row r="110">
      <c r="A110" s="4"/>
      <c r="B110" s="11" t="s">
        <v>506</v>
      </c>
      <c r="C110" s="37">
        <f>SUM(C86,C92,C98,C104)</f>
        <v>1160</v>
      </c>
      <c r="D110" s="37">
        <f>SUM(D86,D92,D98,D104)</f>
        <v>1756</v>
      </c>
      <c r="E110" s="37">
        <f>SUM(E86,E92,E98,E104)</f>
        <v>1287</v>
      </c>
      <c r="F110" s="37">
        <f>SUM(F86,F92,F98,F104)</f>
        <v>1438</v>
      </c>
      <c r="G110" s="37">
        <f>SUM(G86,G92,G98,G104)</f>
        <v>4791</v>
      </c>
      <c r="H110" s="65">
        <f>SUM(H86,H92,H98,H104)</f>
        <v>1655.500000000009</v>
      </c>
      <c r="I110" s="2"/>
    </row>
    <row r="111">
      <c r="A111" s="4"/>
      <c r="B111" s="13"/>
      <c r="C111" s="4"/>
      <c r="D111" s="4"/>
      <c r="E111" s="4"/>
      <c r="F111" s="4"/>
      <c r="G111" s="4"/>
      <c r="H111" s="6"/>
      <c r="I111" s="2"/>
    </row>
    <row r="112">
      <c r="A112" s="4"/>
      <c r="B112" s="11" t="s">
        <v>507</v>
      </c>
      <c r="C112" s="12"/>
      <c r="D112" s="12"/>
      <c r="E112" s="12"/>
      <c r="F112" s="12"/>
      <c r="G112" s="12"/>
      <c r="H112" s="45"/>
      <c r="I112" s="2"/>
    </row>
    <row r="113">
      <c r="A113" s="4"/>
      <c r="B113" s="46" t="s">
        <v>508</v>
      </c>
      <c r="C113" s="1" t="s">
        <v>68</v>
      </c>
      <c r="D113" s="1" t="s">
        <v>68</v>
      </c>
      <c r="E113" s="1" t="s">
        <v>68</v>
      </c>
      <c r="F113" s="31">
        <v>0.09</v>
      </c>
      <c r="G113" s="1" t="s">
        <v>65</v>
      </c>
      <c r="H113" s="16" t="s">
        <v>65</v>
      </c>
      <c r="I113" s="2" t="s">
        <v>509</v>
      </c>
    </row>
    <row r="114">
      <c r="A114" s="4"/>
      <c r="B114" s="46" t="s">
        <v>510</v>
      </c>
      <c r="C114" s="1" t="s">
        <v>68</v>
      </c>
      <c r="D114" s="1" t="s">
        <v>68</v>
      </c>
      <c r="E114" s="1" t="s">
        <v>68</v>
      </c>
      <c r="F114" s="31">
        <v>0.13</v>
      </c>
      <c r="G114" s="1" t="s">
        <v>65</v>
      </c>
      <c r="H114" s="16" t="s">
        <v>65</v>
      </c>
      <c r="I114" s="2" t="s">
        <v>509</v>
      </c>
    </row>
    <row r="115">
      <c r="A115" s="4"/>
      <c r="B115" s="46" t="s">
        <v>511</v>
      </c>
      <c r="C115" s="1" t="s">
        <v>68</v>
      </c>
      <c r="D115" s="1" t="s">
        <v>68</v>
      </c>
      <c r="E115" s="1" t="s">
        <v>68</v>
      </c>
      <c r="F115" s="31">
        <v>0.17</v>
      </c>
      <c r="G115" s="1" t="s">
        <v>65</v>
      </c>
      <c r="H115" s="16" t="s">
        <v>65</v>
      </c>
      <c r="I115" s="2" t="s">
        <v>509</v>
      </c>
    </row>
    <row r="116">
      <c r="A116" s="4"/>
      <c r="B116" s="46" t="s">
        <v>512</v>
      </c>
      <c r="C116" s="1" t="s">
        <v>68</v>
      </c>
      <c r="D116" s="1" t="s">
        <v>68</v>
      </c>
      <c r="E116" s="1" t="s">
        <v>68</v>
      </c>
      <c r="F116" s="31">
        <v>0.12</v>
      </c>
      <c r="G116" s="1" t="s">
        <v>65</v>
      </c>
      <c r="H116" s="16" t="s">
        <v>65</v>
      </c>
      <c r="I116" s="2" t="s">
        <v>509</v>
      </c>
    </row>
    <row r="117">
      <c r="A117" s="4"/>
      <c r="B117" s="46" t="s">
        <v>513</v>
      </c>
      <c r="C117" s="1" t="s">
        <v>68</v>
      </c>
      <c r="D117" s="1" t="s">
        <v>68</v>
      </c>
      <c r="E117" s="1" t="s">
        <v>68</v>
      </c>
      <c r="F117" s="31">
        <v>0.1</v>
      </c>
      <c r="G117" s="1" t="s">
        <v>65</v>
      </c>
      <c r="H117" s="16" t="s">
        <v>65</v>
      </c>
      <c r="I117" s="2" t="s">
        <v>514</v>
      </c>
    </row>
    <row r="118">
      <c r="A118" s="4"/>
      <c r="B118" s="46" t="s">
        <v>515</v>
      </c>
      <c r="C118" s="1" t="s">
        <v>68</v>
      </c>
      <c r="D118" s="1" t="s">
        <v>68</v>
      </c>
      <c r="E118" s="1" t="s">
        <v>68</v>
      </c>
      <c r="F118" s="31">
        <v>0.19</v>
      </c>
      <c r="G118" s="1" t="s">
        <v>65</v>
      </c>
      <c r="H118" s="16" t="s">
        <v>65</v>
      </c>
      <c r="I118" s="2" t="s">
        <v>514</v>
      </c>
    </row>
    <row r="119">
      <c r="A119" s="4"/>
      <c r="B119" s="46" t="s">
        <v>516</v>
      </c>
      <c r="C119" s="1" t="s">
        <v>68</v>
      </c>
      <c r="D119" s="1" t="s">
        <v>68</v>
      </c>
      <c r="E119" s="1" t="s">
        <v>68</v>
      </c>
      <c r="F119" s="31">
        <v>0.01</v>
      </c>
      <c r="G119" s="1" t="s">
        <v>65</v>
      </c>
      <c r="H119" s="16" t="s">
        <v>65</v>
      </c>
      <c r="I119" s="2" t="s">
        <v>514</v>
      </c>
    </row>
    <row r="120">
      <c r="A120" s="4"/>
      <c r="B120" s="46" t="s">
        <v>517</v>
      </c>
      <c r="C120" s="1" t="s">
        <v>68</v>
      </c>
      <c r="D120" s="1" t="s">
        <v>68</v>
      </c>
      <c r="E120" s="1" t="s">
        <v>68</v>
      </c>
      <c r="F120" s="31">
        <v>0.15</v>
      </c>
      <c r="G120" s="1" t="s">
        <v>65</v>
      </c>
      <c r="H120" s="16" t="s">
        <v>65</v>
      </c>
      <c r="I120" s="2" t="s">
        <v>514</v>
      </c>
    </row>
    <row r="121">
      <c r="A121" s="4"/>
      <c r="B121" s="4"/>
      <c r="C121" s="4"/>
      <c r="D121" s="4"/>
      <c r="E121" s="4"/>
      <c r="F121" s="4"/>
      <c r="G121" s="4"/>
      <c r="H121" s="4"/>
      <c r="I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518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4"/>
      <c r="C8" s="4"/>
      <c r="D8" s="4"/>
      <c r="E8" s="4"/>
      <c r="F8" s="4"/>
      <c r="G8" s="4"/>
      <c r="H8" s="4"/>
      <c r="I8" s="4"/>
    </row>
    <row r="9">
      <c r="A9" s="4"/>
      <c r="B9" s="11" t="s">
        <v>519</v>
      </c>
      <c r="C9" s="12"/>
      <c r="D9" s="12"/>
      <c r="E9" s="12"/>
      <c r="F9" s="12"/>
      <c r="G9" s="12"/>
      <c r="H9" s="45"/>
      <c r="I9" s="2"/>
    </row>
    <row r="10">
      <c r="A10" s="4"/>
      <c r="B10" s="13" t="s">
        <v>520</v>
      </c>
      <c r="C10" s="39">
        <v>2517</v>
      </c>
      <c r="D10" s="39">
        <v>2525</v>
      </c>
      <c r="E10" s="39">
        <v>2534</v>
      </c>
      <c r="F10" s="39">
        <v>2543</v>
      </c>
      <c r="G10" s="39">
        <v>2521</v>
      </c>
      <c r="H10" s="3">
        <f>F10+H12</f>
        <v>2549</v>
      </c>
      <c r="I10" s="2" t="s">
        <v>99</v>
      </c>
    </row>
    <row r="11">
      <c r="A11" s="4"/>
      <c r="B11" s="5" t="s">
        <v>521</v>
      </c>
      <c r="C11" s="7">
        <f>C10/Inputs!C140-1</f>
        <v>-0.004744958481613271</v>
      </c>
      <c r="D11" s="7">
        <f>D10/Inputs!D140-1</f>
        <v>-0.0015816528272044605</v>
      </c>
      <c r="E11" s="7">
        <f>E10/Inputs!E140-1</f>
        <v>0.0027700831024930483</v>
      </c>
      <c r="F11" s="7">
        <f>F10/Inputs!F140-1</f>
        <v>0.00992851469420164</v>
      </c>
      <c r="G11" s="7">
        <f>G10/Inputs!G140-1</f>
        <v>-0.005130228887134991</v>
      </c>
      <c r="H11" s="16">
        <f>H10/C10-1</f>
        <v>0.012713547874453779</v>
      </c>
      <c r="I11" s="2"/>
    </row>
    <row r="12">
      <c r="A12" s="4"/>
      <c r="B12" s="23" t="s">
        <v>522</v>
      </c>
      <c r="C12" s="36">
        <f>C10-Inputs!F140</f>
        <v>-1</v>
      </c>
      <c r="D12" s="10">
        <f>D10-C10</f>
        <v>8</v>
      </c>
      <c r="E12" s="10">
        <f>E10-D10</f>
        <v>9</v>
      </c>
      <c r="F12" s="10">
        <f>F10-E10</f>
        <v>9</v>
      </c>
      <c r="G12" s="10" t="s">
        <v>65</v>
      </c>
      <c r="H12" s="61">
        <v>6</v>
      </c>
      <c r="I12" s="2" t="s">
        <v>523</v>
      </c>
    </row>
    <row r="13">
      <c r="A13" s="4"/>
      <c r="B13" s="67" t="s">
        <v>524</v>
      </c>
      <c r="C13" s="10">
        <f>C15-C10</f>
        <v>55</v>
      </c>
      <c r="D13" s="10">
        <f>D15-D10</f>
        <v>40</v>
      </c>
      <c r="E13" s="10">
        <f>E15-E10</f>
        <v>30</v>
      </c>
      <c r="F13" s="10">
        <f>F15-F10</f>
        <v>23</v>
      </c>
      <c r="G13" s="10">
        <f>G15-G10</f>
        <v>53</v>
      </c>
      <c r="H13" s="61">
        <v>23</v>
      </c>
      <c r="I13" s="2" t="s">
        <v>525</v>
      </c>
    </row>
    <row r="14">
      <c r="A14" s="4"/>
      <c r="B14" s="23" t="s">
        <v>526</v>
      </c>
      <c r="C14" s="36">
        <f>C13-(Inputs!F139-Inputs!F140)</f>
        <v>3</v>
      </c>
      <c r="D14" s="10">
        <f>D13-C13</f>
        <v>-15</v>
      </c>
      <c r="E14" s="10">
        <f>E13-D13</f>
        <v>-10</v>
      </c>
      <c r="F14" s="10">
        <f>F13-E13</f>
        <v>-7</v>
      </c>
      <c r="G14" s="10" t="s">
        <v>65</v>
      </c>
      <c r="H14" s="3">
        <f>H13-F13</f>
        <v>0</v>
      </c>
      <c r="I14" s="2"/>
    </row>
    <row r="15">
      <c r="A15" s="4"/>
      <c r="B15" s="11" t="s">
        <v>527</v>
      </c>
      <c r="C15" s="51">
        <v>2572</v>
      </c>
      <c r="D15" s="51">
        <v>2565</v>
      </c>
      <c r="E15" s="51">
        <v>2564</v>
      </c>
      <c r="F15" s="51">
        <v>2566</v>
      </c>
      <c r="G15" s="51">
        <v>2574</v>
      </c>
      <c r="H15" s="65">
        <f>H10+H13</f>
        <v>2572</v>
      </c>
      <c r="I15" s="2" t="s">
        <v>99</v>
      </c>
    </row>
    <row r="16">
      <c r="A16" s="4"/>
      <c r="B16" s="5" t="s">
        <v>528</v>
      </c>
      <c r="C16" s="7">
        <f>C15/Inputs!C139-1</f>
        <v>-0.010769230769230753</v>
      </c>
      <c r="D16" s="7">
        <f>D15/Inputs!D139-1</f>
        <v>-0.013081954597922274</v>
      </c>
      <c r="E16" s="7">
        <f>E15/Inputs!E139-1</f>
        <v>-0.010038610038610063</v>
      </c>
      <c r="F16" s="7">
        <f>F15/Inputs!F139-1</f>
        <v>-0.0015564202334630295</v>
      </c>
      <c r="G16" s="7">
        <f>G15/Inputs!G139-1</f>
        <v>-0.015302218821729108</v>
      </c>
      <c r="H16" s="16">
        <f>H15/C15-1</f>
        <v>0</v>
      </c>
      <c r="I16" s="2"/>
    </row>
    <row r="17">
      <c r="A17" s="4"/>
      <c r="B17" s="23" t="s">
        <v>529</v>
      </c>
      <c r="C17" s="36">
        <f>C15-Inputs!F139</f>
        <v>2</v>
      </c>
      <c r="D17" s="10">
        <f>D15-C15</f>
        <v>-7</v>
      </c>
      <c r="E17" s="10">
        <f>E15-D15</f>
        <v>-1</v>
      </c>
      <c r="F17" s="10">
        <f>F15-E15</f>
        <v>2</v>
      </c>
      <c r="G17" s="10" t="s">
        <v>65</v>
      </c>
      <c r="H17" s="3">
        <f>H15-F15</f>
        <v>6</v>
      </c>
      <c r="I17" s="2"/>
    </row>
    <row r="18">
      <c r="A18" s="4"/>
      <c r="B18" s="13"/>
      <c r="C18" s="4"/>
      <c r="D18" s="4"/>
      <c r="E18" s="4"/>
      <c r="F18" s="4"/>
      <c r="G18" s="4"/>
      <c r="H18" s="6"/>
      <c r="I18" s="2"/>
    </row>
    <row r="19">
      <c r="A19" s="4"/>
      <c r="B19" s="11" t="s">
        <v>530</v>
      </c>
      <c r="C19" s="12"/>
      <c r="D19" s="12"/>
      <c r="E19" s="12"/>
      <c r="F19" s="12"/>
      <c r="G19" s="12"/>
      <c r="H19" s="45"/>
      <c r="I19" s="2"/>
    </row>
    <row r="20">
      <c r="A20" s="4"/>
      <c r="B20" s="13" t="s">
        <v>419</v>
      </c>
      <c r="C20" s="36">
        <f>'Cash Flow Statement'!C48</f>
        <v>-3327</v>
      </c>
      <c r="D20" s="36">
        <f>'Cash Flow Statement'!D48</f>
        <v>0</v>
      </c>
      <c r="E20" s="36">
        <f>'Cash Flow Statement'!E48</f>
        <v>0</v>
      </c>
      <c r="F20" s="36">
        <f>'Cash Flow Statement'!F48</f>
        <v>0</v>
      </c>
      <c r="G20" s="36">
        <f>'Cash Flow Statement'!G48</f>
        <v>-26248</v>
      </c>
      <c r="H20" s="52">
        <f>'Cash Flow Statement'!H48</f>
        <v>0</v>
      </c>
      <c r="I20" s="2"/>
    </row>
    <row r="21">
      <c r="A21" s="4"/>
      <c r="B21" s="67" t="s">
        <v>531</v>
      </c>
      <c r="C21" s="10" t="s">
        <v>68</v>
      </c>
      <c r="D21" s="10" t="s">
        <v>68</v>
      </c>
      <c r="E21" s="10" t="s">
        <v>68</v>
      </c>
      <c r="F21" s="10" t="s">
        <v>68</v>
      </c>
      <c r="G21" s="10" t="s">
        <v>68</v>
      </c>
      <c r="H21" s="3" t="s">
        <v>68</v>
      </c>
      <c r="I21" s="2" t="s">
        <v>532</v>
      </c>
    </row>
    <row r="22">
      <c r="A22" s="4"/>
      <c r="B22" s="13" t="s">
        <v>416</v>
      </c>
      <c r="C22" s="36">
        <f>'Cash Flow Statement'!C45</f>
        <v>-5135</v>
      </c>
      <c r="D22" s="36">
        <f>'Cash Flow Statement'!D45</f>
        <v>-4272</v>
      </c>
      <c r="E22" s="36">
        <f>'Cash Flow Statement'!E45</f>
        <v>-4423</v>
      </c>
      <c r="F22" s="36">
        <f>'Cash Flow Statement'!F45</f>
        <v>-4281</v>
      </c>
      <c r="G22" s="36">
        <f>'Cash Flow Statement'!G45</f>
        <v>-18400</v>
      </c>
      <c r="H22" s="52">
        <f>'Cash Flow Statement'!H45</f>
        <v>-4300</v>
      </c>
      <c r="I22" s="2"/>
    </row>
    <row r="23">
      <c r="A23" s="4"/>
      <c r="B23" s="13" t="s">
        <v>533</v>
      </c>
      <c r="C23" s="36">
        <f>'Cash Flow Statement'!C49</f>
        <v>-1330</v>
      </c>
      <c r="D23" s="36">
        <f>'Cash Flow Statement'!D49</f>
        <v>-1338</v>
      </c>
      <c r="E23" s="36">
        <f>'Cash Flow Statement'!E49</f>
        <v>-1346</v>
      </c>
      <c r="F23" s="36">
        <f>'Cash Flow Statement'!F49</f>
        <v>-1353</v>
      </c>
      <c r="G23" s="36">
        <f>'Cash Flow Statement'!G49</f>
        <v>-5324</v>
      </c>
      <c r="H23" s="52">
        <f>'Cash Flow Statement'!H49</f>
        <v>-1355</v>
      </c>
      <c r="I23" s="2"/>
    </row>
    <row r="24">
      <c r="A24" s="4"/>
      <c r="B24" s="11" t="s">
        <v>534</v>
      </c>
      <c r="C24" s="37">
        <f>C20+C22+C23</f>
        <v>-9792</v>
      </c>
      <c r="D24" s="37">
        <f>D20+D22+D23</f>
        <v>-5610</v>
      </c>
      <c r="E24" s="37">
        <f>E20+E22+E23</f>
        <v>-5769</v>
      </c>
      <c r="F24" s="37">
        <f>F20+F22+F23</f>
        <v>-5634</v>
      </c>
      <c r="G24" s="37">
        <f>G20+G22+G23</f>
        <v>-49972</v>
      </c>
      <c r="H24" s="65">
        <f>H20+H22+H23</f>
        <v>-5655</v>
      </c>
      <c r="I24" s="2"/>
    </row>
    <row r="25">
      <c r="A25" s="4"/>
      <c r="B25" s="13" t="s">
        <v>535</v>
      </c>
      <c r="C25" s="36">
        <f>'Cash Flow Statement'!C14</f>
        <v>5555</v>
      </c>
      <c r="D25" s="36">
        <f>'Cash Flow Statement'!D14</f>
        <v>5890</v>
      </c>
      <c r="E25" s="36">
        <f>'Cash Flow Statement'!E14</f>
        <v>6032</v>
      </c>
      <c r="F25" s="36">
        <f>'Cash Flow Statement'!F14</f>
        <v>7658</v>
      </c>
      <c r="G25" s="36">
        <f>'Cash Flow Statement'!G14</f>
        <v>20427</v>
      </c>
      <c r="H25" s="52">
        <f>'Cash Flow Statement'!H14</f>
        <v>7000</v>
      </c>
      <c r="I25" s="2"/>
    </row>
    <row r="26">
      <c r="A26" s="4"/>
      <c r="B26" s="13"/>
      <c r="C26" s="4"/>
      <c r="D26" s="4"/>
      <c r="E26" s="4"/>
      <c r="F26" s="4"/>
      <c r="G26" s="4"/>
      <c r="H26" s="6"/>
      <c r="I26" s="2"/>
    </row>
    <row r="27">
      <c r="A27" s="4"/>
      <c r="B27" s="11" t="s">
        <v>536</v>
      </c>
      <c r="C27" s="12"/>
      <c r="D27" s="12"/>
      <c r="E27" s="12"/>
      <c r="F27" s="12"/>
      <c r="G27" s="12"/>
      <c r="H27" s="45"/>
      <c r="I27" s="2"/>
    </row>
    <row r="28">
      <c r="A28" s="4"/>
      <c r="B28" s="13" t="s">
        <v>303</v>
      </c>
      <c r="C28" s="10"/>
      <c r="D28" s="10"/>
      <c r="E28" s="10"/>
      <c r="F28" s="10"/>
      <c r="G28" s="10"/>
      <c r="H28" s="52">
        <f>'Income Statement'!H81</f>
        <v>17897.096770560005</v>
      </c>
      <c r="I28" s="2"/>
    </row>
    <row r="29">
      <c r="A29" s="4"/>
      <c r="B29" s="13" t="s">
        <v>537</v>
      </c>
      <c r="C29" s="10"/>
      <c r="D29" s="10"/>
      <c r="E29" s="10"/>
      <c r="F29" s="10"/>
      <c r="G29" s="10"/>
      <c r="H29" s="3">
        <f>H15</f>
        <v>2572</v>
      </c>
      <c r="I29" s="2"/>
    </row>
    <row r="30">
      <c r="A30" s="4"/>
      <c r="B30" s="11" t="s">
        <v>304</v>
      </c>
      <c r="C30" s="32"/>
      <c r="D30" s="32"/>
      <c r="E30" s="32"/>
      <c r="F30" s="32"/>
      <c r="G30" s="32"/>
      <c r="H30" s="44">
        <f>H28/H29</f>
        <v>6.958435758382584</v>
      </c>
      <c r="I30" s="2"/>
    </row>
    <row r="31">
      <c r="A31" s="4"/>
      <c r="B31" s="13" t="s">
        <v>294</v>
      </c>
      <c r="C31" s="10"/>
      <c r="D31" s="10"/>
      <c r="E31" s="10"/>
      <c r="F31" s="10"/>
      <c r="G31" s="10"/>
      <c r="H31" s="52">
        <f>'Income Statement'!H60</f>
        <v>9497.096770560003</v>
      </c>
      <c r="I31" s="2"/>
    </row>
    <row r="32">
      <c r="A32" s="4"/>
      <c r="B32" s="11" t="s">
        <v>538</v>
      </c>
      <c r="C32" s="32"/>
      <c r="D32" s="32"/>
      <c r="E32" s="32"/>
      <c r="F32" s="32"/>
      <c r="G32" s="32"/>
      <c r="H32" s="44">
        <f>H31/H29</f>
        <v>3.6924948563608098</v>
      </c>
      <c r="I32" s="2"/>
    </row>
    <row r="33">
      <c r="A33" s="4"/>
      <c r="B33" s="4"/>
      <c r="C33" s="4"/>
      <c r="D33" s="4"/>
      <c r="E33" s="4"/>
      <c r="F33" s="4"/>
      <c r="G33" s="4"/>
      <c r="H33" s="4"/>
      <c r="I33" s="4"/>
    </row>
    <row r="34">
      <c r="A34" s="4"/>
      <c r="B34" s="4"/>
      <c r="C34" s="4"/>
      <c r="D34" s="4"/>
      <c r="E34" s="4"/>
      <c r="F34" s="4"/>
      <c r="G34" s="4"/>
      <c r="H34" s="4"/>
      <c r="I34" s="4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I4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539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98" t="s">
        <v>14</v>
      </c>
      <c r="C8" s="4"/>
      <c r="D8" s="4"/>
      <c r="E8" s="4"/>
      <c r="F8" s="4"/>
      <c r="G8" s="4"/>
      <c r="H8" s="4"/>
      <c r="I8" s="4"/>
    </row>
    <row r="9">
      <c r="A9" s="4"/>
      <c r="B9" s="11" t="s">
        <v>540</v>
      </c>
      <c r="C9" s="14" t="s">
        <v>541</v>
      </c>
      <c r="D9" s="14" t="s">
        <v>4</v>
      </c>
      <c r="E9" s="14" t="s">
        <v>542</v>
      </c>
      <c r="F9" s="14" t="s">
        <v>543</v>
      </c>
      <c r="G9" s="14" t="s">
        <v>544</v>
      </c>
      <c r="H9" s="14" t="s">
        <v>545</v>
      </c>
      <c r="I9" s="117" t="s">
        <v>546</v>
      </c>
    </row>
    <row r="10">
      <c r="A10" s="4"/>
      <c r="B10" s="13" t="s">
        <v>36</v>
      </c>
      <c r="C10" s="33">
        <v>45868</v>
      </c>
      <c r="D10" s="10" t="s">
        <v>547</v>
      </c>
      <c r="E10" s="39">
        <v>47500</v>
      </c>
      <c r="F10" s="39">
        <v>50500</v>
      </c>
      <c r="G10" s="10">
        <f>AVERAGE(E10,F10)</f>
        <v>49000</v>
      </c>
      <c r="H10" s="36">
        <f>'Income Statement'!C9</f>
        <v>51242</v>
      </c>
      <c r="I10" s="48" t="str">
        <f>IF(H10&gt;F10,"above high",IF(H10&lt;E10,"below low",IF(H10&gt;=G10,"within, ≥ mid","within, &lt; mid")))</f>
        <v>above high</v>
      </c>
    </row>
    <row r="11">
      <c r="A11" s="4"/>
      <c r="B11" s="13" t="s">
        <v>36</v>
      </c>
      <c r="C11" s="33">
        <v>45959</v>
      </c>
      <c r="D11" s="10" t="s">
        <v>548</v>
      </c>
      <c r="E11" s="39">
        <v>56000</v>
      </c>
      <c r="F11" s="39">
        <v>59000</v>
      </c>
      <c r="G11" s="10">
        <f>AVERAGE(E11,F11)</f>
        <v>57500</v>
      </c>
      <c r="H11" s="36">
        <f>'Income Statement'!D9</f>
        <v>59893</v>
      </c>
      <c r="I11" s="48" t="str">
        <f>IF(H11&gt;F11,"above high",IF(H11&lt;E11,"below low",IF(H11&gt;=G11,"within, ≥ mid","within, &lt; mid")))</f>
        <v>above high</v>
      </c>
    </row>
    <row r="12">
      <c r="A12" s="4"/>
      <c r="B12" s="13" t="s">
        <v>549</v>
      </c>
      <c r="C12" s="33">
        <v>45959</v>
      </c>
      <c r="D12" s="10" t="s">
        <v>550</v>
      </c>
      <c r="E12" s="39">
        <v>116000</v>
      </c>
      <c r="F12" s="39">
        <v>118000</v>
      </c>
      <c r="G12" s="10">
        <f>AVERAGE(E12,F12)</f>
        <v>117000</v>
      </c>
      <c r="H12" s="36">
        <f>'Income Statement'!G40</f>
        <v>117690</v>
      </c>
      <c r="I12" s="48" t="str">
        <f>IF(H12&gt;F12,"above high",IF(H12&lt;E12,"below low",IF(H12&gt;=G12,"within, ≥ mid","within, &lt; mid")))</f>
        <v>within, ≥ mid</v>
      </c>
    </row>
    <row r="13">
      <c r="A13" s="4"/>
      <c r="B13" s="13" t="s">
        <v>551</v>
      </c>
      <c r="C13" s="33">
        <v>45959</v>
      </c>
      <c r="D13" s="10" t="s">
        <v>550</v>
      </c>
      <c r="E13" s="39">
        <v>70000</v>
      </c>
      <c r="F13" s="39">
        <v>72000</v>
      </c>
      <c r="G13" s="10">
        <f>AVERAGE(E13,F13)</f>
        <v>71000</v>
      </c>
      <c r="H13" s="36">
        <f>'Cash Flow Statement'!G67</f>
        <v>72215</v>
      </c>
      <c r="I13" s="48" t="str">
        <f>IF(H13&gt;F13,"above high",IF(H13&lt;E13,"below low",IF(H13&gt;=G13,"within, ≥ mid","within, &lt; mid")))</f>
        <v>above high</v>
      </c>
    </row>
    <row r="14">
      <c r="A14" s="4"/>
      <c r="B14" s="40" t="s">
        <v>552</v>
      </c>
      <c r="C14" s="64">
        <v>45959</v>
      </c>
      <c r="D14" s="1" t="s">
        <v>548</v>
      </c>
      <c r="E14" s="31">
        <v>0.12</v>
      </c>
      <c r="F14" s="31">
        <v>0.15</v>
      </c>
      <c r="G14" s="1">
        <f>AVERAGE(E14,F14)</f>
        <v>0.135</v>
      </c>
      <c r="H14" s="7">
        <f>'Income Statement'!D58</f>
        <v>0.10199574031710973</v>
      </c>
      <c r="I14" s="48" t="str">
        <f>IF(H14&gt;F14,"above high",IF(H14&lt;E14,"below low",IF(H14&gt;=G14,"within, ≥ mid","within, &lt; mid")))</f>
        <v>below low</v>
      </c>
    </row>
    <row r="15">
      <c r="A15" s="4"/>
      <c r="B15" s="13" t="s">
        <v>36</v>
      </c>
      <c r="C15" s="33">
        <v>46050</v>
      </c>
      <c r="D15" s="10" t="s">
        <v>553</v>
      </c>
      <c r="E15" s="39">
        <v>53500</v>
      </c>
      <c r="F15" s="39">
        <v>56500</v>
      </c>
      <c r="G15" s="10">
        <f>AVERAGE(E15,F15)</f>
        <v>55000</v>
      </c>
      <c r="H15" s="36">
        <f>'Income Statement'!E9</f>
        <v>56311</v>
      </c>
      <c r="I15" s="48" t="str">
        <f>IF(H15&gt;F15,"above high",IF(H15&lt;E15,"below low",IF(H15&gt;=G15,"within, ≥ mid","within, &lt; mid")))</f>
        <v>within, ≥ mid</v>
      </c>
    </row>
    <row r="16">
      <c r="A16" s="4"/>
      <c r="B16" s="13" t="s">
        <v>549</v>
      </c>
      <c r="C16" s="33">
        <v>46050</v>
      </c>
      <c r="D16" s="10" t="s">
        <v>554</v>
      </c>
      <c r="E16" s="39">
        <v>162000</v>
      </c>
      <c r="F16" s="39">
        <v>169000</v>
      </c>
      <c r="G16" s="10">
        <f>AVERAGE(E16,F16)</f>
        <v>165500</v>
      </c>
      <c r="H16" s="10" t="s">
        <v>555</v>
      </c>
      <c r="I16" s="13" t="s">
        <v>555</v>
      </c>
    </row>
    <row r="17">
      <c r="A17" s="4"/>
      <c r="B17" s="13" t="s">
        <v>551</v>
      </c>
      <c r="C17" s="33">
        <v>46050</v>
      </c>
      <c r="D17" s="10" t="s">
        <v>554</v>
      </c>
      <c r="E17" s="39">
        <v>115000</v>
      </c>
      <c r="F17" s="39">
        <v>135000</v>
      </c>
      <c r="G17" s="10">
        <f>AVERAGE(E17,F17)</f>
        <v>125000</v>
      </c>
      <c r="H17" s="10" t="s">
        <v>555</v>
      </c>
      <c r="I17" s="13" t="s">
        <v>555</v>
      </c>
    </row>
    <row r="18">
      <c r="A18" s="4"/>
      <c r="B18" s="40" t="s">
        <v>552</v>
      </c>
      <c r="C18" s="64">
        <v>46050</v>
      </c>
      <c r="D18" s="1" t="s">
        <v>554</v>
      </c>
      <c r="E18" s="31">
        <v>0.13</v>
      </c>
      <c r="F18" s="31">
        <v>0.16</v>
      </c>
      <c r="G18" s="1">
        <f>AVERAGE(E18,F18)</f>
        <v>0.14500000000000002</v>
      </c>
      <c r="H18" s="1" t="s">
        <v>555</v>
      </c>
      <c r="I18" s="13" t="s">
        <v>555</v>
      </c>
    </row>
    <row r="19">
      <c r="A19" s="4"/>
      <c r="B19" s="13" t="s">
        <v>36</v>
      </c>
      <c r="C19" s="33">
        <v>46141</v>
      </c>
      <c r="D19" s="10" t="s">
        <v>556</v>
      </c>
      <c r="E19" s="39">
        <v>58000</v>
      </c>
      <c r="F19" s="39">
        <v>61000</v>
      </c>
      <c r="G19" s="10">
        <f>AVERAGE(E19,F19)</f>
        <v>59500</v>
      </c>
      <c r="H19" s="36">
        <f>'Income Statement'!F9</f>
        <v>60801</v>
      </c>
      <c r="I19" s="48" t="str">
        <f>IF(H19&gt;F19,"above high",IF(H19&lt;E19,"below low",IF(H19&gt;=G19,"within, ≥ mid","within, &lt; mid")))</f>
        <v>within, ≥ mid</v>
      </c>
    </row>
    <row r="20">
      <c r="A20" s="4"/>
      <c r="B20" s="13" t="s">
        <v>549</v>
      </c>
      <c r="C20" s="33">
        <v>46141</v>
      </c>
      <c r="D20" s="10" t="s">
        <v>554</v>
      </c>
      <c r="E20" s="39">
        <v>162000</v>
      </c>
      <c r="F20" s="39">
        <v>169000</v>
      </c>
      <c r="G20" s="10">
        <f>AVERAGE(E20,F20)</f>
        <v>165500</v>
      </c>
      <c r="H20" s="10" t="s">
        <v>555</v>
      </c>
      <c r="I20" s="13" t="s">
        <v>555</v>
      </c>
    </row>
    <row r="21">
      <c r="A21" s="4"/>
      <c r="B21" s="13" t="s">
        <v>551</v>
      </c>
      <c r="C21" s="33">
        <v>46141</v>
      </c>
      <c r="D21" s="10" t="s">
        <v>554</v>
      </c>
      <c r="E21" s="39">
        <v>125000</v>
      </c>
      <c r="F21" s="39">
        <v>145000</v>
      </c>
      <c r="G21" s="10">
        <f>AVERAGE(E21,F21)</f>
        <v>135000</v>
      </c>
      <c r="H21" s="10" t="s">
        <v>555</v>
      </c>
      <c r="I21" s="13" t="s">
        <v>555</v>
      </c>
    </row>
    <row r="22">
      <c r="A22" s="4"/>
      <c r="B22" s="40" t="s">
        <v>557</v>
      </c>
      <c r="C22" s="64">
        <v>46141</v>
      </c>
      <c r="D22" s="1" t="s">
        <v>556</v>
      </c>
      <c r="E22" s="31">
        <v>0.13</v>
      </c>
      <c r="F22" s="31">
        <v>0.16</v>
      </c>
      <c r="G22" s="1">
        <f>AVERAGE(E22,F22)</f>
        <v>0.14500000000000002</v>
      </c>
      <c r="H22" s="7">
        <f>'Income Statement'!F58</f>
        <v>0.15504371934314354</v>
      </c>
      <c r="I22" s="48" t="str">
        <f>IF(H22&gt;F22,"above high",IF(H22&lt;E22,"below low",IF(H22&gt;=G22,"within, ≥ mid","within, &lt; mid")))</f>
        <v>within, ≥ mid</v>
      </c>
    </row>
    <row r="23">
      <c r="A23" s="4"/>
      <c r="B23" s="13" t="s">
        <v>36</v>
      </c>
      <c r="C23" s="33">
        <v>46232</v>
      </c>
      <c r="D23" s="10" t="s">
        <v>558</v>
      </c>
      <c r="E23" s="39">
        <v>61000</v>
      </c>
      <c r="F23" s="39">
        <v>64000</v>
      </c>
      <c r="G23" s="10">
        <f>AVERAGE(E23,F23)</f>
        <v>62500</v>
      </c>
      <c r="H23" s="36">
        <f>'Income Statement'!H9</f>
        <v>63857.344000000005</v>
      </c>
      <c r="I23" s="48" t="str">
        <f>IF(H23&gt;F23,"est. above range",IF(H23&lt;E23,"est. below range","est. within range"))</f>
        <v>est. within range</v>
      </c>
    </row>
    <row r="24">
      <c r="A24" s="4"/>
      <c r="B24" s="13" t="s">
        <v>559</v>
      </c>
      <c r="C24" s="33">
        <v>46232</v>
      </c>
      <c r="D24" s="10" t="s">
        <v>554</v>
      </c>
      <c r="E24" s="39">
        <v>165000</v>
      </c>
      <c r="F24" s="39">
        <v>169000</v>
      </c>
      <c r="G24" s="10">
        <f>AVERAGE(E24,F24)</f>
        <v>167000</v>
      </c>
      <c r="H24" s="10" t="s">
        <v>555</v>
      </c>
      <c r="I24" s="13" t="s">
        <v>555</v>
      </c>
    </row>
    <row r="25">
      <c r="A25" s="4"/>
      <c r="B25" s="13" t="s">
        <v>551</v>
      </c>
      <c r="C25" s="33">
        <v>46232</v>
      </c>
      <c r="D25" s="10" t="s">
        <v>554</v>
      </c>
      <c r="E25" s="39">
        <v>130000</v>
      </c>
      <c r="F25" s="39">
        <v>145000</v>
      </c>
      <c r="G25" s="10">
        <f>AVERAGE(E25,F25)</f>
        <v>137500</v>
      </c>
      <c r="H25" s="10" t="s">
        <v>555</v>
      </c>
      <c r="I25" s="13" t="s">
        <v>555</v>
      </c>
    </row>
    <row r="26">
      <c r="A26" s="4"/>
      <c r="B26" s="40" t="s">
        <v>560</v>
      </c>
      <c r="C26" s="64">
        <v>46232</v>
      </c>
      <c r="D26" s="1" t="s">
        <v>558</v>
      </c>
      <c r="E26" s="31">
        <v>0.15</v>
      </c>
      <c r="F26" s="31">
        <v>0.17</v>
      </c>
      <c r="G26" s="1">
        <f>AVERAGE(E26,F26)</f>
        <v>0.16</v>
      </c>
      <c r="H26" s="7">
        <f>'Income Statement'!H58</f>
        <v>0.16</v>
      </c>
      <c r="I26" s="62" t="str">
        <f>IF(H26&gt;F26,"est. above range",IF(H26&lt;E26,"est. below range",IF(H26=G26,"= guide input (by construction)","est. within range")))</f>
        <v>= guide input (by construction)</v>
      </c>
    </row>
    <row r="27">
      <c r="A27" s="4"/>
      <c r="B27" s="40" t="s">
        <v>561</v>
      </c>
      <c r="C27" s="64">
        <v>46232</v>
      </c>
      <c r="D27" s="1" t="s">
        <v>558</v>
      </c>
      <c r="E27" s="31">
        <v>-0.01</v>
      </c>
      <c r="F27" s="31">
        <v>-0.01</v>
      </c>
      <c r="G27" s="1">
        <f>AVERAGE(E27,F27)</f>
        <v>-0.01</v>
      </c>
      <c r="H27" s="7">
        <f>'Revenue summary'!H46</f>
        <v>-0.01</v>
      </c>
      <c r="I27" s="62" t="str">
        <f>IF(H27&gt;F27,"est. above range",IF(H27&lt;E27,"est. below range",IF(H27=G27,"= guide input (by construction)","est. within range")))</f>
        <v>= guide input (by construction)</v>
      </c>
    </row>
    <row r="28">
      <c r="A28" s="4"/>
      <c r="B28" s="13" t="s">
        <v>562</v>
      </c>
      <c r="C28" s="33">
        <v>46260</v>
      </c>
      <c r="D28" s="10" t="s">
        <v>558</v>
      </c>
      <c r="E28" s="39">
        <v>10000</v>
      </c>
      <c r="F28" s="39">
        <v>10000</v>
      </c>
      <c r="G28" s="10">
        <f>AVERAGE(E28,F28)</f>
        <v>10000</v>
      </c>
      <c r="H28" s="36">
        <f>'Income Statement'!H35</f>
        <v>10000</v>
      </c>
      <c r="I28" s="48" t="str">
        <f>IF(H28&gt;F28,"est. above range",IF(H28&lt;E28,"est. below range",IF(H28=G28,"= guide input (by construction)","est. within range")))</f>
        <v>= guide input (by construction)</v>
      </c>
    </row>
    <row r="29">
      <c r="A29" s="4"/>
      <c r="B29" s="13"/>
      <c r="C29" s="4"/>
      <c r="D29" s="4"/>
      <c r="E29" s="4"/>
      <c r="F29" s="4"/>
      <c r="G29" s="4"/>
      <c r="H29" s="4"/>
      <c r="I29" s="2"/>
    </row>
    <row r="30">
      <c r="A30" s="4"/>
      <c r="B30" s="11" t="s">
        <v>563</v>
      </c>
      <c r="C30" s="12"/>
      <c r="D30" s="12"/>
      <c r="E30" s="12"/>
      <c r="F30" s="12"/>
      <c r="G30" s="12"/>
      <c r="H30" s="12"/>
      <c r="I30" s="2"/>
    </row>
    <row r="31">
      <c r="A31" s="4"/>
      <c r="B31" s="40" t="s">
        <v>564</v>
      </c>
      <c r="C31" s="1"/>
      <c r="D31" s="1"/>
      <c r="E31" s="1"/>
      <c r="F31" s="1"/>
      <c r="G31" s="1"/>
      <c r="H31" s="1">
        <f>H10/G10-1</f>
        <v>0.04575510204081623</v>
      </c>
      <c r="I31" s="2"/>
    </row>
    <row r="32">
      <c r="A32" s="4"/>
      <c r="B32" s="40" t="s">
        <v>565</v>
      </c>
      <c r="C32" s="1"/>
      <c r="D32" s="1"/>
      <c r="E32" s="1"/>
      <c r="F32" s="1"/>
      <c r="G32" s="1"/>
      <c r="H32" s="1">
        <f>H11/G11-1</f>
        <v>0.04161739130434783</v>
      </c>
      <c r="I32" s="2"/>
    </row>
    <row r="33">
      <c r="A33" s="4"/>
      <c r="B33" s="40" t="s">
        <v>566</v>
      </c>
      <c r="C33" s="1"/>
      <c r="D33" s="1"/>
      <c r="E33" s="1"/>
      <c r="F33" s="1"/>
      <c r="G33" s="1"/>
      <c r="H33" s="1">
        <f>H15/G15-1</f>
        <v>0.023836363636363656</v>
      </c>
      <c r="I33" s="2"/>
    </row>
    <row r="34">
      <c r="A34" s="4"/>
      <c r="B34" s="40" t="s">
        <v>567</v>
      </c>
      <c r="C34" s="1"/>
      <c r="D34" s="1"/>
      <c r="E34" s="1"/>
      <c r="F34" s="1"/>
      <c r="G34" s="1"/>
      <c r="H34" s="1">
        <f>H19/G19-1</f>
        <v>0.021865546218487353</v>
      </c>
      <c r="I34" s="2"/>
    </row>
    <row r="35">
      <c r="A35" s="4"/>
      <c r="B35" s="69" t="s">
        <v>568</v>
      </c>
      <c r="C35" s="38"/>
      <c r="D35" s="38"/>
      <c r="E35" s="38"/>
      <c r="F35" s="38"/>
      <c r="G35" s="38"/>
      <c r="H35" s="38">
        <f>AVERAGE(H31:H34)</f>
        <v>0.03326860080000377</v>
      </c>
      <c r="I35" s="2"/>
    </row>
    <row r="36">
      <c r="A36" s="4"/>
      <c r="B36" s="40" t="s">
        <v>569</v>
      </c>
      <c r="C36" s="1"/>
      <c r="D36" s="1"/>
      <c r="E36" s="1"/>
      <c r="F36" s="1"/>
      <c r="G36" s="1"/>
      <c r="H36" s="1">
        <f>H23/G23-1</f>
        <v>0.021717504000000165</v>
      </c>
      <c r="I36" s="2"/>
    </row>
    <row r="37">
      <c r="A37" s="4"/>
      <c r="B37" s="13"/>
      <c r="C37" s="4"/>
      <c r="D37" s="4"/>
      <c r="E37" s="4"/>
      <c r="F37" s="4"/>
      <c r="G37" s="4"/>
      <c r="H37" s="4"/>
      <c r="I37" s="2"/>
    </row>
    <row r="38">
      <c r="A38" s="4"/>
      <c r="B38" s="11" t="s">
        <v>570</v>
      </c>
      <c r="C38" s="12"/>
      <c r="D38" s="12"/>
      <c r="E38" s="12"/>
      <c r="F38" s="12"/>
      <c r="G38" s="12"/>
      <c r="H38" s="12"/>
      <c r="I38" s="2"/>
    </row>
    <row r="39">
      <c r="A39" s="4"/>
      <c r="B39" s="13" t="s">
        <v>571</v>
      </c>
      <c r="C39" s="10"/>
      <c r="D39" s="10"/>
      <c r="E39" s="10"/>
      <c r="F39" s="10"/>
      <c r="G39" s="10"/>
      <c r="H39" s="10">
        <f>G23</f>
        <v>62500</v>
      </c>
      <c r="I39" s="2"/>
    </row>
    <row r="40">
      <c r="A40" s="4"/>
      <c r="B40" s="13" t="s">
        <v>572</v>
      </c>
      <c r="C40" s="10"/>
      <c r="D40" s="10"/>
      <c r="E40" s="10"/>
      <c r="F40" s="10"/>
      <c r="G40" s="10"/>
      <c r="H40" s="36">
        <f>'Income Statement'!H42</f>
        <v>42401.276416</v>
      </c>
      <c r="I40" s="2"/>
    </row>
    <row r="41">
      <c r="A41" s="4"/>
      <c r="B41" s="13" t="s">
        <v>573</v>
      </c>
      <c r="C41" s="10"/>
      <c r="D41" s="10"/>
      <c r="E41" s="10"/>
      <c r="F41" s="10"/>
      <c r="G41" s="10"/>
      <c r="H41" s="36">
        <f>'Income Statement'!H53</f>
        <v>-150</v>
      </c>
      <c r="I41" s="2"/>
    </row>
    <row r="42">
      <c r="A42" s="4"/>
      <c r="B42" s="11" t="s">
        <v>574</v>
      </c>
      <c r="C42" s="37"/>
      <c r="D42" s="37"/>
      <c r="E42" s="37"/>
      <c r="F42" s="37"/>
      <c r="G42" s="37"/>
      <c r="H42" s="37">
        <f>H39-H40+H41</f>
        <v>19948.723584</v>
      </c>
      <c r="I42" s="2"/>
    </row>
    <row r="43">
      <c r="A43" s="4"/>
      <c r="B43" s="40" t="s">
        <v>575</v>
      </c>
      <c r="C43" s="1"/>
      <c r="D43" s="1"/>
      <c r="E43" s="1"/>
      <c r="F43" s="1"/>
      <c r="G43" s="1"/>
      <c r="H43" s="1">
        <f>G26</f>
        <v>0.16</v>
      </c>
      <c r="I43" s="2"/>
    </row>
    <row r="44">
      <c r="A44" s="4"/>
      <c r="B44" s="11" t="s">
        <v>576</v>
      </c>
      <c r="C44" s="37"/>
      <c r="D44" s="37"/>
      <c r="E44" s="37"/>
      <c r="F44" s="37"/>
      <c r="G44" s="37"/>
      <c r="H44" s="37">
        <f>H42*(1-H43)</f>
        <v>16756.92781056</v>
      </c>
      <c r="I44" s="2"/>
    </row>
    <row r="45">
      <c r="A45" s="4"/>
      <c r="B45" s="11" t="s">
        <v>577</v>
      </c>
      <c r="C45" s="32"/>
      <c r="D45" s="32"/>
      <c r="E45" s="32"/>
      <c r="F45" s="32"/>
      <c r="G45" s="32"/>
      <c r="H45" s="27">
        <f>H44/'Share Count'!H15</f>
        <v>6.515135229611197</v>
      </c>
      <c r="I45" s="2"/>
    </row>
    <row r="46">
      <c r="A46" s="4"/>
      <c r="B46" s="13" t="s">
        <v>578</v>
      </c>
      <c r="C46" s="10"/>
      <c r="D46" s="10"/>
      <c r="E46" s="10"/>
      <c r="F46" s="10"/>
      <c r="G46" s="10"/>
      <c r="H46" s="10">
        <f>(H42-G28)*(1-H43)</f>
        <v>8356.927810559999</v>
      </c>
      <c r="I46" s="2"/>
    </row>
    <row r="47">
      <c r="A47" s="4"/>
      <c r="B47" s="13" t="s">
        <v>579</v>
      </c>
      <c r="C47" s="20"/>
      <c r="D47" s="20"/>
      <c r="E47" s="20"/>
      <c r="F47" s="20"/>
      <c r="G47" s="20"/>
      <c r="H47" s="59">
        <f>H46/'Share Count'!H15</f>
        <v>3.249194327589424</v>
      </c>
      <c r="I47" s="2"/>
    </row>
    <row r="48">
      <c r="A48" s="4"/>
      <c r="B48" s="4"/>
      <c r="C48" s="4"/>
      <c r="D48" s="4"/>
      <c r="E48" s="4"/>
      <c r="F48" s="4"/>
      <c r="G48" s="4"/>
      <c r="H48" s="4"/>
      <c r="I48" s="4"/>
    </row>
    <row r="49">
      <c r="A49" s="4"/>
      <c r="B49" s="4"/>
      <c r="C49" s="4"/>
      <c r="D49" s="4"/>
      <c r="E49" s="4"/>
      <c r="F49" s="4"/>
      <c r="G49" s="4"/>
      <c r="H49" s="4"/>
      <c r="I49" s="4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I4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580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98" t="s">
        <v>14</v>
      </c>
      <c r="C8" s="4"/>
      <c r="D8" s="4"/>
      <c r="E8" s="4"/>
      <c r="F8" s="4"/>
      <c r="G8" s="4"/>
      <c r="H8" s="4"/>
      <c r="I8" s="4"/>
    </row>
    <row r="9">
      <c r="A9" s="4"/>
      <c r="B9" s="86" t="s">
        <v>581</v>
      </c>
      <c r="C9" s="86" t="s">
        <v>582</v>
      </c>
      <c r="D9" s="102" t="s">
        <v>583</v>
      </c>
      <c r="E9" s="117" t="s">
        <v>584</v>
      </c>
      <c r="F9" s="83"/>
      <c r="G9" s="83"/>
      <c r="H9" s="83"/>
      <c r="I9" s="101" t="s">
        <v>585</v>
      </c>
    </row>
    <row r="10" ht="30">
      <c r="A10" s="4"/>
      <c r="B10" s="80" t="s">
        <v>586</v>
      </c>
      <c r="C10" s="13" t="s">
        <v>587</v>
      </c>
      <c r="D10" s="100">
        <v>46313</v>
      </c>
      <c r="E10" s="13" t="s">
        <v>588</v>
      </c>
      <c r="F10" s="4"/>
      <c r="G10" s="4"/>
      <c r="H10" s="4"/>
      <c r="I10" s="13" t="s">
        <v>589</v>
      </c>
    </row>
    <row r="11" ht="30">
      <c r="A11" s="4"/>
      <c r="B11" s="80" t="s">
        <v>590</v>
      </c>
      <c r="C11" s="13" t="s">
        <v>308</v>
      </c>
      <c r="D11" s="100">
        <v>46313</v>
      </c>
      <c r="E11" s="13" t="s">
        <v>588</v>
      </c>
      <c r="F11" s="4"/>
      <c r="G11" s="4"/>
      <c r="H11" s="4"/>
      <c r="I11" s="13" t="s">
        <v>591</v>
      </c>
    </row>
    <row r="12" ht="30">
      <c r="A12" s="4"/>
      <c r="B12" s="80" t="s">
        <v>592</v>
      </c>
      <c r="C12" s="13" t="s">
        <v>593</v>
      </c>
      <c r="D12" s="100">
        <v>46232</v>
      </c>
      <c r="E12" s="13" t="s">
        <v>594</v>
      </c>
      <c r="F12" s="4"/>
      <c r="G12" s="4"/>
      <c r="H12" s="4"/>
      <c r="I12" s="13" t="s">
        <v>595</v>
      </c>
    </row>
    <row r="13" ht="30">
      <c r="A13" s="4"/>
      <c r="B13" s="80" t="s">
        <v>596</v>
      </c>
      <c r="C13" s="13" t="s">
        <v>597</v>
      </c>
      <c r="D13" s="100">
        <v>46141</v>
      </c>
      <c r="E13" s="13" t="s">
        <v>594</v>
      </c>
      <c r="F13" s="4"/>
      <c r="G13" s="4"/>
      <c r="H13" s="4"/>
      <c r="I13" s="13" t="s">
        <v>598</v>
      </c>
    </row>
    <row r="14" ht="30">
      <c r="A14" s="4"/>
      <c r="B14" s="80" t="s">
        <v>599</v>
      </c>
      <c r="C14" s="13" t="s">
        <v>600</v>
      </c>
      <c r="D14" s="100">
        <v>46050</v>
      </c>
      <c r="E14" s="13" t="s">
        <v>594</v>
      </c>
      <c r="F14" s="4"/>
      <c r="G14" s="4"/>
      <c r="H14" s="4"/>
      <c r="I14" s="13" t="s">
        <v>601</v>
      </c>
    </row>
    <row r="15" ht="30">
      <c r="A15" s="4"/>
      <c r="B15" s="80" t="s">
        <v>602</v>
      </c>
      <c r="C15" s="13" t="s">
        <v>603</v>
      </c>
      <c r="D15" s="100">
        <v>45959</v>
      </c>
      <c r="E15" s="13" t="s">
        <v>594</v>
      </c>
      <c r="F15" s="4"/>
      <c r="G15" s="4"/>
      <c r="H15" s="4"/>
      <c r="I15" s="13" t="s">
        <v>604</v>
      </c>
    </row>
    <row r="16" ht="30">
      <c r="A16" s="4"/>
      <c r="B16" s="80" t="s">
        <v>605</v>
      </c>
      <c r="C16" s="13" t="s">
        <v>138</v>
      </c>
      <c r="D16" s="100">
        <v>46232</v>
      </c>
      <c r="E16" s="13" t="s">
        <v>606</v>
      </c>
      <c r="F16" s="4"/>
      <c r="G16" s="4"/>
      <c r="H16" s="4"/>
      <c r="I16" s="13" t="s">
        <v>607</v>
      </c>
    </row>
    <row r="17" ht="30">
      <c r="A17" s="4"/>
      <c r="B17" s="80" t="s">
        <v>608</v>
      </c>
      <c r="C17" s="13" t="s">
        <v>609</v>
      </c>
      <c r="D17" s="100">
        <v>46232</v>
      </c>
      <c r="E17" s="13" t="s">
        <v>606</v>
      </c>
      <c r="F17" s="4"/>
      <c r="G17" s="4"/>
      <c r="H17" s="4"/>
      <c r="I17" s="13" t="s">
        <v>610</v>
      </c>
    </row>
    <row r="18" ht="30">
      <c r="A18" s="4"/>
      <c r="B18" s="80" t="s">
        <v>611</v>
      </c>
      <c r="C18" s="13" t="s">
        <v>612</v>
      </c>
      <c r="D18" s="100">
        <v>46233</v>
      </c>
      <c r="E18" s="13" t="s">
        <v>613</v>
      </c>
      <c r="F18" s="4"/>
      <c r="G18" s="4"/>
      <c r="H18" s="4"/>
      <c r="I18" s="13" t="s">
        <v>614</v>
      </c>
    </row>
    <row r="19" ht="30">
      <c r="A19" s="4"/>
      <c r="B19" s="80" t="s">
        <v>615</v>
      </c>
      <c r="C19" s="13" t="s">
        <v>616</v>
      </c>
      <c r="D19" s="100">
        <v>46051</v>
      </c>
      <c r="E19" s="13" t="s">
        <v>617</v>
      </c>
      <c r="F19" s="4"/>
      <c r="G19" s="4"/>
      <c r="H19" s="4"/>
      <c r="I19" s="13" t="s">
        <v>618</v>
      </c>
    </row>
    <row r="20" ht="30">
      <c r="A20" s="4"/>
      <c r="B20" s="80" t="s">
        <v>619</v>
      </c>
      <c r="C20" s="13" t="s">
        <v>620</v>
      </c>
      <c r="D20" s="100">
        <v>45868</v>
      </c>
      <c r="E20" s="13" t="s">
        <v>594</v>
      </c>
      <c r="F20" s="4"/>
      <c r="G20" s="4"/>
      <c r="H20" s="4"/>
      <c r="I20" s="13" t="s">
        <v>621</v>
      </c>
    </row>
    <row r="21" ht="30">
      <c r="A21" s="4"/>
      <c r="B21" s="80" t="s">
        <v>622</v>
      </c>
      <c r="C21" s="13" t="s">
        <v>623</v>
      </c>
      <c r="D21" s="100">
        <v>45686</v>
      </c>
      <c r="E21" s="13" t="s">
        <v>594</v>
      </c>
      <c r="F21" s="4"/>
      <c r="G21" s="4"/>
      <c r="H21" s="4"/>
      <c r="I21" s="13" t="s">
        <v>624</v>
      </c>
    </row>
    <row r="22" ht="30">
      <c r="A22" s="4"/>
      <c r="B22" s="80" t="s">
        <v>625</v>
      </c>
      <c r="C22" s="13" t="s">
        <v>626</v>
      </c>
      <c r="D22" s="100">
        <v>46307</v>
      </c>
      <c r="E22" s="13" t="s">
        <v>627</v>
      </c>
      <c r="F22" s="4"/>
      <c r="G22" s="4"/>
      <c r="H22" s="4"/>
      <c r="I22" s="13" t="s">
        <v>628</v>
      </c>
    </row>
    <row r="23" ht="30">
      <c r="A23" s="4"/>
      <c r="B23" s="80" t="s">
        <v>629</v>
      </c>
      <c r="C23" s="13" t="s">
        <v>630</v>
      </c>
      <c r="D23" s="100">
        <v>46260</v>
      </c>
      <c r="E23" s="13" t="s">
        <v>631</v>
      </c>
      <c r="F23" s="4"/>
      <c r="G23" s="4"/>
      <c r="H23" s="4"/>
      <c r="I23" s="13" t="s">
        <v>632</v>
      </c>
    </row>
    <row r="24" ht="30">
      <c r="A24" s="4"/>
      <c r="B24" s="80" t="s">
        <v>633</v>
      </c>
      <c r="C24" s="13" t="s">
        <v>634</v>
      </c>
      <c r="D24" s="100">
        <v>46260</v>
      </c>
      <c r="E24" s="13" t="s">
        <v>635</v>
      </c>
      <c r="F24" s="4"/>
      <c r="G24" s="4"/>
      <c r="H24" s="4"/>
      <c r="I24" s="13" t="s">
        <v>636</v>
      </c>
    </row>
    <row r="25" ht="30">
      <c r="A25" s="4"/>
      <c r="B25" s="80" t="s">
        <v>637</v>
      </c>
      <c r="C25" s="13" t="s">
        <v>638</v>
      </c>
      <c r="D25" s="100">
        <v>46267</v>
      </c>
      <c r="E25" s="13" t="s">
        <v>635</v>
      </c>
      <c r="F25" s="4"/>
      <c r="G25" s="4"/>
      <c r="H25" s="4"/>
      <c r="I25" s="13" t="s">
        <v>639</v>
      </c>
    </row>
    <row r="26" ht="30">
      <c r="A26" s="4"/>
      <c r="B26" s="80" t="s">
        <v>640</v>
      </c>
      <c r="C26" s="13" t="s">
        <v>641</v>
      </c>
      <c r="D26" s="100">
        <v>46313</v>
      </c>
      <c r="E26" s="13" t="s">
        <v>642</v>
      </c>
      <c r="F26" s="4"/>
      <c r="G26" s="4"/>
      <c r="H26" s="4"/>
      <c r="I26" s="13" t="s">
        <v>643</v>
      </c>
    </row>
    <row r="27" ht="30">
      <c r="A27" s="4"/>
      <c r="B27" s="80" t="s">
        <v>644</v>
      </c>
      <c r="C27" s="13" t="s">
        <v>645</v>
      </c>
      <c r="D27" s="100">
        <v>46311</v>
      </c>
      <c r="E27" s="13" t="s">
        <v>646</v>
      </c>
      <c r="F27" s="4"/>
      <c r="G27" s="4"/>
      <c r="H27" s="4"/>
      <c r="I27" s="13" t="s">
        <v>647</v>
      </c>
    </row>
    <row r="28" ht="30">
      <c r="A28" s="4"/>
      <c r="B28" s="80" t="s">
        <v>648</v>
      </c>
      <c r="C28" s="13" t="s">
        <v>649</v>
      </c>
      <c r="D28" s="100">
        <v>46311</v>
      </c>
      <c r="E28" s="13" t="s">
        <v>650</v>
      </c>
      <c r="F28" s="4"/>
      <c r="G28" s="4"/>
      <c r="H28" s="4"/>
      <c r="I28" s="13" t="s">
        <v>651</v>
      </c>
    </row>
    <row r="29" ht="30">
      <c r="A29" s="4"/>
      <c r="B29" s="80" t="s">
        <v>652</v>
      </c>
      <c r="C29" s="13" t="s">
        <v>653</v>
      </c>
      <c r="D29" s="100">
        <v>46311</v>
      </c>
      <c r="E29" s="13" t="s">
        <v>654</v>
      </c>
      <c r="F29" s="4"/>
      <c r="G29" s="4"/>
      <c r="H29" s="4"/>
      <c r="I29" s="13" t="s">
        <v>655</v>
      </c>
    </row>
    <row r="30" ht="45">
      <c r="A30" s="4"/>
      <c r="B30" s="80" t="s">
        <v>656</v>
      </c>
      <c r="C30" s="13" t="s">
        <v>657</v>
      </c>
      <c r="D30" s="100">
        <v>46295</v>
      </c>
      <c r="E30" s="13" t="s">
        <v>658</v>
      </c>
      <c r="F30" s="4"/>
      <c r="G30" s="4"/>
      <c r="H30" s="4"/>
      <c r="I30" s="13" t="s">
        <v>659</v>
      </c>
    </row>
    <row r="31" ht="30">
      <c r="A31" s="4"/>
      <c r="B31" s="80" t="s">
        <v>660</v>
      </c>
      <c r="C31" s="13" t="s">
        <v>661</v>
      </c>
      <c r="D31" s="100">
        <v>46240</v>
      </c>
      <c r="E31" s="13" t="s">
        <v>662</v>
      </c>
      <c r="F31" s="4"/>
      <c r="G31" s="4"/>
      <c r="H31" s="4"/>
      <c r="I31" s="13" t="s">
        <v>663</v>
      </c>
    </row>
    <row r="32" ht="30">
      <c r="A32" s="4"/>
      <c r="B32" s="80" t="s">
        <v>664</v>
      </c>
      <c r="C32" s="13" t="s">
        <v>665</v>
      </c>
      <c r="D32" s="100">
        <v>46277</v>
      </c>
      <c r="E32" s="13" t="s">
        <v>666</v>
      </c>
      <c r="F32" s="4"/>
      <c r="G32" s="4"/>
      <c r="H32" s="4"/>
      <c r="I32" s="13" t="s">
        <v>667</v>
      </c>
    </row>
    <row r="33" ht="30">
      <c r="A33" s="4"/>
      <c r="B33" s="80" t="s">
        <v>668</v>
      </c>
      <c r="C33" s="13" t="s">
        <v>669</v>
      </c>
      <c r="D33" s="100">
        <v>46287</v>
      </c>
      <c r="E33" s="13" t="s">
        <v>662</v>
      </c>
      <c r="F33" s="4"/>
      <c r="G33" s="4"/>
      <c r="H33" s="4"/>
      <c r="I33" s="13" t="s">
        <v>670</v>
      </c>
    </row>
    <row r="34" ht="30">
      <c r="A34" s="4"/>
      <c r="B34" s="80" t="s">
        <v>671</v>
      </c>
      <c r="C34" s="13" t="s">
        <v>672</v>
      </c>
      <c r="D34" s="100">
        <v>46311</v>
      </c>
      <c r="E34" s="13" t="s">
        <v>673</v>
      </c>
      <c r="F34" s="4"/>
      <c r="G34" s="4"/>
      <c r="H34" s="4"/>
      <c r="I34" s="13" t="s">
        <v>674</v>
      </c>
    </row>
    <row r="35" ht="30">
      <c r="A35" s="4"/>
      <c r="B35" s="80" t="s">
        <v>675</v>
      </c>
      <c r="C35" s="13" t="s">
        <v>676</v>
      </c>
      <c r="D35" s="100">
        <v>46234</v>
      </c>
      <c r="E35" s="13" t="s">
        <v>677</v>
      </c>
      <c r="F35" s="4"/>
      <c r="G35" s="4"/>
      <c r="H35" s="4"/>
      <c r="I35" s="13" t="s">
        <v>678</v>
      </c>
    </row>
    <row r="36">
      <c r="A36" s="4"/>
      <c r="B36" s="13"/>
      <c r="C36" s="4"/>
      <c r="D36" s="4"/>
      <c r="E36" s="4"/>
      <c r="F36" s="4"/>
      <c r="G36" s="4"/>
      <c r="H36" s="4"/>
      <c r="I36" s="2"/>
    </row>
    <row r="37">
      <c r="A37" s="4"/>
      <c r="B37" s="13" t="s">
        <v>679</v>
      </c>
      <c r="C37" s="4"/>
      <c r="D37" s="4"/>
      <c r="E37" s="4"/>
      <c r="F37" s="4"/>
      <c r="G37" s="4"/>
      <c r="H37" s="4"/>
      <c r="I37" s="2"/>
    </row>
    <row r="38">
      <c r="A38" s="4"/>
      <c r="B38" s="13" t="s">
        <v>680</v>
      </c>
      <c r="C38" s="4"/>
      <c r="D38" s="4"/>
      <c r="E38" s="4"/>
      <c r="F38" s="4"/>
      <c r="G38" s="4"/>
      <c r="H38" s="4"/>
      <c r="I38" s="2"/>
    </row>
    <row r="39">
      <c r="A39" s="4"/>
      <c r="B39" s="13" t="s">
        <v>681</v>
      </c>
      <c r="C39" s="4"/>
      <c r="D39" s="4"/>
      <c r="E39" s="4"/>
      <c r="F39" s="4"/>
      <c r="G39" s="4"/>
      <c r="H39" s="4"/>
      <c r="I39" s="2"/>
    </row>
    <row r="40">
      <c r="A40" s="4"/>
      <c r="B40" s="4"/>
      <c r="C40" s="4"/>
      <c r="D40" s="4"/>
      <c r="E40" s="4"/>
      <c r="F40" s="4"/>
      <c r="G40" s="4"/>
      <c r="H40" s="4"/>
      <c r="I40" s="4"/>
    </row>
    <row r="41">
      <c r="A41" s="4"/>
      <c r="B41" s="4"/>
      <c r="C41" s="4"/>
      <c r="D41" s="4"/>
      <c r="E41" s="4"/>
      <c r="F41" s="4"/>
      <c r="G41" s="4"/>
      <c r="H41" s="4"/>
      <c r="I41" s="4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2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8" customWidth="1"/>
  </cols>
  <sheetData>
    <row r="1">
      <c r="A1" s="4"/>
      <c r="B1" s="4"/>
      <c r="C1" s="4"/>
      <c r="D1" s="4"/>
      <c r="E1" s="4"/>
      <c r="F1" s="4"/>
      <c r="G1" s="4"/>
      <c r="H1" s="4"/>
      <c r="I1" s="4"/>
    </row>
    <row r="2">
      <c r="A2" s="4"/>
      <c r="B2" s="47" t="s">
        <v>1</v>
      </c>
      <c r="C2" s="4"/>
      <c r="D2" s="4"/>
      <c r="E2" s="4"/>
      <c r="F2" s="4"/>
      <c r="G2" s="4"/>
      <c r="H2" s="4"/>
      <c r="I2" s="4"/>
    </row>
    <row r="3">
      <c r="A3" s="4"/>
      <c r="B3" s="12" t="s">
        <v>682</v>
      </c>
      <c r="C3" s="4"/>
      <c r="D3" s="4"/>
      <c r="E3" s="4"/>
      <c r="F3" s="4"/>
      <c r="G3" s="4"/>
      <c r="H3" s="4"/>
      <c r="I3" s="4"/>
    </row>
    <row r="4">
      <c r="A4" s="4"/>
      <c r="B4" s="41" t="s">
        <v>3</v>
      </c>
      <c r="C4" s="4"/>
      <c r="D4" s="4"/>
      <c r="E4" s="4"/>
      <c r="F4" s="4"/>
      <c r="G4" s="4"/>
      <c r="H4" s="4"/>
      <c r="I4" s="4"/>
    </row>
    <row r="5">
      <c r="A5" s="4"/>
      <c r="B5" s="57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6" t="s">
        <v>10</v>
      </c>
      <c r="I5" s="115" t="s">
        <v>11</v>
      </c>
    </row>
    <row r="6">
      <c r="A6" s="4"/>
      <c r="B6" s="30" t="s">
        <v>12</v>
      </c>
      <c r="C6" s="9">
        <v>45930</v>
      </c>
      <c r="D6" s="9">
        <v>46022</v>
      </c>
      <c r="E6" s="9">
        <v>46112</v>
      </c>
      <c r="F6" s="9">
        <v>46203</v>
      </c>
      <c r="G6" s="9">
        <v>46022</v>
      </c>
      <c r="H6" s="9">
        <v>46295</v>
      </c>
      <c r="I6" s="29"/>
    </row>
    <row r="7">
      <c r="A7" s="4"/>
      <c r="B7" s="55" t="s">
        <v>13</v>
      </c>
      <c r="C7" s="21">
        <v>92</v>
      </c>
      <c r="D7" s="21">
        <v>92</v>
      </c>
      <c r="E7" s="21">
        <v>90</v>
      </c>
      <c r="F7" s="21">
        <v>91</v>
      </c>
      <c r="G7" s="21">
        <v>365</v>
      </c>
      <c r="H7" s="21">
        <v>92</v>
      </c>
      <c r="I7" s="22"/>
    </row>
    <row r="8">
      <c r="A8" s="4"/>
      <c r="B8" s="98" t="s">
        <v>683</v>
      </c>
      <c r="C8" s="4"/>
      <c r="D8" s="4"/>
      <c r="E8" s="4"/>
      <c r="F8" s="4"/>
      <c r="G8" s="4"/>
      <c r="H8" s="4"/>
      <c r="I8" s="4"/>
    </row>
    <row r="9">
      <c r="A9" s="4"/>
      <c r="B9" s="11" t="s">
        <v>684</v>
      </c>
      <c r="C9" s="12"/>
      <c r="D9" s="12"/>
      <c r="E9" s="12"/>
      <c r="F9" s="12"/>
      <c r="G9" s="12"/>
      <c r="H9" s="12"/>
      <c r="I9" s="2"/>
    </row>
    <row r="10">
      <c r="A10" s="4"/>
      <c r="B10" s="13" t="s">
        <v>685</v>
      </c>
      <c r="C10" s="13" t="s">
        <v>686</v>
      </c>
      <c r="D10" s="4"/>
      <c r="E10" s="4"/>
      <c r="F10" s="4"/>
      <c r="G10" s="4"/>
      <c r="H10" s="4"/>
      <c r="I10" s="2" t="s">
        <v>687</v>
      </c>
    </row>
    <row r="11">
      <c r="A11" s="4"/>
      <c r="B11" s="13" t="s">
        <v>688</v>
      </c>
      <c r="C11" s="13" t="s">
        <v>689</v>
      </c>
      <c r="D11" s="4"/>
      <c r="E11" s="4"/>
      <c r="F11" s="4"/>
      <c r="G11" s="4"/>
      <c r="H11" s="4"/>
      <c r="I11" s="2" t="s">
        <v>687</v>
      </c>
    </row>
    <row r="12">
      <c r="A12" s="4"/>
      <c r="B12" s="13" t="s">
        <v>690</v>
      </c>
      <c r="C12" s="13" t="s">
        <v>16</v>
      </c>
      <c r="D12" s="4"/>
      <c r="E12" s="4"/>
      <c r="F12" s="4"/>
      <c r="G12" s="4"/>
      <c r="H12" s="4"/>
      <c r="I12" s="2" t="s">
        <v>687</v>
      </c>
    </row>
    <row r="13">
      <c r="A13" s="4"/>
      <c r="B13" s="13" t="s">
        <v>691</v>
      </c>
      <c r="C13" s="13" t="s">
        <v>692</v>
      </c>
      <c r="D13" s="4"/>
      <c r="E13" s="4"/>
      <c r="F13" s="4"/>
      <c r="G13" s="4"/>
      <c r="H13" s="4"/>
      <c r="I13" s="2" t="s">
        <v>687</v>
      </c>
    </row>
    <row r="14">
      <c r="A14" s="4"/>
      <c r="B14" s="13" t="s">
        <v>693</v>
      </c>
      <c r="C14" s="100">
        <v>46295</v>
      </c>
      <c r="D14" s="4"/>
      <c r="E14" s="4"/>
      <c r="F14" s="4"/>
      <c r="G14" s="4"/>
      <c r="H14" s="4"/>
      <c r="I14" s="2" t="s">
        <v>687</v>
      </c>
    </row>
    <row r="15">
      <c r="A15" s="4"/>
      <c r="B15" s="13" t="s">
        <v>694</v>
      </c>
      <c r="C15" s="100">
        <v>46313</v>
      </c>
      <c r="D15" s="4"/>
      <c r="E15" s="4"/>
      <c r="F15" s="4"/>
      <c r="G15" s="4"/>
      <c r="H15" s="4"/>
      <c r="I15" s="2" t="s">
        <v>687</v>
      </c>
    </row>
    <row r="16">
      <c r="A16" s="4"/>
      <c r="B16" s="13" t="s">
        <v>695</v>
      </c>
      <c r="C16" s="92">
        <v>11</v>
      </c>
      <c r="D16" s="4"/>
      <c r="E16" s="4"/>
      <c r="F16" s="4"/>
      <c r="G16" s="4"/>
      <c r="H16" s="4"/>
      <c r="I16" s="2" t="s">
        <v>687</v>
      </c>
    </row>
    <row r="17">
      <c r="A17" s="4"/>
      <c r="B17" s="13" t="s">
        <v>696</v>
      </c>
      <c r="C17" s="77">
        <v>6.76</v>
      </c>
      <c r="D17" s="4"/>
      <c r="E17" s="4"/>
      <c r="F17" s="4"/>
      <c r="G17" s="4"/>
      <c r="H17" s="4"/>
      <c r="I17" s="2" t="s">
        <v>687</v>
      </c>
    </row>
    <row r="18">
      <c r="A18" s="4"/>
      <c r="B18" s="13" t="s">
        <v>697</v>
      </c>
      <c r="C18" s="13" t="s">
        <v>698</v>
      </c>
      <c r="D18" s="4"/>
      <c r="E18" s="4"/>
      <c r="F18" s="4"/>
      <c r="G18" s="4"/>
      <c r="H18" s="4"/>
      <c r="I18" s="2" t="s">
        <v>687</v>
      </c>
    </row>
    <row r="19">
      <c r="A19" s="4"/>
      <c r="B19" s="13" t="s">
        <v>699</v>
      </c>
      <c r="C19" s="91">
        <v>63388.57</v>
      </c>
      <c r="D19" s="4"/>
      <c r="E19" s="4"/>
      <c r="F19" s="4"/>
      <c r="G19" s="4"/>
      <c r="H19" s="4"/>
      <c r="I19" s="2" t="s">
        <v>687</v>
      </c>
    </row>
    <row r="20">
      <c r="A20" s="4"/>
      <c r="B20" s="13" t="s">
        <v>700</v>
      </c>
      <c r="C20" s="13" t="s">
        <v>701</v>
      </c>
      <c r="D20" s="4"/>
      <c r="E20" s="4"/>
      <c r="F20" s="4"/>
      <c r="G20" s="4"/>
      <c r="H20" s="4"/>
      <c r="I20" s="2" t="s">
        <v>687</v>
      </c>
    </row>
    <row r="21">
      <c r="A21" s="4"/>
      <c r="B21" s="13" t="s">
        <v>702</v>
      </c>
      <c r="C21" s="13" t="s">
        <v>703</v>
      </c>
      <c r="D21" s="4"/>
      <c r="E21" s="4"/>
      <c r="F21" s="4"/>
      <c r="G21" s="4"/>
      <c r="H21" s="4"/>
      <c r="I21" s="2" t="s">
        <v>687</v>
      </c>
    </row>
    <row r="22">
      <c r="A22" s="4"/>
      <c r="B22" s="13" t="s">
        <v>704</v>
      </c>
      <c r="C22" s="13" t="s">
        <v>705</v>
      </c>
      <c r="D22" s="4"/>
      <c r="E22" s="4"/>
      <c r="F22" s="4"/>
      <c r="G22" s="4"/>
      <c r="H22" s="4"/>
      <c r="I22" s="2" t="s">
        <v>687</v>
      </c>
    </row>
    <row r="23">
      <c r="A23" s="4"/>
      <c r="B23" s="13" t="s">
        <v>706</v>
      </c>
      <c r="C23" s="13" t="s">
        <v>701</v>
      </c>
      <c r="D23" s="4"/>
      <c r="E23" s="4"/>
      <c r="F23" s="4"/>
      <c r="G23" s="4"/>
      <c r="H23" s="4"/>
      <c r="I23" s="2" t="s">
        <v>687</v>
      </c>
    </row>
    <row r="24">
      <c r="A24" s="4"/>
      <c r="B24" s="13" t="s">
        <v>707</v>
      </c>
      <c r="C24" s="13" t="s">
        <v>701</v>
      </c>
      <c r="D24" s="4"/>
      <c r="E24" s="4"/>
      <c r="F24" s="4"/>
      <c r="G24" s="4"/>
      <c r="H24" s="4"/>
      <c r="I24" s="2" t="s">
        <v>708</v>
      </c>
    </row>
    <row r="25">
      <c r="A25" s="4"/>
      <c r="B25" s="13" t="s">
        <v>709</v>
      </c>
      <c r="C25" s="13" t="s">
        <v>710</v>
      </c>
      <c r="D25" s="4"/>
      <c r="E25" s="4"/>
      <c r="F25" s="4"/>
      <c r="G25" s="4"/>
      <c r="H25" s="4"/>
      <c r="I25" s="2" t="s">
        <v>708</v>
      </c>
    </row>
    <row r="26">
      <c r="A26" s="4"/>
      <c r="B26" s="13" t="s">
        <v>711</v>
      </c>
      <c r="C26" s="13" t="s">
        <v>701</v>
      </c>
      <c r="D26" s="4"/>
      <c r="E26" s="4"/>
      <c r="F26" s="4"/>
      <c r="G26" s="4"/>
      <c r="H26" s="4"/>
      <c r="I26" s="2" t="s">
        <v>708</v>
      </c>
    </row>
    <row r="27">
      <c r="A27" s="4"/>
      <c r="B27" s="13" t="s">
        <v>712</v>
      </c>
      <c r="C27" s="13" t="s">
        <v>713</v>
      </c>
      <c r="D27" s="4"/>
      <c r="E27" s="4"/>
      <c r="F27" s="4"/>
      <c r="G27" s="4"/>
      <c r="H27" s="4"/>
      <c r="I27" s="2" t="s">
        <v>708</v>
      </c>
    </row>
    <row r="28">
      <c r="A28" s="4"/>
      <c r="B28" s="11" t="s">
        <v>714</v>
      </c>
      <c r="C28" s="12"/>
      <c r="D28" s="12"/>
      <c r="E28" s="12"/>
      <c r="F28" s="12"/>
      <c r="G28" s="12"/>
      <c r="H28" s="12"/>
      <c r="I28" s="2"/>
    </row>
    <row r="29">
      <c r="A29" s="4"/>
      <c r="B29" s="13" t="s">
        <v>688</v>
      </c>
      <c r="C29" s="13" t="s">
        <v>689</v>
      </c>
      <c r="D29" s="4"/>
      <c r="E29" s="4"/>
      <c r="F29" s="4"/>
      <c r="G29" s="4"/>
      <c r="H29" s="4"/>
      <c r="I29" s="2" t="s">
        <v>715</v>
      </c>
    </row>
    <row r="30">
      <c r="A30" s="4"/>
      <c r="B30" s="13" t="s">
        <v>716</v>
      </c>
      <c r="C30" s="13" t="s">
        <v>16</v>
      </c>
      <c r="D30" s="4"/>
      <c r="E30" s="4"/>
      <c r="F30" s="4"/>
      <c r="G30" s="4"/>
      <c r="H30" s="4"/>
      <c r="I30" s="2" t="s">
        <v>715</v>
      </c>
    </row>
    <row r="31">
      <c r="A31" s="4"/>
      <c r="B31" s="13" t="s">
        <v>717</v>
      </c>
      <c r="C31" s="13" t="s">
        <v>718</v>
      </c>
      <c r="D31" s="4"/>
      <c r="E31" s="4"/>
      <c r="F31" s="4"/>
      <c r="G31" s="4"/>
      <c r="H31" s="4"/>
      <c r="I31" s="2" t="s">
        <v>715</v>
      </c>
    </row>
    <row r="32">
      <c r="A32" s="4"/>
      <c r="B32" s="13" t="s">
        <v>719</v>
      </c>
      <c r="C32" s="96">
        <v>20765463</v>
      </c>
      <c r="D32" s="4"/>
      <c r="E32" s="4"/>
      <c r="F32" s="4"/>
      <c r="G32" s="4"/>
      <c r="H32" s="4"/>
      <c r="I32" s="2" t="s">
        <v>715</v>
      </c>
    </row>
    <row r="33">
      <c r="A33" s="4"/>
      <c r="B33" s="13" t="s">
        <v>720</v>
      </c>
      <c r="C33" s="13" t="s">
        <v>701</v>
      </c>
      <c r="D33" s="4"/>
      <c r="E33" s="4"/>
      <c r="F33" s="4"/>
      <c r="G33" s="4"/>
      <c r="H33" s="4"/>
      <c r="I33" s="2" t="s">
        <v>715</v>
      </c>
    </row>
    <row r="34">
      <c r="A34" s="4"/>
      <c r="B34" s="13" t="s">
        <v>721</v>
      </c>
      <c r="C34" s="13" t="s">
        <v>722</v>
      </c>
      <c r="D34" s="4"/>
      <c r="E34" s="4"/>
      <c r="F34" s="4"/>
      <c r="G34" s="4"/>
      <c r="H34" s="4"/>
      <c r="I34" s="2" t="s">
        <v>715</v>
      </c>
    </row>
    <row r="35">
      <c r="A35" s="4"/>
      <c r="B35" s="13" t="s">
        <v>723</v>
      </c>
      <c r="C35" s="13" t="s">
        <v>692</v>
      </c>
      <c r="D35" s="4"/>
      <c r="E35" s="4"/>
      <c r="F35" s="4"/>
      <c r="G35" s="4"/>
      <c r="H35" s="4"/>
      <c r="I35" s="2" t="s">
        <v>715</v>
      </c>
    </row>
    <row r="36">
      <c r="A36" s="4"/>
      <c r="B36" s="13" t="s">
        <v>724</v>
      </c>
      <c r="C36" s="100">
        <v>46295</v>
      </c>
      <c r="D36" s="4"/>
      <c r="E36" s="4"/>
      <c r="F36" s="4"/>
      <c r="G36" s="4"/>
      <c r="H36" s="4"/>
      <c r="I36" s="2" t="s">
        <v>715</v>
      </c>
    </row>
    <row r="37">
      <c r="A37" s="4"/>
      <c r="B37" s="13" t="s">
        <v>725</v>
      </c>
      <c r="C37" s="100">
        <v>46323</v>
      </c>
      <c r="D37" s="4"/>
      <c r="E37" s="4"/>
      <c r="F37" s="4"/>
      <c r="G37" s="4"/>
      <c r="H37" s="4"/>
      <c r="I37" s="2" t="s">
        <v>715</v>
      </c>
    </row>
    <row r="38">
      <c r="A38" s="4"/>
      <c r="B38" s="13" t="s">
        <v>697</v>
      </c>
      <c r="C38" s="13" t="s">
        <v>726</v>
      </c>
      <c r="D38" s="4"/>
      <c r="E38" s="4"/>
      <c r="F38" s="4"/>
      <c r="G38" s="4"/>
      <c r="H38" s="4"/>
      <c r="I38" s="2" t="s">
        <v>715</v>
      </c>
    </row>
    <row r="39">
      <c r="A39" s="4"/>
      <c r="B39" s="13" t="s">
        <v>727</v>
      </c>
      <c r="C39" s="113">
        <v>11</v>
      </c>
      <c r="D39" s="4"/>
      <c r="E39" s="4"/>
      <c r="F39" s="4"/>
      <c r="G39" s="4"/>
      <c r="H39" s="4"/>
      <c r="I39" s="2" t="s">
        <v>715</v>
      </c>
    </row>
    <row r="40">
      <c r="A40" s="4"/>
      <c r="B40" s="13" t="s">
        <v>728</v>
      </c>
      <c r="C40" s="113">
        <v>17</v>
      </c>
      <c r="D40" s="4"/>
      <c r="E40" s="4"/>
      <c r="F40" s="4"/>
      <c r="G40" s="4"/>
      <c r="H40" s="4"/>
      <c r="I40" s="2" t="s">
        <v>715</v>
      </c>
    </row>
    <row r="41">
      <c r="A41" s="4"/>
      <c r="B41" s="13" t="s">
        <v>729</v>
      </c>
      <c r="C41" s="92">
        <v>64</v>
      </c>
      <c r="D41" s="4"/>
      <c r="E41" s="4"/>
      <c r="F41" s="4"/>
      <c r="G41" s="4"/>
      <c r="H41" s="4"/>
      <c r="I41" s="2" t="s">
        <v>715</v>
      </c>
    </row>
    <row r="42">
      <c r="A42" s="4"/>
      <c r="B42" s="13" t="s">
        <v>730</v>
      </c>
      <c r="C42" s="77">
        <v>6.76</v>
      </c>
      <c r="D42" s="4"/>
      <c r="E42" s="4"/>
      <c r="F42" s="4"/>
      <c r="G42" s="4"/>
      <c r="H42" s="4"/>
      <c r="I42" s="2" t="s">
        <v>715</v>
      </c>
    </row>
    <row r="43">
      <c r="A43" s="4"/>
      <c r="B43" s="13" t="s">
        <v>731</v>
      </c>
      <c r="C43" s="77">
        <v>6.95</v>
      </c>
      <c r="D43" s="4"/>
      <c r="E43" s="4"/>
      <c r="F43" s="4"/>
      <c r="G43" s="4"/>
      <c r="H43" s="4"/>
      <c r="I43" s="2" t="s">
        <v>715</v>
      </c>
    </row>
    <row r="44">
      <c r="A44" s="4"/>
      <c r="B44" s="13" t="s">
        <v>732</v>
      </c>
      <c r="C44" s="77">
        <v>7.64</v>
      </c>
      <c r="D44" s="4"/>
      <c r="E44" s="4"/>
      <c r="F44" s="4"/>
      <c r="G44" s="4"/>
      <c r="H44" s="4"/>
      <c r="I44" s="2" t="s">
        <v>715</v>
      </c>
    </row>
    <row r="45">
      <c r="A45" s="4"/>
      <c r="B45" s="13" t="s">
        <v>733</v>
      </c>
      <c r="C45" s="77">
        <v>3.92</v>
      </c>
      <c r="D45" s="4"/>
      <c r="E45" s="4"/>
      <c r="F45" s="4"/>
      <c r="G45" s="4"/>
      <c r="H45" s="4"/>
      <c r="I45" s="2" t="s">
        <v>715</v>
      </c>
    </row>
    <row r="46">
      <c r="A46" s="4"/>
      <c r="B46" s="13" t="s">
        <v>734</v>
      </c>
      <c r="C46" s="77">
        <v>0.97</v>
      </c>
      <c r="D46" s="4"/>
      <c r="E46" s="4"/>
      <c r="F46" s="4"/>
      <c r="G46" s="4"/>
      <c r="H46" s="4"/>
      <c r="I46" s="2" t="s">
        <v>715</v>
      </c>
    </row>
    <row r="47">
      <c r="A47" s="4"/>
      <c r="B47" s="13" t="s">
        <v>735</v>
      </c>
      <c r="C47" s="113">
        <v>11</v>
      </c>
      <c r="D47" s="4"/>
      <c r="E47" s="4"/>
      <c r="F47" s="4"/>
      <c r="G47" s="4"/>
      <c r="H47" s="4"/>
      <c r="I47" s="2" t="s">
        <v>715</v>
      </c>
    </row>
    <row r="48">
      <c r="A48" s="4"/>
      <c r="B48" s="13" t="s">
        <v>736</v>
      </c>
      <c r="C48" s="13"/>
      <c r="D48" s="4"/>
      <c r="E48" s="4"/>
      <c r="F48" s="4"/>
      <c r="G48" s="4"/>
      <c r="H48" s="4"/>
      <c r="I48" s="2" t="s">
        <v>737</v>
      </c>
    </row>
    <row r="49">
      <c r="A49" s="4"/>
      <c r="B49" s="13" t="s">
        <v>738</v>
      </c>
      <c r="C49" s="13"/>
      <c r="D49" s="4"/>
      <c r="E49" s="4"/>
      <c r="F49" s="4"/>
      <c r="G49" s="4"/>
      <c r="H49" s="4"/>
      <c r="I49" s="2" t="s">
        <v>737</v>
      </c>
    </row>
    <row r="50">
      <c r="A50" s="4"/>
      <c r="B50" s="13" t="s">
        <v>739</v>
      </c>
      <c r="C50" s="13"/>
      <c r="D50" s="4"/>
      <c r="E50" s="4"/>
      <c r="F50" s="4"/>
      <c r="G50" s="4"/>
      <c r="H50" s="4"/>
      <c r="I50" s="2" t="s">
        <v>737</v>
      </c>
    </row>
    <row r="51">
      <c r="A51" s="4"/>
      <c r="B51" s="13" t="s">
        <v>740</v>
      </c>
      <c r="C51" s="77">
        <v>5.7</v>
      </c>
      <c r="D51" s="4"/>
      <c r="E51" s="4"/>
      <c r="F51" s="4"/>
      <c r="G51" s="4"/>
      <c r="H51" s="4"/>
      <c r="I51" s="2" t="s">
        <v>715</v>
      </c>
    </row>
    <row r="52">
      <c r="A52" s="4"/>
      <c r="B52" s="13" t="s">
        <v>741</v>
      </c>
      <c r="C52" s="77">
        <v>6.47</v>
      </c>
      <c r="D52" s="4"/>
      <c r="E52" s="4"/>
      <c r="F52" s="4"/>
      <c r="G52" s="4"/>
      <c r="H52" s="4"/>
      <c r="I52" s="2" t="s">
        <v>715</v>
      </c>
    </row>
    <row r="53">
      <c r="A53" s="4"/>
      <c r="B53" s="13" t="s">
        <v>742</v>
      </c>
      <c r="C53" s="77">
        <v>7.64</v>
      </c>
      <c r="D53" s="4"/>
      <c r="E53" s="4"/>
      <c r="F53" s="4"/>
      <c r="G53" s="4"/>
      <c r="H53" s="4"/>
      <c r="I53" s="2" t="s">
        <v>715</v>
      </c>
    </row>
    <row r="54">
      <c r="A54" s="4"/>
      <c r="B54" s="13" t="s">
        <v>743</v>
      </c>
      <c r="C54" s="77">
        <v>2.61</v>
      </c>
      <c r="D54" s="4"/>
      <c r="E54" s="4"/>
      <c r="F54" s="4"/>
      <c r="G54" s="4"/>
      <c r="H54" s="4"/>
      <c r="I54" s="2" t="s">
        <v>715</v>
      </c>
    </row>
    <row r="55">
      <c r="A55" s="4"/>
      <c r="B55" s="13" t="s">
        <v>744</v>
      </c>
      <c r="C55" s="77">
        <v>1.63</v>
      </c>
      <c r="D55" s="4"/>
      <c r="E55" s="4"/>
      <c r="F55" s="4"/>
      <c r="G55" s="4"/>
      <c r="H55" s="4"/>
      <c r="I55" s="2" t="s">
        <v>715</v>
      </c>
    </row>
    <row r="56">
      <c r="A56" s="4"/>
      <c r="B56" s="13" t="s">
        <v>745</v>
      </c>
      <c r="C56" s="113">
        <v>44</v>
      </c>
      <c r="D56" s="4"/>
      <c r="E56" s="4"/>
      <c r="F56" s="4"/>
      <c r="G56" s="4"/>
      <c r="H56" s="4"/>
      <c r="I56" s="2" t="s">
        <v>715</v>
      </c>
    </row>
    <row r="57">
      <c r="A57" s="4"/>
      <c r="B57" s="13" t="s">
        <v>746</v>
      </c>
      <c r="C57" s="13"/>
      <c r="D57" s="4"/>
      <c r="E57" s="4"/>
      <c r="F57" s="4"/>
      <c r="G57" s="4"/>
      <c r="H57" s="4"/>
      <c r="I57" s="2" t="s">
        <v>737</v>
      </c>
    </row>
    <row r="58">
      <c r="A58" s="4"/>
      <c r="B58" s="13" t="s">
        <v>747</v>
      </c>
      <c r="C58" s="13"/>
      <c r="D58" s="4"/>
      <c r="E58" s="4"/>
      <c r="F58" s="4"/>
      <c r="G58" s="4"/>
      <c r="H58" s="4"/>
      <c r="I58" s="2" t="s">
        <v>737</v>
      </c>
    </row>
    <row r="59">
      <c r="A59" s="4"/>
      <c r="B59" s="13" t="s">
        <v>748</v>
      </c>
      <c r="C59" s="13"/>
      <c r="D59" s="4"/>
      <c r="E59" s="4"/>
      <c r="F59" s="4"/>
      <c r="G59" s="4"/>
      <c r="H59" s="4"/>
      <c r="I59" s="2" t="s">
        <v>737</v>
      </c>
    </row>
    <row r="60">
      <c r="A60" s="4"/>
      <c r="B60" s="13" t="s">
        <v>749</v>
      </c>
      <c r="C60" s="91">
        <v>63388.57</v>
      </c>
      <c r="D60" s="4"/>
      <c r="E60" s="4"/>
      <c r="F60" s="4"/>
      <c r="G60" s="4"/>
      <c r="H60" s="4"/>
      <c r="I60" s="2" t="s">
        <v>715</v>
      </c>
    </row>
    <row r="61">
      <c r="A61" s="4"/>
      <c r="B61" s="13" t="s">
        <v>750</v>
      </c>
      <c r="C61" s="91">
        <v>63505.5</v>
      </c>
      <c r="D61" s="4"/>
      <c r="E61" s="4"/>
      <c r="F61" s="4"/>
      <c r="G61" s="4"/>
      <c r="H61" s="4"/>
      <c r="I61" s="2" t="s">
        <v>715</v>
      </c>
    </row>
    <row r="62">
      <c r="A62" s="4"/>
      <c r="B62" s="13" t="s">
        <v>751</v>
      </c>
      <c r="C62" s="92">
        <v>65278</v>
      </c>
      <c r="D62" s="4"/>
      <c r="E62" s="4"/>
      <c r="F62" s="4"/>
      <c r="G62" s="4"/>
      <c r="H62" s="4"/>
      <c r="I62" s="2" t="s">
        <v>715</v>
      </c>
    </row>
    <row r="63">
      <c r="A63" s="4"/>
      <c r="B63" s="13" t="s">
        <v>752</v>
      </c>
      <c r="C63" s="92">
        <v>61702</v>
      </c>
      <c r="D63" s="4"/>
      <c r="E63" s="4"/>
      <c r="F63" s="4"/>
      <c r="G63" s="4"/>
      <c r="H63" s="4"/>
      <c r="I63" s="2" t="s">
        <v>715</v>
      </c>
    </row>
    <row r="64">
      <c r="A64" s="4"/>
      <c r="B64" s="13" t="s">
        <v>753</v>
      </c>
      <c r="C64" s="91">
        <v>615.53</v>
      </c>
      <c r="D64" s="4"/>
      <c r="E64" s="4"/>
      <c r="F64" s="4"/>
      <c r="G64" s="4"/>
      <c r="H64" s="4"/>
      <c r="I64" s="2" t="s">
        <v>715</v>
      </c>
    </row>
    <row r="65">
      <c r="A65" s="4"/>
      <c r="B65" s="13" t="s">
        <v>754</v>
      </c>
      <c r="C65" s="92">
        <v>48</v>
      </c>
      <c r="D65" s="4"/>
      <c r="E65" s="4"/>
      <c r="F65" s="4"/>
      <c r="G65" s="4"/>
      <c r="H65" s="4"/>
      <c r="I65" s="2" t="s">
        <v>715</v>
      </c>
    </row>
    <row r="66">
      <c r="A66" s="4"/>
      <c r="B66" s="13" t="s">
        <v>755</v>
      </c>
      <c r="C66" s="13"/>
      <c r="D66" s="4"/>
      <c r="E66" s="4"/>
      <c r="F66" s="4"/>
      <c r="G66" s="4"/>
      <c r="H66" s="4"/>
      <c r="I66" s="2" t="s">
        <v>737</v>
      </c>
    </row>
    <row r="67">
      <c r="A67" s="4"/>
      <c r="B67" s="13" t="s">
        <v>756</v>
      </c>
      <c r="C67" s="92">
        <v>61000</v>
      </c>
      <c r="D67" s="4"/>
      <c r="E67" s="4"/>
      <c r="F67" s="4"/>
      <c r="G67" s="4"/>
      <c r="H67" s="4"/>
      <c r="I67" s="2" t="s">
        <v>715</v>
      </c>
    </row>
    <row r="68">
      <c r="A68" s="4"/>
      <c r="B68" s="13" t="s">
        <v>757</v>
      </c>
      <c r="C68" s="92">
        <v>64000</v>
      </c>
      <c r="D68" s="4"/>
      <c r="E68" s="4"/>
      <c r="F68" s="4"/>
      <c r="G68" s="4"/>
      <c r="H68" s="4"/>
      <c r="I68" s="2" t="s">
        <v>715</v>
      </c>
    </row>
    <row r="69">
      <c r="A69" s="4"/>
      <c r="B69" s="13" t="s">
        <v>758</v>
      </c>
      <c r="C69" s="91">
        <v>32864.32</v>
      </c>
      <c r="D69" s="4"/>
      <c r="E69" s="4"/>
      <c r="F69" s="4"/>
      <c r="G69" s="4"/>
      <c r="H69" s="4"/>
      <c r="I69" s="2" t="s">
        <v>715</v>
      </c>
    </row>
    <row r="70">
      <c r="A70" s="4"/>
      <c r="B70" s="13" t="s">
        <v>759</v>
      </c>
      <c r="C70" s="91">
        <v>18336.27</v>
      </c>
      <c r="D70" s="4"/>
      <c r="E70" s="4"/>
      <c r="F70" s="4"/>
      <c r="G70" s="4"/>
      <c r="H70" s="4"/>
      <c r="I70" s="2" t="s">
        <v>715</v>
      </c>
    </row>
    <row r="71">
      <c r="A71" s="4"/>
      <c r="B71" s="13" t="s">
        <v>760</v>
      </c>
      <c r="C71" s="91">
        <v>18039.54</v>
      </c>
      <c r="D71" s="4"/>
      <c r="E71" s="4"/>
      <c r="F71" s="4"/>
      <c r="G71" s="4"/>
      <c r="H71" s="4"/>
      <c r="I71" s="2" t="s">
        <v>715</v>
      </c>
    </row>
    <row r="72">
      <c r="A72" s="4"/>
      <c r="B72" s="13" t="s">
        <v>761</v>
      </c>
      <c r="C72" s="91">
        <v>18063.02</v>
      </c>
      <c r="D72" s="4"/>
      <c r="E72" s="4"/>
      <c r="F72" s="4"/>
      <c r="G72" s="4"/>
      <c r="H72" s="4"/>
      <c r="I72" s="2" t="s">
        <v>715</v>
      </c>
    </row>
    <row r="73">
      <c r="A73" s="4"/>
      <c r="B73" s="13" t="s">
        <v>762</v>
      </c>
      <c r="C73" s="91">
        <v>17313.99</v>
      </c>
      <c r="D73" s="4"/>
      <c r="E73" s="4"/>
      <c r="F73" s="4"/>
      <c r="G73" s="4"/>
      <c r="H73" s="4"/>
      <c r="I73" s="2" t="s">
        <v>715</v>
      </c>
    </row>
    <row r="74">
      <c r="A74" s="4"/>
      <c r="B74" s="13" t="s">
        <v>763</v>
      </c>
      <c r="C74" s="91">
        <v>14733.9</v>
      </c>
      <c r="D74" s="4"/>
      <c r="E74" s="4"/>
      <c r="F74" s="4"/>
      <c r="G74" s="4"/>
      <c r="H74" s="4"/>
      <c r="I74" s="2" t="s">
        <v>715</v>
      </c>
    </row>
    <row r="75">
      <c r="A75" s="4"/>
      <c r="B75" s="13" t="s">
        <v>764</v>
      </c>
      <c r="C75" s="13"/>
      <c r="D75" s="4"/>
      <c r="E75" s="4"/>
      <c r="F75" s="4"/>
      <c r="G75" s="4"/>
      <c r="H75" s="4"/>
      <c r="I75" s="2" t="s">
        <v>737</v>
      </c>
    </row>
    <row r="76">
      <c r="A76" s="4"/>
      <c r="B76" s="13" t="s">
        <v>765</v>
      </c>
      <c r="C76" s="13"/>
      <c r="D76" s="4"/>
      <c r="E76" s="4"/>
      <c r="F76" s="4"/>
      <c r="G76" s="4"/>
      <c r="H76" s="4"/>
      <c r="I76" s="2" t="s">
        <v>737</v>
      </c>
    </row>
    <row r="77">
      <c r="A77" s="4"/>
      <c r="B77" s="13" t="s">
        <v>766</v>
      </c>
      <c r="C77" s="91">
        <v>7695.21</v>
      </c>
      <c r="D77" s="4"/>
      <c r="E77" s="4"/>
      <c r="F77" s="4"/>
      <c r="G77" s="4"/>
      <c r="H77" s="4"/>
      <c r="I77" s="2" t="s">
        <v>715</v>
      </c>
    </row>
    <row r="78">
      <c r="A78" s="4"/>
      <c r="B78" s="13" t="s">
        <v>767</v>
      </c>
      <c r="C78" s="13"/>
      <c r="D78" s="4"/>
      <c r="E78" s="4"/>
      <c r="F78" s="4"/>
      <c r="G78" s="4"/>
      <c r="H78" s="4"/>
      <c r="I78" s="2" t="s">
        <v>737</v>
      </c>
    </row>
    <row r="79">
      <c r="A79" s="4"/>
      <c r="B79" s="13" t="s">
        <v>768</v>
      </c>
      <c r="C79" s="91">
        <v>32334.19</v>
      </c>
      <c r="D79" s="4"/>
      <c r="E79" s="4"/>
      <c r="F79" s="4"/>
      <c r="G79" s="4"/>
      <c r="H79" s="4"/>
      <c r="I79" s="2" t="s">
        <v>715</v>
      </c>
    </row>
    <row r="80">
      <c r="A80" s="4"/>
      <c r="B80" s="13" t="s">
        <v>769</v>
      </c>
      <c r="C80" s="13"/>
      <c r="D80" s="4"/>
      <c r="E80" s="4"/>
      <c r="F80" s="4"/>
      <c r="G80" s="4"/>
      <c r="H80" s="4"/>
      <c r="I80" s="2" t="s">
        <v>737</v>
      </c>
    </row>
    <row r="81">
      <c r="A81" s="4"/>
      <c r="B81" s="13" t="s">
        <v>770</v>
      </c>
      <c r="C81" s="92">
        <v>-9</v>
      </c>
      <c r="D81" s="4"/>
      <c r="E81" s="4"/>
      <c r="F81" s="4"/>
      <c r="G81" s="4"/>
      <c r="H81" s="4"/>
      <c r="I81" s="2" t="s">
        <v>715</v>
      </c>
    </row>
    <row r="82">
      <c r="A82" s="4"/>
      <c r="B82" s="13" t="s">
        <v>771</v>
      </c>
      <c r="C82" s="13"/>
      <c r="D82" s="4"/>
      <c r="E82" s="4"/>
      <c r="F82" s="4"/>
      <c r="G82" s="4"/>
      <c r="H82" s="4"/>
      <c r="I82" s="2" t="s">
        <v>737</v>
      </c>
    </row>
    <row r="83">
      <c r="A83" s="4"/>
      <c r="B83" s="13" t="s">
        <v>772</v>
      </c>
      <c r="C83" s="13"/>
      <c r="D83" s="4"/>
      <c r="E83" s="4"/>
      <c r="F83" s="4"/>
      <c r="G83" s="4"/>
      <c r="H83" s="4"/>
      <c r="I83" s="2" t="s">
        <v>737</v>
      </c>
    </row>
    <row r="84">
      <c r="A84" s="4"/>
      <c r="B84" s="13" t="s">
        <v>773</v>
      </c>
      <c r="C84" s="13"/>
      <c r="D84" s="4"/>
      <c r="E84" s="4"/>
      <c r="F84" s="4"/>
      <c r="G84" s="4"/>
      <c r="H84" s="4"/>
      <c r="I84" s="2" t="s">
        <v>737</v>
      </c>
    </row>
    <row r="85">
      <c r="A85" s="4"/>
      <c r="B85" s="13" t="s">
        <v>774</v>
      </c>
      <c r="C85" s="77">
        <v>814.51</v>
      </c>
      <c r="D85" s="4"/>
      <c r="E85" s="4"/>
      <c r="F85" s="4"/>
      <c r="G85" s="4"/>
      <c r="H85" s="4"/>
      <c r="I85" s="2" t="s">
        <v>715</v>
      </c>
    </row>
    <row r="86">
      <c r="A86" s="4"/>
      <c r="B86" s="13" t="s">
        <v>775</v>
      </c>
      <c r="C86" s="77">
        <v>830</v>
      </c>
      <c r="D86" s="4"/>
      <c r="E86" s="4"/>
      <c r="F86" s="4"/>
      <c r="G86" s="4"/>
      <c r="H86" s="4"/>
      <c r="I86" s="2" t="s">
        <v>715</v>
      </c>
    </row>
    <row r="87">
      <c r="A87" s="4"/>
      <c r="B87" s="13" t="s">
        <v>776</v>
      </c>
      <c r="C87" s="77">
        <v>1050</v>
      </c>
      <c r="D87" s="4"/>
      <c r="E87" s="4"/>
      <c r="F87" s="4"/>
      <c r="G87" s="4"/>
      <c r="H87" s="4"/>
      <c r="I87" s="2" t="s">
        <v>715</v>
      </c>
    </row>
    <row r="88">
      <c r="A88" s="4"/>
      <c r="B88" s="13" t="s">
        <v>777</v>
      </c>
      <c r="C88" s="77">
        <v>580</v>
      </c>
      <c r="D88" s="4"/>
      <c r="E88" s="4"/>
      <c r="F88" s="4"/>
      <c r="G88" s="4"/>
      <c r="H88" s="4"/>
      <c r="I88" s="2" t="s">
        <v>715</v>
      </c>
    </row>
    <row r="89">
      <c r="A89" s="4"/>
      <c r="B89" s="13" t="s">
        <v>778</v>
      </c>
      <c r="C89" s="77">
        <v>101.57</v>
      </c>
      <c r="D89" s="4"/>
      <c r="E89" s="4"/>
      <c r="F89" s="4"/>
      <c r="G89" s="4"/>
      <c r="H89" s="4"/>
      <c r="I89" s="2" t="s">
        <v>715</v>
      </c>
    </row>
    <row r="90">
      <c r="A90" s="4"/>
      <c r="B90" s="13" t="s">
        <v>779</v>
      </c>
      <c r="C90" s="113">
        <v>58</v>
      </c>
      <c r="D90" s="4"/>
      <c r="E90" s="4"/>
      <c r="F90" s="4"/>
      <c r="G90" s="4"/>
      <c r="H90" s="4"/>
      <c r="I90" s="2" t="s">
        <v>715</v>
      </c>
    </row>
    <row r="91">
      <c r="A91" s="4"/>
      <c r="B91" s="13" t="s">
        <v>780</v>
      </c>
      <c r="C91" s="13" t="s">
        <v>781</v>
      </c>
      <c r="D91" s="4"/>
      <c r="E91" s="4"/>
      <c r="F91" s="4"/>
      <c r="G91" s="4"/>
      <c r="H91" s="4"/>
      <c r="I91" s="2" t="s">
        <v>715</v>
      </c>
    </row>
    <row r="92">
      <c r="A92" s="4"/>
      <c r="B92" s="13" t="s">
        <v>782</v>
      </c>
      <c r="C92" s="91">
        <v>1.41</v>
      </c>
      <c r="D92" s="4"/>
      <c r="E92" s="4"/>
      <c r="F92" s="4"/>
      <c r="G92" s="4"/>
      <c r="H92" s="4"/>
      <c r="I92" s="2" t="s">
        <v>715</v>
      </c>
    </row>
    <row r="93">
      <c r="A93" s="4"/>
      <c r="B93" s="13" t="s">
        <v>783</v>
      </c>
      <c r="C93" s="13"/>
      <c r="D93" s="4"/>
      <c r="E93" s="4"/>
      <c r="F93" s="4"/>
      <c r="G93" s="4"/>
      <c r="H93" s="4"/>
      <c r="I93" s="2" t="s">
        <v>737</v>
      </c>
    </row>
    <row r="94">
      <c r="A94" s="4"/>
      <c r="B94" s="13" t="s">
        <v>784</v>
      </c>
      <c r="C94" s="13"/>
      <c r="D94" s="4"/>
      <c r="E94" s="4"/>
      <c r="F94" s="4"/>
      <c r="G94" s="4"/>
      <c r="H94" s="4"/>
      <c r="I94" s="2" t="s">
        <v>737</v>
      </c>
    </row>
    <row r="95">
      <c r="A95" s="4"/>
      <c r="B95" s="13" t="s">
        <v>785</v>
      </c>
      <c r="C95" s="100">
        <v>46313</v>
      </c>
      <c r="D95" s="4"/>
      <c r="E95" s="4"/>
      <c r="F95" s="4"/>
      <c r="G95" s="4"/>
      <c r="H95" s="4"/>
      <c r="I95" s="2" t="s">
        <v>715</v>
      </c>
    </row>
    <row r="96" ht="90">
      <c r="A96" s="4"/>
      <c r="B96" s="106" t="s">
        <v>786</v>
      </c>
      <c r="C96" s="105" t="s">
        <v>787</v>
      </c>
      <c r="D96" s="103"/>
      <c r="E96" s="103"/>
      <c r="F96" s="103"/>
      <c r="G96" s="103"/>
      <c r="H96" s="103"/>
      <c r="I96" s="104" t="s">
        <v>715</v>
      </c>
    </row>
    <row r="97" ht="90">
      <c r="A97" s="4"/>
      <c r="B97" s="106" t="s">
        <v>788</v>
      </c>
      <c r="C97" s="105" t="s">
        <v>789</v>
      </c>
      <c r="D97" s="103"/>
      <c r="E97" s="103"/>
      <c r="F97" s="103"/>
      <c r="G97" s="103"/>
      <c r="H97" s="103"/>
      <c r="I97" s="104" t="s">
        <v>790</v>
      </c>
    </row>
    <row r="98">
      <c r="A98" s="4"/>
      <c r="B98" s="13"/>
      <c r="C98" s="4"/>
      <c r="D98" s="4"/>
      <c r="E98" s="4"/>
      <c r="F98" s="4"/>
      <c r="G98" s="4"/>
      <c r="H98" s="4"/>
      <c r="I98" s="2"/>
    </row>
    <row r="99">
      <c r="A99" s="4"/>
      <c r="B99" s="11" t="s">
        <v>791</v>
      </c>
      <c r="C99" s="12"/>
      <c r="D99" s="12"/>
      <c r="E99" s="12"/>
      <c r="F99" s="12"/>
      <c r="G99" s="12"/>
      <c r="H99" s="12"/>
      <c r="I99" s="2"/>
    </row>
    <row r="100" ht="31.5">
      <c r="A100" s="4"/>
      <c r="B100" s="13" t="s">
        <v>693</v>
      </c>
      <c r="C100" s="14" t="s">
        <v>792</v>
      </c>
      <c r="D100" s="14" t="s">
        <v>793</v>
      </c>
      <c r="E100" s="14" t="s">
        <v>794</v>
      </c>
      <c r="F100" s="14" t="s">
        <v>795</v>
      </c>
      <c r="G100" s="14" t="s">
        <v>796</v>
      </c>
      <c r="H100" s="14" t="s">
        <v>797</v>
      </c>
      <c r="I100" s="102" t="s">
        <v>798</v>
      </c>
    </row>
    <row r="101">
      <c r="A101" s="4"/>
      <c r="B101" s="79">
        <v>45747</v>
      </c>
      <c r="C101" s="33">
        <v>45777</v>
      </c>
      <c r="D101" s="77">
        <v>5.21</v>
      </c>
      <c r="E101" s="77">
        <v>6.43</v>
      </c>
      <c r="F101" s="77">
        <v>5.22</v>
      </c>
      <c r="G101" s="77">
        <v>6.43</v>
      </c>
      <c r="H101" s="91">
        <v>41361.42</v>
      </c>
      <c r="I101" s="91">
        <v>42314</v>
      </c>
    </row>
    <row r="102">
      <c r="A102" s="4"/>
      <c r="B102" s="79">
        <v>45838</v>
      </c>
      <c r="C102" s="33">
        <v>45868</v>
      </c>
      <c r="D102" s="77">
        <v>5.86</v>
      </c>
      <c r="E102" s="77">
        <v>7.14</v>
      </c>
      <c r="F102" s="77">
        <v>5.9</v>
      </c>
      <c r="G102" s="77">
        <v>7.14</v>
      </c>
      <c r="H102" s="91">
        <v>44835.17</v>
      </c>
      <c r="I102" s="91">
        <v>47516</v>
      </c>
    </row>
    <row r="103">
      <c r="A103" s="4"/>
      <c r="B103" s="79">
        <v>45930</v>
      </c>
      <c r="C103" s="33">
        <v>45959</v>
      </c>
      <c r="D103" s="77">
        <v>6.67</v>
      </c>
      <c r="E103" s="77">
        <v>7.25</v>
      </c>
      <c r="F103" s="77">
        <v>6.71</v>
      </c>
      <c r="G103" s="77">
        <v>1.05</v>
      </c>
      <c r="H103" s="91">
        <v>49407.71</v>
      </c>
      <c r="I103" s="91">
        <v>51242</v>
      </c>
    </row>
    <row r="104">
      <c r="A104" s="4"/>
      <c r="B104" s="79">
        <v>46022</v>
      </c>
      <c r="C104" s="33">
        <v>46050</v>
      </c>
      <c r="D104" s="77">
        <v>8.18</v>
      </c>
      <c r="E104" s="77">
        <v>8.88</v>
      </c>
      <c r="F104" s="77">
        <v>8.22</v>
      </c>
      <c r="G104" s="77">
        <v>8.88</v>
      </c>
      <c r="H104" s="91">
        <v>58469.62</v>
      </c>
      <c r="I104" s="91">
        <v>59893</v>
      </c>
    </row>
    <row r="105">
      <c r="A105" s="4"/>
      <c r="B105" s="79">
        <v>46112</v>
      </c>
      <c r="C105" s="33">
        <v>46141</v>
      </c>
      <c r="D105" s="77">
        <v>6.82</v>
      </c>
      <c r="E105" s="77">
        <v>7.31</v>
      </c>
      <c r="F105" s="77">
        <v>6.66</v>
      </c>
      <c r="G105" s="77">
        <v>10.44</v>
      </c>
      <c r="H105" s="91">
        <v>55555.59</v>
      </c>
      <c r="I105" s="91">
        <v>56311</v>
      </c>
    </row>
    <row r="106">
      <c r="A106" s="4"/>
      <c r="B106" s="79">
        <v>46203</v>
      </c>
      <c r="C106" s="33">
        <v>46232</v>
      </c>
      <c r="D106" s="77">
        <v>7.4</v>
      </c>
      <c r="E106" s="77">
        <v>6.18</v>
      </c>
      <c r="F106" s="77">
        <v>7.22</v>
      </c>
      <c r="G106" s="77">
        <v>6.18</v>
      </c>
      <c r="H106" s="91">
        <v>60286.77</v>
      </c>
      <c r="I106" s="91">
        <v>60801</v>
      </c>
    </row>
    <row r="107">
      <c r="A107" s="4"/>
      <c r="B107" s="11" t="s">
        <v>799</v>
      </c>
      <c r="C107" s="12"/>
      <c r="D107" s="12"/>
      <c r="E107" s="12"/>
      <c r="F107" s="12"/>
      <c r="G107" s="12"/>
      <c r="H107" s="12"/>
      <c r="I107" s="2"/>
    </row>
    <row r="108">
      <c r="A108" s="4"/>
      <c r="B108" s="13" t="s">
        <v>800</v>
      </c>
      <c r="C108" s="90">
        <f>IF(E101&gt;D101,1,0)</f>
        <v>1</v>
      </c>
      <c r="D108" s="90"/>
      <c r="E108" s="90"/>
      <c r="F108" s="90"/>
      <c r="G108" s="90"/>
      <c r="H108" s="90"/>
      <c r="I108" s="2"/>
    </row>
    <row r="109">
      <c r="A109" s="4"/>
      <c r="B109" s="13" t="s">
        <v>801</v>
      </c>
      <c r="C109" s="90">
        <f>IF(E102&gt;D102,1,0)</f>
        <v>1</v>
      </c>
      <c r="D109" s="90"/>
      <c r="E109" s="90"/>
      <c r="F109" s="90"/>
      <c r="G109" s="90"/>
      <c r="H109" s="90"/>
      <c r="I109" s="2"/>
    </row>
    <row r="110">
      <c r="A110" s="4"/>
      <c r="B110" s="13" t="s">
        <v>802</v>
      </c>
      <c r="C110" s="90">
        <f>IF(E103&gt;D103,1,0)</f>
        <v>1</v>
      </c>
      <c r="D110" s="90"/>
      <c r="E110" s="90"/>
      <c r="F110" s="90"/>
      <c r="G110" s="90"/>
      <c r="H110" s="90"/>
      <c r="I110" s="2"/>
    </row>
    <row r="111">
      <c r="A111" s="4"/>
      <c r="B111" s="13" t="s">
        <v>803</v>
      </c>
      <c r="C111" s="90">
        <f>IF(E104&gt;D104,1,0)</f>
        <v>1</v>
      </c>
      <c r="D111" s="90"/>
      <c r="E111" s="90"/>
      <c r="F111" s="90"/>
      <c r="G111" s="90"/>
      <c r="H111" s="90"/>
      <c r="I111" s="2"/>
    </row>
    <row r="112">
      <c r="A112" s="4"/>
      <c r="B112" s="13" t="s">
        <v>804</v>
      </c>
      <c r="C112" s="90">
        <f>IF(E105&gt;D105,1,0)</f>
        <v>1</v>
      </c>
      <c r="D112" s="90"/>
      <c r="E112" s="90"/>
      <c r="F112" s="90"/>
      <c r="G112" s="90"/>
      <c r="H112" s="90"/>
      <c r="I112" s="2"/>
    </row>
    <row r="113">
      <c r="A113" s="4"/>
      <c r="B113" s="13" t="s">
        <v>805</v>
      </c>
      <c r="C113" s="90">
        <f>IF(E106&gt;D106,1,0)</f>
        <v>0</v>
      </c>
      <c r="D113" s="90"/>
      <c r="E113" s="90"/>
      <c r="F113" s="90"/>
      <c r="G113" s="90"/>
      <c r="H113" s="90"/>
      <c r="I113" s="2"/>
    </row>
    <row r="114">
      <c r="A114" s="4"/>
      <c r="B114" s="11" t="s">
        <v>806</v>
      </c>
      <c r="C114" s="12"/>
      <c r="D114" s="12"/>
      <c r="E114" s="12"/>
      <c r="F114" s="12"/>
      <c r="G114" s="12"/>
      <c r="H114" s="12"/>
      <c r="I114" s="2"/>
    </row>
    <row r="115">
      <c r="A115" s="4"/>
      <c r="B115" s="13" t="s">
        <v>807</v>
      </c>
      <c r="C115" s="20">
        <f>E101-D101</f>
        <v>1.2199999999999998</v>
      </c>
      <c r="D115" s="20"/>
      <c r="E115" s="20"/>
      <c r="F115" s="20"/>
      <c r="G115" s="20"/>
      <c r="H115" s="20"/>
      <c r="I115" s="2"/>
    </row>
    <row r="116">
      <c r="A116" s="4"/>
      <c r="B116" s="13" t="s">
        <v>808</v>
      </c>
      <c r="C116" s="20">
        <f>E102-D102</f>
        <v>1.2799999999999994</v>
      </c>
      <c r="D116" s="20"/>
      <c r="E116" s="20"/>
      <c r="F116" s="20"/>
      <c r="G116" s="20"/>
      <c r="H116" s="20"/>
      <c r="I116" s="2"/>
    </row>
    <row r="117">
      <c r="A117" s="4"/>
      <c r="B117" s="13" t="s">
        <v>809</v>
      </c>
      <c r="C117" s="20">
        <f>E103-D103</f>
        <v>0.5800000000000001</v>
      </c>
      <c r="D117" s="20"/>
      <c r="E117" s="20"/>
      <c r="F117" s="20"/>
      <c r="G117" s="20"/>
      <c r="H117" s="20"/>
      <c r="I117" s="2"/>
    </row>
    <row r="118">
      <c r="A118" s="4"/>
      <c r="B118" s="13" t="s">
        <v>810</v>
      </c>
      <c r="C118" s="20">
        <f>E104-D104</f>
        <v>0.7000000000000011</v>
      </c>
      <c r="D118" s="20"/>
      <c r="E118" s="20"/>
      <c r="F118" s="20"/>
      <c r="G118" s="20"/>
      <c r="H118" s="20"/>
      <c r="I118" s="2"/>
    </row>
    <row r="119">
      <c r="A119" s="4"/>
      <c r="B119" s="13" t="s">
        <v>811</v>
      </c>
      <c r="C119" s="20">
        <f>E105-D105</f>
        <v>0.4899999999999993</v>
      </c>
      <c r="D119" s="20"/>
      <c r="E119" s="20"/>
      <c r="F119" s="20"/>
      <c r="G119" s="20"/>
      <c r="H119" s="20"/>
      <c r="I119" s="2"/>
    </row>
    <row r="120">
      <c r="A120" s="4"/>
      <c r="B120" s="13" t="s">
        <v>812</v>
      </c>
      <c r="C120" s="20">
        <f>E106-D106</f>
        <v>-1.2200000000000006</v>
      </c>
      <c r="D120" s="20"/>
      <c r="E120" s="20"/>
      <c r="F120" s="20"/>
      <c r="G120" s="20"/>
      <c r="H120" s="20"/>
      <c r="I120" s="2"/>
    </row>
    <row r="121">
      <c r="A121" s="4"/>
      <c r="B121" s="13"/>
      <c r="C121" s="4"/>
      <c r="D121" s="4"/>
      <c r="E121" s="4"/>
      <c r="F121" s="4"/>
      <c r="G121" s="4"/>
      <c r="H121" s="4"/>
      <c r="I121" s="2"/>
    </row>
    <row r="122">
      <c r="A122" s="4"/>
      <c r="B122" s="11" t="s">
        <v>813</v>
      </c>
      <c r="C122" s="12"/>
      <c r="D122" s="12"/>
      <c r="E122" s="12"/>
      <c r="F122" s="12"/>
      <c r="G122" s="12"/>
      <c r="H122" s="12"/>
      <c r="I122" s="2"/>
    </row>
    <row r="123">
      <c r="A123" s="4"/>
      <c r="B123" s="13" t="s">
        <v>814</v>
      </c>
      <c r="C123" s="14" t="s">
        <v>815</v>
      </c>
      <c r="D123" s="14" t="s">
        <v>816</v>
      </c>
      <c r="E123" s="14" t="s">
        <v>817</v>
      </c>
      <c r="F123" s="14" t="s">
        <v>818</v>
      </c>
      <c r="G123" s="14" t="s">
        <v>819</v>
      </c>
      <c r="H123" s="14"/>
      <c r="I123" s="2"/>
    </row>
    <row r="124">
      <c r="A124" s="4"/>
      <c r="B124" s="13" t="s">
        <v>197</v>
      </c>
      <c r="C124" s="39">
        <v>40589</v>
      </c>
      <c r="D124" s="39">
        <v>48385</v>
      </c>
      <c r="E124" s="39">
        <v>42314</v>
      </c>
      <c r="F124" s="39">
        <v>47516</v>
      </c>
      <c r="G124" s="39">
        <v>164501</v>
      </c>
      <c r="H124" s="10"/>
      <c r="I124" s="2" t="s">
        <v>820</v>
      </c>
    </row>
    <row r="125">
      <c r="A125" s="4"/>
      <c r="B125" s="13" t="s">
        <v>150</v>
      </c>
      <c r="C125" s="39">
        <v>39885</v>
      </c>
      <c r="D125" s="39">
        <v>46783</v>
      </c>
      <c r="E125" s="39">
        <v>41392</v>
      </c>
      <c r="F125" s="39">
        <v>46563</v>
      </c>
      <c r="G125" s="39">
        <v>160633</v>
      </c>
      <c r="H125" s="10"/>
      <c r="I125" s="2" t="s">
        <v>821</v>
      </c>
    </row>
    <row r="126">
      <c r="A126" s="4"/>
      <c r="B126" s="13" t="s">
        <v>822</v>
      </c>
      <c r="C126" s="39">
        <v>434</v>
      </c>
      <c r="D126" s="39">
        <v>519</v>
      </c>
      <c r="E126" s="39">
        <v>510</v>
      </c>
      <c r="F126" s="39">
        <v>583</v>
      </c>
      <c r="G126" s="39">
        <v>1722</v>
      </c>
      <c r="H126" s="10"/>
      <c r="I126" s="2" t="s">
        <v>823</v>
      </c>
    </row>
    <row r="127">
      <c r="A127" s="4"/>
      <c r="B127" s="13" t="s">
        <v>61</v>
      </c>
      <c r="C127" s="39">
        <v>40319</v>
      </c>
      <c r="D127" s="39">
        <v>47302</v>
      </c>
      <c r="E127" s="39">
        <v>41902</v>
      </c>
      <c r="F127" s="39">
        <v>47146</v>
      </c>
      <c r="G127" s="39">
        <v>162355</v>
      </c>
      <c r="H127" s="10"/>
      <c r="I127" s="2" t="s">
        <v>823</v>
      </c>
    </row>
    <row r="128">
      <c r="A128" s="4"/>
      <c r="B128" s="13" t="s">
        <v>89</v>
      </c>
      <c r="C128" s="39">
        <v>270</v>
      </c>
      <c r="D128" s="39">
        <v>1083</v>
      </c>
      <c r="E128" s="39">
        <v>412</v>
      </c>
      <c r="F128" s="39">
        <v>370</v>
      </c>
      <c r="G128" s="39">
        <v>2146</v>
      </c>
      <c r="H128" s="10"/>
      <c r="I128" s="2" t="s">
        <v>823</v>
      </c>
    </row>
    <row r="129">
      <c r="A129" s="4"/>
      <c r="B129" s="13" t="s">
        <v>176</v>
      </c>
      <c r="C129" s="39">
        <v>21778</v>
      </c>
      <c r="D129" s="39">
        <v>28332</v>
      </c>
      <c r="E129" s="39">
        <v>21765</v>
      </c>
      <c r="F129" s="39">
        <v>24971</v>
      </c>
      <c r="G129" s="39">
        <v>87109</v>
      </c>
      <c r="H129" s="10"/>
      <c r="I129" s="2" t="s">
        <v>823</v>
      </c>
    </row>
    <row r="130">
      <c r="A130" s="4"/>
      <c r="B130" s="13" t="s">
        <v>206</v>
      </c>
      <c r="C130" s="39">
        <v>-4428</v>
      </c>
      <c r="D130" s="39">
        <v>-4967</v>
      </c>
      <c r="E130" s="39">
        <v>-4210</v>
      </c>
      <c r="F130" s="39">
        <v>-4530</v>
      </c>
      <c r="G130" s="39">
        <v>-17729</v>
      </c>
      <c r="H130" s="10"/>
      <c r="I130" s="2" t="s">
        <v>823</v>
      </c>
    </row>
    <row r="131">
      <c r="A131" s="4"/>
      <c r="B131" s="13" t="s">
        <v>218</v>
      </c>
      <c r="C131" s="39">
        <v>7375</v>
      </c>
      <c r="D131" s="39">
        <v>8839</v>
      </c>
      <c r="E131" s="39">
        <v>7572</v>
      </c>
      <c r="F131" s="39">
        <v>8491</v>
      </c>
      <c r="G131" s="39">
        <v>30161</v>
      </c>
      <c r="H131" s="10"/>
      <c r="I131" s="2" t="s">
        <v>161</v>
      </c>
    </row>
    <row r="132">
      <c r="A132" s="4"/>
      <c r="B132" s="13" t="s">
        <v>227</v>
      </c>
      <c r="C132" s="39">
        <v>11177</v>
      </c>
      <c r="D132" s="39">
        <v>12180</v>
      </c>
      <c r="E132" s="39">
        <v>12150</v>
      </c>
      <c r="F132" s="39">
        <v>12942</v>
      </c>
      <c r="G132" s="39">
        <v>43873</v>
      </c>
      <c r="H132" s="10"/>
      <c r="I132" s="2" t="s">
        <v>161</v>
      </c>
    </row>
    <row r="133">
      <c r="A133" s="4"/>
      <c r="B133" s="13" t="s">
        <v>233</v>
      </c>
      <c r="C133" s="39">
        <v>2822</v>
      </c>
      <c r="D133" s="39">
        <v>3240</v>
      </c>
      <c r="E133" s="39">
        <v>2757</v>
      </c>
      <c r="F133" s="39">
        <v>2979</v>
      </c>
      <c r="G133" s="39">
        <v>11347</v>
      </c>
      <c r="H133" s="10"/>
      <c r="I133" s="2" t="s">
        <v>161</v>
      </c>
    </row>
    <row r="134">
      <c r="A134" s="4"/>
      <c r="B134" s="13" t="s">
        <v>824</v>
      </c>
      <c r="C134" s="39">
        <v>1865</v>
      </c>
      <c r="D134" s="39">
        <v>761</v>
      </c>
      <c r="E134" s="39">
        <v>2280</v>
      </c>
      <c r="F134" s="39">
        <v>2663</v>
      </c>
      <c r="G134" s="39">
        <v>9740</v>
      </c>
      <c r="H134" s="10"/>
      <c r="I134" s="2" t="s">
        <v>161</v>
      </c>
    </row>
    <row r="135">
      <c r="A135" s="4"/>
      <c r="B135" s="13" t="s">
        <v>254</v>
      </c>
      <c r="C135" s="39">
        <v>23239</v>
      </c>
      <c r="D135" s="39">
        <v>25020</v>
      </c>
      <c r="E135" s="39">
        <v>24759</v>
      </c>
      <c r="F135" s="39">
        <v>27075</v>
      </c>
      <c r="G135" s="39">
        <v>95121</v>
      </c>
      <c r="H135" s="10"/>
      <c r="I135" s="2" t="s">
        <v>161</v>
      </c>
    </row>
    <row r="136">
      <c r="A136" s="4"/>
      <c r="B136" s="13" t="s">
        <v>257</v>
      </c>
      <c r="C136" s="39">
        <v>17350</v>
      </c>
      <c r="D136" s="39">
        <v>23365</v>
      </c>
      <c r="E136" s="39">
        <v>17555</v>
      </c>
      <c r="F136" s="39">
        <v>20441</v>
      </c>
      <c r="G136" s="39">
        <v>69380</v>
      </c>
      <c r="H136" s="10"/>
      <c r="I136" s="2" t="s">
        <v>161</v>
      </c>
    </row>
    <row r="137">
      <c r="A137" s="4"/>
      <c r="B137" s="13" t="s">
        <v>371</v>
      </c>
      <c r="C137" s="39">
        <v>15688</v>
      </c>
      <c r="D137" s="39">
        <v>20838</v>
      </c>
      <c r="E137" s="39">
        <v>16644</v>
      </c>
      <c r="F137" s="39">
        <v>18337</v>
      </c>
      <c r="G137" s="39">
        <v>62360</v>
      </c>
      <c r="H137" s="10"/>
      <c r="I137" s="2" t="s">
        <v>161</v>
      </c>
    </row>
    <row r="138">
      <c r="A138" s="4"/>
      <c r="B138" s="13" t="s">
        <v>825</v>
      </c>
      <c r="C138" s="77">
        <v>6.03</v>
      </c>
      <c r="D138" s="77">
        <v>8.02</v>
      </c>
      <c r="E138" s="77">
        <v>6.43</v>
      </c>
      <c r="F138" s="77">
        <v>7.14</v>
      </c>
      <c r="G138" s="77">
        <v>23.86</v>
      </c>
      <c r="H138" s="20"/>
      <c r="I138" s="2" t="s">
        <v>161</v>
      </c>
    </row>
    <row r="139">
      <c r="A139" s="4"/>
      <c r="B139" s="13" t="s">
        <v>285</v>
      </c>
      <c r="C139" s="39">
        <v>2600</v>
      </c>
      <c r="D139" s="39">
        <v>2599</v>
      </c>
      <c r="E139" s="39">
        <v>2590</v>
      </c>
      <c r="F139" s="39">
        <v>2570</v>
      </c>
      <c r="G139" s="39">
        <v>2614</v>
      </c>
      <c r="H139" s="10"/>
      <c r="I139" s="2" t="s">
        <v>161</v>
      </c>
    </row>
    <row r="140">
      <c r="A140" s="4"/>
      <c r="B140" s="13" t="s">
        <v>284</v>
      </c>
      <c r="C140" s="39">
        <v>2529</v>
      </c>
      <c r="D140" s="39">
        <v>2529</v>
      </c>
      <c r="E140" s="39">
        <v>2527</v>
      </c>
      <c r="F140" s="39">
        <v>2518</v>
      </c>
      <c r="G140" s="39">
        <v>2534</v>
      </c>
      <c r="H140" s="10"/>
      <c r="I140" s="2" t="s">
        <v>161</v>
      </c>
    </row>
    <row r="141">
      <c r="A141" s="4"/>
      <c r="B141" s="13" t="s">
        <v>267</v>
      </c>
      <c r="C141" s="39">
        <v>472</v>
      </c>
      <c r="D141" s="39">
        <v>188</v>
      </c>
      <c r="E141" s="39">
        <v>827</v>
      </c>
      <c r="F141" s="39">
        <v>93</v>
      </c>
      <c r="G141" s="39">
        <v>1283</v>
      </c>
      <c r="H141" s="10"/>
      <c r="I141" s="2" t="s">
        <v>161</v>
      </c>
    </row>
    <row r="142">
      <c r="A142" s="4"/>
      <c r="B142" s="13" t="s">
        <v>826</v>
      </c>
      <c r="C142" s="10"/>
      <c r="D142" s="39">
        <v>16994</v>
      </c>
      <c r="E142" s="10"/>
      <c r="F142" s="10"/>
      <c r="G142" s="39">
        <v>16994</v>
      </c>
      <c r="H142" s="10"/>
      <c r="I142" s="2" t="s">
        <v>827</v>
      </c>
    </row>
    <row r="143">
      <c r="A143" s="4"/>
      <c r="B143" s="13" t="s">
        <v>828</v>
      </c>
      <c r="C143" s="39">
        <v>4027</v>
      </c>
      <c r="D143" s="39">
        <v>4460</v>
      </c>
      <c r="E143" s="39">
        <v>3900</v>
      </c>
      <c r="F143" s="39">
        <v>4342</v>
      </c>
      <c r="G143" s="39">
        <v>15498</v>
      </c>
      <c r="H143" s="10"/>
      <c r="I143" s="2" t="s">
        <v>161</v>
      </c>
    </row>
    <row r="144">
      <c r="A144" s="4"/>
      <c r="B144" s="13" t="s">
        <v>829</v>
      </c>
      <c r="C144" s="39">
        <v>4250</v>
      </c>
      <c r="D144" s="39">
        <v>4262</v>
      </c>
      <c r="E144" s="39">
        <v>4147</v>
      </c>
      <c r="F144" s="39">
        <v>4834</v>
      </c>
      <c r="G144" s="39">
        <v>16690</v>
      </c>
      <c r="H144" s="10"/>
      <c r="I144" s="2" t="s">
        <v>161</v>
      </c>
    </row>
    <row r="145">
      <c r="A145" s="4"/>
      <c r="B145" s="13" t="s">
        <v>830</v>
      </c>
      <c r="C145" s="39">
        <v>-8258</v>
      </c>
      <c r="D145" s="39">
        <v>-14425</v>
      </c>
      <c r="E145" s="39">
        <v>-12941</v>
      </c>
      <c r="F145" s="39">
        <v>-16538</v>
      </c>
      <c r="G145" s="39">
        <v>-37256</v>
      </c>
      <c r="H145" s="10"/>
      <c r="I145" s="2" t="s">
        <v>161</v>
      </c>
    </row>
    <row r="146">
      <c r="A146" s="4"/>
      <c r="B146" s="13" t="s">
        <v>831</v>
      </c>
      <c r="C146" s="39">
        <v>4114</v>
      </c>
      <c r="D146" s="39">
        <v>3817</v>
      </c>
      <c r="E146" s="39">
        <v>4784</v>
      </c>
      <c r="F146" s="39">
        <v>14273</v>
      </c>
      <c r="G146" s="39">
        <v>15789</v>
      </c>
      <c r="H146" s="10"/>
      <c r="I146" s="2" t="s">
        <v>161</v>
      </c>
    </row>
    <row r="147">
      <c r="A147" s="4"/>
      <c r="B147" s="13" t="s">
        <v>832</v>
      </c>
      <c r="C147" s="39">
        <v>-3544</v>
      </c>
      <c r="D147" s="39">
        <v>-3857</v>
      </c>
      <c r="E147" s="39">
        <v>-4883</v>
      </c>
      <c r="F147" s="39">
        <v>-4110</v>
      </c>
      <c r="G147" s="39">
        <v>-13770</v>
      </c>
      <c r="H147" s="10"/>
      <c r="I147" s="2" t="s">
        <v>161</v>
      </c>
    </row>
    <row r="148">
      <c r="A148" s="4"/>
      <c r="B148" s="13" t="s">
        <v>833</v>
      </c>
      <c r="C148" s="39">
        <v>-1263</v>
      </c>
      <c r="D148" s="39">
        <v>-1269</v>
      </c>
      <c r="E148" s="39">
        <v>-1329</v>
      </c>
      <c r="F148" s="39">
        <v>-1327</v>
      </c>
      <c r="G148" s="39">
        <v>-5072</v>
      </c>
      <c r="H148" s="10"/>
      <c r="I148" s="2" t="s">
        <v>161</v>
      </c>
    </row>
    <row r="149">
      <c r="A149" s="4"/>
      <c r="B149" s="13" t="s">
        <v>834</v>
      </c>
      <c r="C149" s="39">
        <v>-944</v>
      </c>
      <c r="D149" s="39">
        <v>-411</v>
      </c>
      <c r="E149" s="39">
        <v>-751</v>
      </c>
      <c r="F149" s="39">
        <v>-474</v>
      </c>
      <c r="G149" s="39">
        <v>-1969</v>
      </c>
      <c r="H149" s="10"/>
      <c r="I149" s="2" t="s">
        <v>161</v>
      </c>
    </row>
    <row r="150">
      <c r="A150" s="4"/>
      <c r="B150" s="13" t="s">
        <v>835</v>
      </c>
      <c r="C150" s="77">
        <v>12.29</v>
      </c>
      <c r="D150" s="77">
        <v>14.25</v>
      </c>
      <c r="E150" s="77">
        <v>12.36</v>
      </c>
      <c r="F150" s="77">
        <v>13.65</v>
      </c>
      <c r="G150" s="20"/>
      <c r="H150" s="20"/>
      <c r="I150" s="2" t="s">
        <v>836</v>
      </c>
    </row>
    <row r="151">
      <c r="A151" s="4"/>
      <c r="B151" s="13" t="s">
        <v>837</v>
      </c>
      <c r="C151" s="94">
        <v>3.29</v>
      </c>
      <c r="D151" s="94">
        <v>3.35</v>
      </c>
      <c r="E151" s="94">
        <v>3.43</v>
      </c>
      <c r="F151" s="94">
        <v>3.48</v>
      </c>
      <c r="G151" s="94">
        <v>3.35</v>
      </c>
      <c r="H151" s="82"/>
      <c r="I151" s="2" t="s">
        <v>838</v>
      </c>
    </row>
    <row r="152">
      <c r="A152" s="4"/>
      <c r="B152" s="40" t="s">
        <v>839</v>
      </c>
      <c r="C152" s="1"/>
      <c r="D152" s="1"/>
      <c r="E152" s="1"/>
      <c r="F152" s="31">
        <v>0.11</v>
      </c>
      <c r="G152" s="31">
        <v>0.11</v>
      </c>
      <c r="H152" s="1"/>
      <c r="I152" s="2" t="s">
        <v>840</v>
      </c>
    </row>
    <row r="153">
      <c r="A153" s="4"/>
      <c r="B153" s="40" t="s">
        <v>841</v>
      </c>
      <c r="C153" s="1"/>
      <c r="D153" s="1"/>
      <c r="E153" s="1"/>
      <c r="F153" s="31">
        <v>0.09</v>
      </c>
      <c r="G153" s="31">
        <v>0.1</v>
      </c>
      <c r="H153" s="1"/>
      <c r="I153" s="2" t="s">
        <v>840</v>
      </c>
    </row>
    <row r="154">
      <c r="A154" s="4"/>
      <c r="B154" s="13" t="s">
        <v>842</v>
      </c>
      <c r="C154" s="39">
        <v>17609</v>
      </c>
      <c r="D154" s="39">
        <v>21783</v>
      </c>
      <c r="E154" s="39">
        <v>18605</v>
      </c>
      <c r="F154" s="39">
        <v>20371</v>
      </c>
      <c r="G154" s="10"/>
      <c r="H154" s="10"/>
      <c r="I154" s="2" t="s">
        <v>843</v>
      </c>
    </row>
    <row r="155">
      <c r="A155" s="4"/>
      <c r="B155" s="13" t="s">
        <v>844</v>
      </c>
      <c r="C155" s="39">
        <v>9492</v>
      </c>
      <c r="D155" s="39">
        <v>11503</v>
      </c>
      <c r="E155" s="39">
        <v>9680</v>
      </c>
      <c r="F155" s="39">
        <v>11532</v>
      </c>
      <c r="G155" s="10"/>
      <c r="H155" s="10"/>
      <c r="I155" s="2" t="s">
        <v>138</v>
      </c>
    </row>
    <row r="156">
      <c r="A156" s="4"/>
      <c r="B156" s="13" t="s">
        <v>845</v>
      </c>
      <c r="C156" s="39">
        <v>8220</v>
      </c>
      <c r="D156" s="39">
        <v>9245</v>
      </c>
      <c r="E156" s="39">
        <v>8439</v>
      </c>
      <c r="F156" s="39">
        <v>9366</v>
      </c>
      <c r="G156" s="10"/>
      <c r="H156" s="10"/>
      <c r="I156" s="2" t="s">
        <v>138</v>
      </c>
    </row>
    <row r="157">
      <c r="A157" s="4"/>
      <c r="B157" s="13" t="s">
        <v>846</v>
      </c>
      <c r="C157" s="39">
        <v>5268</v>
      </c>
      <c r="D157" s="39">
        <v>5854</v>
      </c>
      <c r="E157" s="39">
        <v>5590</v>
      </c>
      <c r="F157" s="39">
        <v>6247</v>
      </c>
      <c r="G157" s="10"/>
      <c r="H157" s="10"/>
      <c r="I157" s="2" t="s">
        <v>138</v>
      </c>
    </row>
    <row r="158">
      <c r="A158" s="4"/>
      <c r="B158" s="13" t="s">
        <v>847</v>
      </c>
      <c r="C158" s="39">
        <v>17389</v>
      </c>
      <c r="D158" s="39">
        <v>20982</v>
      </c>
      <c r="E158" s="39">
        <v>18259</v>
      </c>
      <c r="F158" s="39">
        <v>20045</v>
      </c>
      <c r="G158" s="10"/>
      <c r="H158" s="10"/>
      <c r="I158" s="2" t="s">
        <v>848</v>
      </c>
    </row>
    <row r="159">
      <c r="A159" s="4"/>
      <c r="B159" s="13" t="s">
        <v>849</v>
      </c>
      <c r="C159" s="39">
        <v>9358</v>
      </c>
      <c r="D159" s="39">
        <v>11154</v>
      </c>
      <c r="E159" s="39">
        <v>9527</v>
      </c>
      <c r="F159" s="39">
        <v>11366</v>
      </c>
      <c r="G159" s="10"/>
      <c r="H159" s="10"/>
      <c r="I159" s="2" t="s">
        <v>138</v>
      </c>
    </row>
    <row r="160">
      <c r="A160" s="4"/>
      <c r="B160" s="13" t="s">
        <v>850</v>
      </c>
      <c r="C160" s="39">
        <v>8050</v>
      </c>
      <c r="D160" s="39">
        <v>9012</v>
      </c>
      <c r="E160" s="39">
        <v>8224</v>
      </c>
      <c r="F160" s="39">
        <v>9148</v>
      </c>
      <c r="G160" s="10"/>
      <c r="H160" s="10"/>
      <c r="I160" s="2" t="s">
        <v>138</v>
      </c>
    </row>
    <row r="161">
      <c r="A161" s="4"/>
      <c r="B161" s="13" t="s">
        <v>851</v>
      </c>
      <c r="C161" s="39">
        <v>5088</v>
      </c>
      <c r="D161" s="39">
        <v>5635</v>
      </c>
      <c r="E161" s="39">
        <v>5382</v>
      </c>
      <c r="F161" s="39">
        <v>6004</v>
      </c>
      <c r="G161" s="10"/>
      <c r="H161" s="10"/>
      <c r="I161" s="2" t="s">
        <v>138</v>
      </c>
    </row>
    <row r="162">
      <c r="A162" s="4"/>
      <c r="B162" s="13"/>
      <c r="C162" s="4"/>
      <c r="D162" s="4"/>
      <c r="E162" s="4"/>
      <c r="F162" s="4"/>
      <c r="G162" s="4"/>
      <c r="H162" s="4"/>
      <c r="I162" s="2"/>
    </row>
    <row r="163">
      <c r="A163" s="4"/>
      <c r="B163" s="11" t="s">
        <v>852</v>
      </c>
      <c r="C163" s="12"/>
      <c r="D163" s="12"/>
      <c r="E163" s="12"/>
      <c r="F163" s="12"/>
      <c r="G163" s="12"/>
      <c r="H163" s="12"/>
      <c r="I163" s="2"/>
    </row>
    <row r="164">
      <c r="A164" s="4"/>
      <c r="B164" s="13" t="s">
        <v>853</v>
      </c>
      <c r="C164" s="10"/>
      <c r="D164" s="10"/>
      <c r="E164" s="10"/>
      <c r="F164" s="10"/>
      <c r="G164" s="39">
        <v>141073</v>
      </c>
      <c r="H164" s="10"/>
      <c r="I164" s="2" t="s">
        <v>854</v>
      </c>
    </row>
    <row r="165">
      <c r="A165" s="4"/>
      <c r="B165" s="13" t="s">
        <v>855</v>
      </c>
      <c r="C165" s="10"/>
      <c r="D165" s="10"/>
      <c r="E165" s="10"/>
      <c r="F165" s="10"/>
      <c r="G165" s="39">
        <v>138037</v>
      </c>
      <c r="H165" s="10"/>
      <c r="I165" s="2" t="s">
        <v>854</v>
      </c>
    </row>
    <row r="166">
      <c r="A166" s="4"/>
      <c r="B166" s="13" t="s">
        <v>856</v>
      </c>
      <c r="C166" s="10"/>
      <c r="D166" s="10"/>
      <c r="E166" s="10"/>
      <c r="F166" s="10"/>
      <c r="G166" s="39">
        <v>1784</v>
      </c>
      <c r="H166" s="10"/>
      <c r="I166" s="2" t="s">
        <v>854</v>
      </c>
    </row>
    <row r="167">
      <c r="A167" s="4"/>
      <c r="B167" s="13" t="s">
        <v>857</v>
      </c>
      <c r="C167" s="10"/>
      <c r="D167" s="10"/>
      <c r="E167" s="10"/>
      <c r="F167" s="10"/>
      <c r="G167" s="39">
        <v>1252</v>
      </c>
      <c r="H167" s="10"/>
      <c r="I167" s="2" t="s">
        <v>854</v>
      </c>
    </row>
    <row r="168">
      <c r="A168" s="4"/>
      <c r="B168" s="13" t="s">
        <v>858</v>
      </c>
      <c r="C168" s="10"/>
      <c r="D168" s="10"/>
      <c r="E168" s="10"/>
      <c r="F168" s="10"/>
      <c r="G168" s="39">
        <v>71702</v>
      </c>
      <c r="H168" s="10"/>
      <c r="I168" s="2" t="s">
        <v>854</v>
      </c>
    </row>
    <row r="169">
      <c r="A169" s="4"/>
      <c r="B169" s="13" t="s">
        <v>859</v>
      </c>
      <c r="C169" s="10"/>
      <c r="D169" s="10"/>
      <c r="E169" s="10"/>
      <c r="F169" s="10"/>
      <c r="G169" s="39">
        <v>-13171</v>
      </c>
      <c r="H169" s="10"/>
      <c r="I169" s="2" t="s">
        <v>854</v>
      </c>
    </row>
    <row r="170">
      <c r="A170" s="4"/>
      <c r="B170" s="13" t="s">
        <v>860</v>
      </c>
      <c r="C170" s="10"/>
      <c r="D170" s="10"/>
      <c r="E170" s="10"/>
      <c r="F170" s="10"/>
      <c r="G170" s="39">
        <v>906</v>
      </c>
      <c r="H170" s="10"/>
      <c r="I170" s="2" t="s">
        <v>854</v>
      </c>
    </row>
    <row r="171">
      <c r="A171" s="4"/>
      <c r="B171" s="13" t="s">
        <v>861</v>
      </c>
      <c r="C171" s="10"/>
      <c r="D171" s="10"/>
      <c r="E171" s="10"/>
      <c r="F171" s="10"/>
      <c r="G171" s="39">
        <v>895</v>
      </c>
      <c r="H171" s="10"/>
      <c r="I171" s="2" t="s">
        <v>854</v>
      </c>
    </row>
    <row r="172">
      <c r="A172" s="4"/>
      <c r="B172" s="13" t="s">
        <v>862</v>
      </c>
      <c r="C172" s="10"/>
      <c r="D172" s="10"/>
      <c r="E172" s="10"/>
      <c r="F172" s="10"/>
      <c r="G172" s="39">
        <v>25269</v>
      </c>
      <c r="H172" s="10"/>
      <c r="I172" s="2" t="s">
        <v>854</v>
      </c>
    </row>
    <row r="173">
      <c r="A173" s="4"/>
      <c r="B173" s="13" t="s">
        <v>863</v>
      </c>
      <c r="C173" s="10"/>
      <c r="D173" s="10"/>
      <c r="E173" s="10"/>
      <c r="F173" s="10"/>
      <c r="G173" s="39">
        <v>40237</v>
      </c>
      <c r="H173" s="10"/>
      <c r="I173" s="2" t="s">
        <v>854</v>
      </c>
    </row>
    <row r="174">
      <c r="A174" s="4"/>
      <c r="B174" s="13" t="s">
        <v>864</v>
      </c>
      <c r="C174" s="10"/>
      <c r="D174" s="10"/>
      <c r="E174" s="10"/>
      <c r="F174" s="10"/>
      <c r="G174" s="39">
        <v>8581</v>
      </c>
      <c r="H174" s="10"/>
      <c r="I174" s="2" t="s">
        <v>854</v>
      </c>
    </row>
    <row r="175">
      <c r="A175" s="4"/>
      <c r="B175" s="13" t="s">
        <v>865</v>
      </c>
      <c r="C175" s="10"/>
      <c r="D175" s="10"/>
      <c r="E175" s="10"/>
      <c r="F175" s="10"/>
      <c r="G175" s="39">
        <v>8455</v>
      </c>
      <c r="H175" s="10"/>
      <c r="I175" s="2" t="s">
        <v>854</v>
      </c>
    </row>
    <row r="176">
      <c r="A176" s="4"/>
      <c r="B176" s="13" t="s">
        <v>866</v>
      </c>
      <c r="C176" s="10"/>
      <c r="D176" s="10"/>
      <c r="E176" s="10"/>
      <c r="F176" s="10"/>
      <c r="G176" s="39">
        <v>2047</v>
      </c>
      <c r="H176" s="10"/>
      <c r="I176" s="2" t="s">
        <v>854</v>
      </c>
    </row>
    <row r="177">
      <c r="A177" s="4"/>
      <c r="B177" s="13" t="s">
        <v>867</v>
      </c>
      <c r="C177" s="10"/>
      <c r="D177" s="10"/>
      <c r="E177" s="10"/>
      <c r="F177" s="10"/>
      <c r="G177" s="39">
        <v>22888</v>
      </c>
      <c r="H177" s="10"/>
      <c r="I177" s="2" t="s">
        <v>854</v>
      </c>
    </row>
    <row r="178">
      <c r="A178" s="4"/>
      <c r="B178" s="13" t="s">
        <v>868</v>
      </c>
      <c r="C178" s="10"/>
      <c r="D178" s="10"/>
      <c r="E178" s="10"/>
      <c r="F178" s="10"/>
      <c r="G178" s="39">
        <v>13205</v>
      </c>
      <c r="H178" s="10"/>
      <c r="I178" s="2" t="s">
        <v>854</v>
      </c>
    </row>
    <row r="179">
      <c r="A179" s="4"/>
      <c r="B179" s="13" t="s">
        <v>869</v>
      </c>
      <c r="C179" s="10"/>
      <c r="D179" s="10"/>
      <c r="E179" s="10"/>
      <c r="F179" s="10"/>
      <c r="G179" s="39">
        <v>14537</v>
      </c>
      <c r="H179" s="10"/>
      <c r="I179" s="2" t="s">
        <v>854</v>
      </c>
    </row>
    <row r="180">
      <c r="A180" s="4"/>
      <c r="B180" s="13" t="s">
        <v>870</v>
      </c>
      <c r="C180" s="10"/>
      <c r="D180" s="10"/>
      <c r="E180" s="10"/>
      <c r="F180" s="10"/>
      <c r="G180" s="39">
        <v>17704</v>
      </c>
      <c r="H180" s="10"/>
      <c r="I180" s="2" t="s">
        <v>854</v>
      </c>
    </row>
    <row r="181">
      <c r="A181" s="4"/>
      <c r="B181" s="13" t="s">
        <v>871</v>
      </c>
      <c r="C181" s="10"/>
      <c r="D181" s="10"/>
      <c r="E181" s="10"/>
      <c r="F181" s="10"/>
      <c r="G181" s="39">
        <v>-548</v>
      </c>
      <c r="H181" s="10"/>
      <c r="I181" s="2" t="s">
        <v>854</v>
      </c>
    </row>
    <row r="182">
      <c r="A182" s="4"/>
      <c r="B182" s="13" t="s">
        <v>872</v>
      </c>
      <c r="C182" s="10"/>
      <c r="D182" s="10"/>
      <c r="E182" s="10"/>
      <c r="F182" s="10"/>
      <c r="G182" s="39">
        <v>-453</v>
      </c>
      <c r="H182" s="10"/>
      <c r="I182" s="2" t="s">
        <v>854</v>
      </c>
    </row>
    <row r="183">
      <c r="A183" s="4"/>
      <c r="B183" s="13" t="s">
        <v>873</v>
      </c>
      <c r="C183" s="10"/>
      <c r="D183" s="10"/>
      <c r="E183" s="10"/>
      <c r="F183" s="10"/>
      <c r="G183" s="39">
        <v>660</v>
      </c>
      <c r="H183" s="10"/>
      <c r="I183" s="2" t="s">
        <v>854</v>
      </c>
    </row>
    <row r="184">
      <c r="A184" s="4"/>
      <c r="B184" s="13" t="s">
        <v>874</v>
      </c>
      <c r="C184" s="10"/>
      <c r="D184" s="10"/>
      <c r="E184" s="10"/>
      <c r="F184" s="10"/>
      <c r="G184" s="39">
        <v>-348</v>
      </c>
      <c r="H184" s="10"/>
      <c r="I184" s="2" t="s">
        <v>854</v>
      </c>
    </row>
    <row r="185">
      <c r="A185" s="4"/>
      <c r="B185" s="13" t="s">
        <v>875</v>
      </c>
      <c r="C185" s="10"/>
      <c r="D185" s="10"/>
      <c r="E185" s="10"/>
      <c r="F185" s="10"/>
      <c r="G185" s="39">
        <v>-209</v>
      </c>
      <c r="H185" s="10"/>
      <c r="I185" s="2" t="s">
        <v>854</v>
      </c>
    </row>
    <row r="186">
      <c r="A186" s="4"/>
      <c r="B186" s="13" t="s">
        <v>876</v>
      </c>
      <c r="C186" s="10"/>
      <c r="D186" s="10"/>
      <c r="E186" s="10"/>
      <c r="F186" s="10"/>
      <c r="G186" s="39">
        <v>-637</v>
      </c>
      <c r="H186" s="10"/>
      <c r="I186" s="2" t="s">
        <v>854</v>
      </c>
    </row>
    <row r="187">
      <c r="A187" s="4"/>
      <c r="B187" s="13" t="s">
        <v>877</v>
      </c>
      <c r="C187" s="10"/>
      <c r="D187" s="10"/>
      <c r="E187" s="10"/>
      <c r="F187" s="10"/>
      <c r="G187" s="39">
        <v>-2883</v>
      </c>
      <c r="H187" s="10"/>
      <c r="I187" s="2" t="s">
        <v>854</v>
      </c>
    </row>
    <row r="188">
      <c r="A188" s="4"/>
      <c r="B188" s="13" t="s">
        <v>878</v>
      </c>
      <c r="C188" s="10"/>
      <c r="D188" s="10"/>
      <c r="E188" s="10"/>
      <c r="F188" s="10"/>
      <c r="G188" s="39">
        <v>868</v>
      </c>
      <c r="H188" s="10"/>
      <c r="I188" s="2" t="s">
        <v>854</v>
      </c>
    </row>
    <row r="189">
      <c r="A189" s="4"/>
      <c r="B189" s="13" t="s">
        <v>879</v>
      </c>
      <c r="C189" s="10"/>
      <c r="D189" s="10"/>
      <c r="E189" s="10"/>
      <c r="F189" s="10"/>
      <c r="G189" s="39">
        <v>-48308</v>
      </c>
      <c r="H189" s="10"/>
      <c r="I189" s="2" t="s">
        <v>854</v>
      </c>
    </row>
    <row r="190">
      <c r="A190" s="4"/>
      <c r="B190" s="13" t="s">
        <v>880</v>
      </c>
      <c r="C190" s="10"/>
      <c r="D190" s="10"/>
      <c r="E190" s="10"/>
      <c r="F190" s="10"/>
      <c r="G190" s="39">
        <v>-22349</v>
      </c>
      <c r="H190" s="10"/>
      <c r="I190" s="2" t="s">
        <v>854</v>
      </c>
    </row>
    <row r="191">
      <c r="A191" s="4"/>
      <c r="B191" s="13" t="s">
        <v>881</v>
      </c>
      <c r="C191" s="10"/>
      <c r="D191" s="10"/>
      <c r="E191" s="10"/>
      <c r="F191" s="10"/>
      <c r="G191" s="39">
        <v>23761</v>
      </c>
      <c r="H191" s="10"/>
      <c r="I191" s="2" t="s">
        <v>854</v>
      </c>
    </row>
    <row r="192">
      <c r="A192" s="4"/>
      <c r="B192" s="13" t="s">
        <v>882</v>
      </c>
      <c r="C192" s="10"/>
      <c r="D192" s="10"/>
      <c r="E192" s="10"/>
      <c r="F192" s="10"/>
      <c r="G192" s="39">
        <v>-18260</v>
      </c>
      <c r="H192" s="10"/>
      <c r="I192" s="2" t="s">
        <v>854</v>
      </c>
    </row>
    <row r="193">
      <c r="A193" s="4"/>
      <c r="B193" s="13" t="s">
        <v>883</v>
      </c>
      <c r="C193" s="10"/>
      <c r="D193" s="10"/>
      <c r="E193" s="10"/>
      <c r="F193" s="10"/>
      <c r="G193" s="39">
        <v>-1797</v>
      </c>
      <c r="H193" s="10"/>
      <c r="I193" s="2" t="s">
        <v>854</v>
      </c>
    </row>
    <row r="194">
      <c r="A194" s="4"/>
      <c r="B194" s="13" t="s">
        <v>884</v>
      </c>
      <c r="C194" s="10"/>
      <c r="D194" s="10"/>
      <c r="E194" s="10"/>
      <c r="F194" s="10"/>
      <c r="G194" s="39">
        <v>0</v>
      </c>
      <c r="H194" s="10"/>
      <c r="I194" s="2" t="s">
        <v>854</v>
      </c>
    </row>
    <row r="195">
      <c r="A195" s="4"/>
      <c r="B195" s="13" t="s">
        <v>885</v>
      </c>
      <c r="C195" s="10"/>
      <c r="D195" s="10"/>
      <c r="E195" s="10"/>
      <c r="F195" s="10"/>
      <c r="G195" s="39">
        <v>-815</v>
      </c>
      <c r="H195" s="10"/>
      <c r="I195" s="2" t="s">
        <v>854</v>
      </c>
    </row>
    <row r="196">
      <c r="A196" s="4"/>
      <c r="B196" s="13" t="s">
        <v>886</v>
      </c>
      <c r="C196" s="10"/>
      <c r="D196" s="10"/>
      <c r="E196" s="10"/>
      <c r="F196" s="10"/>
      <c r="G196" s="39">
        <v>-48</v>
      </c>
      <c r="H196" s="10"/>
      <c r="I196" s="2" t="s">
        <v>854</v>
      </c>
    </row>
    <row r="197">
      <c r="A197" s="4"/>
      <c r="B197" s="13" t="s">
        <v>887</v>
      </c>
      <c r="C197" s="10"/>
      <c r="D197" s="10"/>
      <c r="E197" s="10"/>
      <c r="F197" s="10"/>
      <c r="G197" s="39">
        <v>-14128</v>
      </c>
      <c r="H197" s="10"/>
      <c r="I197" s="2" t="s">
        <v>854</v>
      </c>
    </row>
    <row r="198">
      <c r="A198" s="4"/>
      <c r="B198" s="13" t="s">
        <v>888</v>
      </c>
      <c r="C198" s="10"/>
      <c r="D198" s="10"/>
      <c r="E198" s="10"/>
      <c r="F198" s="10"/>
      <c r="G198" s="39">
        <v>-26248</v>
      </c>
      <c r="H198" s="10"/>
      <c r="I198" s="2" t="s">
        <v>854</v>
      </c>
    </row>
    <row r="199">
      <c r="A199" s="4"/>
      <c r="B199" s="13" t="s">
        <v>889</v>
      </c>
      <c r="C199" s="10"/>
      <c r="D199" s="10"/>
      <c r="E199" s="10"/>
      <c r="F199" s="10"/>
      <c r="G199" s="39">
        <v>-3986</v>
      </c>
      <c r="H199" s="10"/>
      <c r="I199" s="2" t="s">
        <v>854</v>
      </c>
    </row>
    <row r="200">
      <c r="A200" s="4"/>
      <c r="B200" s="13" t="s">
        <v>890</v>
      </c>
      <c r="C200" s="10"/>
      <c r="D200" s="10"/>
      <c r="E200" s="10"/>
      <c r="F200" s="10"/>
      <c r="G200" s="39">
        <v>0</v>
      </c>
      <c r="H200" s="10"/>
      <c r="I200" s="2" t="s">
        <v>854</v>
      </c>
    </row>
    <row r="201">
      <c r="A201" s="4"/>
      <c r="B201" s="13" t="s">
        <v>891</v>
      </c>
      <c r="C201" s="10"/>
      <c r="D201" s="10"/>
      <c r="E201" s="10"/>
      <c r="F201" s="10"/>
      <c r="G201" s="39">
        <v>-1770</v>
      </c>
      <c r="H201" s="10"/>
      <c r="I201" s="2" t="s">
        <v>854</v>
      </c>
    </row>
    <row r="202">
      <c r="A202" s="4"/>
      <c r="B202" s="13" t="s">
        <v>892</v>
      </c>
      <c r="C202" s="10"/>
      <c r="D202" s="10"/>
      <c r="E202" s="10"/>
      <c r="F202" s="10"/>
      <c r="G202" s="39">
        <v>613</v>
      </c>
      <c r="H202" s="10"/>
      <c r="I202" s="2" t="s">
        <v>854</v>
      </c>
    </row>
    <row r="203">
      <c r="A203" s="4"/>
      <c r="B203" s="13" t="s">
        <v>893</v>
      </c>
      <c r="C203" s="10"/>
      <c r="D203" s="10"/>
      <c r="E203" s="10"/>
      <c r="F203" s="10"/>
      <c r="G203" s="39">
        <v>252</v>
      </c>
      <c r="H203" s="10"/>
      <c r="I203" s="2" t="s">
        <v>854</v>
      </c>
    </row>
    <row r="204">
      <c r="A204" s="4"/>
      <c r="B204" s="13" t="s">
        <v>894</v>
      </c>
      <c r="C204" s="10"/>
      <c r="D204" s="10"/>
      <c r="E204" s="10"/>
      <c r="F204" s="10"/>
      <c r="G204" s="39">
        <v>6293</v>
      </c>
      <c r="H204" s="10"/>
      <c r="I204" s="2" t="s">
        <v>854</v>
      </c>
    </row>
    <row r="205">
      <c r="A205" s="4"/>
      <c r="B205" s="13" t="s">
        <v>895</v>
      </c>
      <c r="C205" s="10"/>
      <c r="D205" s="10"/>
      <c r="E205" s="10"/>
      <c r="F205" s="10"/>
      <c r="G205" s="39">
        <v>45438</v>
      </c>
      <c r="H205" s="10"/>
      <c r="I205" s="2" t="s">
        <v>896</v>
      </c>
    </row>
    <row r="206" ht="27">
      <c r="A206" s="4"/>
      <c r="B206" s="80" t="s">
        <v>897</v>
      </c>
      <c r="C206" s="39">
        <v>13828</v>
      </c>
      <c r="D206" s="10"/>
      <c r="E206" s="10"/>
      <c r="F206" s="10"/>
      <c r="G206" s="10"/>
      <c r="H206" s="10"/>
      <c r="I206" s="2" t="s">
        <v>898</v>
      </c>
    </row>
    <row r="207">
      <c r="A207" s="4"/>
      <c r="B207" s="13"/>
      <c r="C207" s="4"/>
      <c r="D207" s="4"/>
      <c r="E207" s="4"/>
      <c r="F207" s="4"/>
      <c r="G207" s="4"/>
      <c r="H207" s="4"/>
      <c r="I207" s="2"/>
    </row>
    <row r="208">
      <c r="A208" s="4"/>
      <c r="B208" s="11" t="s">
        <v>899</v>
      </c>
      <c r="C208" s="12"/>
      <c r="D208" s="12"/>
      <c r="E208" s="12"/>
      <c r="F208" s="12"/>
      <c r="G208" s="12"/>
      <c r="H208" s="12"/>
      <c r="I208" s="2"/>
    </row>
    <row r="209" ht="27">
      <c r="A209" s="4"/>
      <c r="B209" s="80" t="s">
        <v>900</v>
      </c>
      <c r="C209" s="39">
        <v>1810</v>
      </c>
      <c r="D209" s="10"/>
      <c r="E209" s="10"/>
      <c r="F209" s="10"/>
      <c r="G209" s="10"/>
      <c r="H209" s="10"/>
      <c r="I209" s="2" t="s">
        <v>901</v>
      </c>
    </row>
    <row r="210">
      <c r="A210" s="4"/>
      <c r="B210" s="13" t="s">
        <v>902</v>
      </c>
      <c r="C210" s="13" t="s">
        <v>903</v>
      </c>
      <c r="D210" s="4"/>
      <c r="E210" s="4"/>
      <c r="F210" s="4"/>
      <c r="G210" s="4"/>
      <c r="H210" s="4"/>
      <c r="I210" s="2" t="s">
        <v>904</v>
      </c>
    </row>
    <row r="211">
      <c r="A211" s="4"/>
      <c r="B211" s="13" t="s">
        <v>905</v>
      </c>
      <c r="C211" s="13" t="s">
        <v>906</v>
      </c>
      <c r="D211" s="4"/>
      <c r="E211" s="4"/>
      <c r="F211" s="4"/>
      <c r="G211" s="4"/>
      <c r="H211" s="4"/>
      <c r="I211" s="2" t="s">
        <v>907</v>
      </c>
    </row>
    <row r="212" ht="27">
      <c r="A212" s="4"/>
      <c r="B212" s="93" t="s">
        <v>908</v>
      </c>
      <c r="C212" s="31">
        <v>0.78</v>
      </c>
      <c r="D212" s="1"/>
      <c r="E212" s="1"/>
      <c r="F212" s="1"/>
      <c r="G212" s="1"/>
      <c r="H212" s="1"/>
      <c r="I212" s="2" t="s">
        <v>909</v>
      </c>
    </row>
    <row r="213" ht="27">
      <c r="A213" s="4"/>
      <c r="B213" s="80" t="s">
        <v>910</v>
      </c>
      <c r="C213" s="90">
        <f>C108+C109+C110+C111+C112+C113</f>
        <v>5</v>
      </c>
      <c r="D213" s="90"/>
      <c r="E213" s="90"/>
      <c r="F213" s="90"/>
      <c r="G213" s="90"/>
      <c r="H213" s="90"/>
      <c r="I213" s="2"/>
    </row>
    <row r="214">
      <c r="A214" s="4"/>
      <c r="B214" s="13" t="s">
        <v>911</v>
      </c>
      <c r="C214" s="90">
        <f>COUNT(E101:E106)</f>
        <v>6</v>
      </c>
      <c r="D214" s="90"/>
      <c r="E214" s="90"/>
      <c r="F214" s="90"/>
      <c r="G214" s="90"/>
      <c r="H214" s="90"/>
      <c r="I214" s="2" t="s">
        <v>912</v>
      </c>
    </row>
    <row r="215">
      <c r="A215" s="4"/>
      <c r="B215" s="13" t="s">
        <v>913</v>
      </c>
      <c r="C215" s="95">
        <v>8</v>
      </c>
      <c r="D215" s="90"/>
      <c r="E215" s="90"/>
      <c r="F215" s="90"/>
      <c r="G215" s="90"/>
      <c r="H215" s="90"/>
      <c r="I215" s="2" t="s">
        <v>914</v>
      </c>
    </row>
    <row r="216" ht="27">
      <c r="A216" s="4"/>
      <c r="B216" s="93" t="s">
        <v>915</v>
      </c>
      <c r="C216" s="1">
        <f>(C215*C212+C213)/(C215+C214)</f>
        <v>0.8028571428571428</v>
      </c>
      <c r="D216" s="1"/>
      <c r="E216" s="1"/>
      <c r="F216" s="1"/>
      <c r="G216" s="1"/>
      <c r="H216" s="1"/>
      <c r="I216" s="2"/>
    </row>
    <row r="217">
      <c r="A217" s="4"/>
      <c r="B217" s="13" t="s">
        <v>916</v>
      </c>
      <c r="C217" s="59">
        <f>'Income Statement'!H82</f>
        <v>6.958435758382584</v>
      </c>
      <c r="D217" s="20"/>
      <c r="E217" s="20"/>
      <c r="F217" s="20"/>
      <c r="G217" s="20"/>
      <c r="H217" s="20"/>
      <c r="I217" s="2"/>
    </row>
    <row r="218" ht="27">
      <c r="A218" s="4"/>
      <c r="B218" s="80" t="s">
        <v>917</v>
      </c>
      <c r="C218" s="20">
        <f>C42</f>
        <v>6.76</v>
      </c>
      <c r="D218" s="20"/>
      <c r="E218" s="20"/>
      <c r="F218" s="20"/>
      <c r="G218" s="20"/>
      <c r="H218" s="20"/>
      <c r="I218" s="2"/>
    </row>
    <row r="219" ht="27">
      <c r="A219" s="4"/>
      <c r="B219" s="80" t="s">
        <v>918</v>
      </c>
      <c r="C219" s="77">
        <v>0.4</v>
      </c>
      <c r="D219" s="20"/>
      <c r="E219" s="20"/>
      <c r="F219" s="20"/>
      <c r="G219" s="20"/>
      <c r="H219" s="20"/>
      <c r="I219" s="2" t="s">
        <v>919</v>
      </c>
    </row>
    <row r="220" ht="27">
      <c r="A220" s="4"/>
      <c r="B220" s="93" t="s">
        <v>920</v>
      </c>
      <c r="C220" s="1">
        <f>_xlfn.NORM.S.DIST((C217-C218)/C219,TRUE)</f>
        <v>0.6900843298018955</v>
      </c>
      <c r="D220" s="1"/>
      <c r="E220" s="1"/>
      <c r="F220" s="1"/>
      <c r="G220" s="1"/>
      <c r="H220" s="1"/>
      <c r="I220" s="2"/>
    </row>
    <row r="221" ht="27">
      <c r="A221" s="4"/>
      <c r="B221" s="93" t="s">
        <v>921</v>
      </c>
      <c r="C221" s="31">
        <v>0.5</v>
      </c>
      <c r="D221" s="1"/>
      <c r="E221" s="1"/>
      <c r="F221" s="1"/>
      <c r="G221" s="1"/>
      <c r="H221" s="1"/>
      <c r="I221" s="2" t="s">
        <v>922</v>
      </c>
    </row>
    <row r="222">
      <c r="A222" s="4"/>
      <c r="B222" s="40" t="s">
        <v>923</v>
      </c>
      <c r="C222" s="1">
        <f>C221*C216+(1-C221)*C220</f>
        <v>0.7464707363295191</v>
      </c>
      <c r="D222" s="1"/>
      <c r="E222" s="1"/>
      <c r="F222" s="1"/>
      <c r="G222" s="1"/>
      <c r="H222" s="1"/>
      <c r="I222" s="2"/>
    </row>
    <row r="223" ht="27">
      <c r="A223" s="4"/>
      <c r="B223" s="93" t="s">
        <v>924</v>
      </c>
      <c r="C223" s="31">
        <v>0.7</v>
      </c>
      <c r="D223" s="1"/>
      <c r="E223" s="1"/>
      <c r="F223" s="1"/>
      <c r="G223" s="1"/>
      <c r="H223" s="1"/>
      <c r="I223" s="2" t="s">
        <v>925</v>
      </c>
    </row>
    <row r="224" ht="27">
      <c r="A224" s="4"/>
      <c r="B224" s="93" t="s">
        <v>926</v>
      </c>
      <c r="C224" s="7">
        <f>IF('Income Statement'!H69&gt;C218,1,0)</f>
        <v>0</v>
      </c>
      <c r="D224" s="1"/>
      <c r="E224" s="1"/>
      <c r="F224" s="1"/>
      <c r="G224" s="1"/>
      <c r="H224" s="1"/>
      <c r="I224" s="2"/>
    </row>
    <row r="225" ht="27">
      <c r="A225" s="4"/>
      <c r="B225" s="93" t="s">
        <v>927</v>
      </c>
      <c r="C225" s="1">
        <f>ROUND(C223*C222+(1-C223)*C224,2)</f>
        <v>0.52</v>
      </c>
      <c r="D225" s="1"/>
      <c r="E225" s="1"/>
      <c r="F225" s="1"/>
      <c r="G225" s="1"/>
      <c r="H225" s="1"/>
      <c r="I225" s="2"/>
    </row>
    <row r="226">
      <c r="A226" s="4"/>
      <c r="B226" s="13" t="s">
        <v>52</v>
      </c>
      <c r="C226" s="13" t="s">
        <v>928</v>
      </c>
      <c r="D226" s="4"/>
      <c r="E226" s="4"/>
      <c r="F226" s="4"/>
      <c r="G226" s="4"/>
      <c r="H226" s="4"/>
      <c r="I226" s="2" t="s">
        <v>929</v>
      </c>
    </row>
    <row r="227">
      <c r="A227" s="4"/>
      <c r="B227" s="4"/>
      <c r="C227" s="4"/>
      <c r="D227" s="4"/>
      <c r="E227" s="4"/>
      <c r="F227" s="4"/>
      <c r="G227" s="4"/>
      <c r="H227" s="4"/>
      <c r="I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</row>
  </sheetData>
  <mergeCells count="2">
    <mergeCell ref="C96:H96"/>
    <mergeCell ref="C97:H97"/>
  </mergeCells>
</worksheet>
</file>