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Income Statement" sheetId="3"/>
    <sheet r:id="rId4" name="Balance Sheet" sheetId="4"/>
    <sheet r:id="rId5" name="Cash Flow Statement" sheetId="5"/>
    <sheet r:id="rId6" name="Geo" sheetId="6"/>
    <sheet r:id="rId7" name="Share Count" sheetId="7"/>
    <sheet r:id="rId8" name="Guidance" sheetId="8"/>
    <sheet r:id="rId9" name="Sources" sheetId="9"/>
    <sheet r:id="rId10" name="Inputs" sheetId="10"/>
  </sheets>
  <calcPr calcId="0" iterateCount="100" iterateDelta="0.001"/>
</workbook>
</file>

<file path=xl/sharedStrings.xml><?xml version="1.0" encoding="utf-8"?>
<sst xmlns="http://schemas.openxmlformats.org/spreadsheetml/2006/main" count="717" uniqueCount="717">
  <si>
    <t>Lam Research Corporation (NasdaqGS: LRCX)</t>
  </si>
  <si>
    <t>Company Model — built by Shortcut</t>
  </si>
  <si>
    <t>$ millions, except per share</t>
  </si>
  <si>
    <t>Forecast period</t>
  </si>
  <si>
    <t>1Q27E</t>
  </si>
  <si>
    <t>Period end</t>
  </si>
  <si>
    <t>Days in period</t>
  </si>
  <si>
    <t>Model summary</t>
  </si>
  <si>
    <t>Company</t>
  </si>
  <si>
    <t>Lam Research Corporation</t>
  </si>
  <si>
    <t>Ticker / exchange</t>
  </si>
  <si>
    <t>LRCX / NasdaqGS</t>
  </si>
  <si>
    <t>Fiscal year end</t>
  </si>
  <si>
    <t>Last Sunday of June (FY26 ended 28-Jun-2026; FY27 ends 27-Jun-2027)</t>
  </si>
  <si>
    <t>1Q27E: fiscal Q1 FY2027, quarter ended 27-Sep-2026 (supplied label 2026-09-30 = calendar shorthand)</t>
  </si>
  <si>
    <t>Currency / units</t>
  </si>
  <si>
    <t>USD; $ millions except per-share data</t>
  </si>
  <si>
    <t>EPS basis</t>
  </si>
  <si>
    <t>Non-GAAP ("normalized") diluted EPS, USD per diluted common share; GAAP shown separately</t>
  </si>
  <si>
    <t>Information cutoff</t>
  </si>
  <si>
    <t>2026-10-18 21:34 UTC</t>
  </si>
  <si>
    <t>Expected report date</t>
  </si>
  <si>
    <t>2026-10-21 after market, call 14:00 PT (issuer, S13); CapIQ summary shows 2026-10-23</t>
  </si>
  <si>
    <t>Consensus snapshot</t>
  </si>
  <si>
    <t>S&amp;P Capital IQ as of 2026-10-18; 25 normalized-EPS estimates (frozen scoring baseline)</t>
  </si>
  <si>
    <t>Author</t>
  </si>
  <si>
    <t>Shortcut</t>
  </si>
  <si>
    <t>Headline: 1Q27E</t>
  </si>
  <si>
    <t>Shortcut est.</t>
  </si>
  <si>
    <t>Consensus</t>
  </si>
  <si>
    <t>Variance</t>
  </si>
  <si>
    <t>Var. % / bp</t>
  </si>
  <si>
    <t>Guidance mid</t>
  </si>
  <si>
    <t>Est. vs guide</t>
  </si>
  <si>
    <t>Revenue</t>
  </si>
  <si>
    <t>Net income – non-GAAP</t>
  </si>
  <si>
    <t>Net income – GAAP</t>
  </si>
  <si>
    <t>EPS – non-GAAP (cons. basis)</t>
  </si>
  <si>
    <t>Diluted EPS – GAAP</t>
  </si>
  <si>
    <t>Gross margin – non-GAAP</t>
  </si>
  <si>
    <t>n.a.</t>
  </si>
  <si>
    <t>Operating margin – non-GAAP</t>
  </si>
  <si>
    <t>Diluted shares (m)</t>
  </si>
  <si>
    <t>Cover ties to statements</t>
  </si>
  <si>
    <t>Overall check result</t>
  </si>
  <si>
    <t>PASS</t>
  </si>
  <si>
    <t>P(beat consensus EPS)</t>
  </si>
  <si>
    <t>Confidence</t>
  </si>
  <si>
    <t>medium</t>
  </si>
  <si>
    <t>Consensus detail (S&amp;P Capital IQ, 2026-10-18)</t>
  </si>
  <si>
    <t>Normalized EPS – # estimates</t>
  </si>
  <si>
    <t>Normalized EPS – high</t>
  </si>
  <si>
    <t>Normalized EPS – low</t>
  </si>
  <si>
    <t>Normalized EPS – std. dev.</t>
  </si>
  <si>
    <t>Revenue – high ($m)</t>
  </si>
  <si>
    <t>Revenue – low ($m)</t>
  </si>
  <si>
    <t>Newer cons. EPS (MarketBeat 14-Oct)</t>
  </si>
  <si>
    <t>Starting P(beat), pre-evidence</t>
  </si>
  <si>
    <t>Revenue summary — revenue build and drivers (single reportable segment)</t>
  </si>
  <si>
    <t>Period</t>
  </si>
  <si>
    <t>1Q26A</t>
  </si>
  <si>
    <t>2Q26A</t>
  </si>
  <si>
    <t>3Q26A</t>
  </si>
  <si>
    <t>4Q26A</t>
  </si>
  <si>
    <t>FY26A</t>
  </si>
  <si>
    <t>Notes</t>
  </si>
  <si>
    <t>Systems revenue by end market (% of systems revenue as disclosed on earnings calls)</t>
  </si>
  <si>
    <t>Foundry – % of systems revenue</t>
  </si>
  <si>
    <t>S8 (1Q26), S9 (2Q26), S10 (3Q26), S7 (4Q26): % of systems revenue</t>
  </si>
  <si>
    <t xml:space="preserve">  Change (bps)</t>
  </si>
  <si>
    <t>Foundry – Q/Q growth (driver)</t>
  </si>
  <si>
    <t>Assumption: TSMC 3Q26 rev +17.6% Q/Q with 2nm ramp (S17); China mature-node lower (S7)</t>
  </si>
  <si>
    <t>Foundry systems revenue</t>
  </si>
  <si>
    <t>Derived: mix % x reported systems revenue (mix rounded to 1%); forecast = prior x (1+growth)</t>
  </si>
  <si>
    <t xml:space="preserve">  % Y/Y</t>
  </si>
  <si>
    <t xml:space="preserve">  Q/Q change ($)</t>
  </si>
  <si>
    <t xml:space="preserve">  % Q/Q</t>
  </si>
  <si>
    <t xml:space="preserve">  % of total revenue</t>
  </si>
  <si>
    <t xml:space="preserve">  Total Y/Y growth</t>
  </si>
  <si>
    <t xml:space="preserve">    M&amp;A / scope impact</t>
  </si>
  <si>
    <t>n.d.</t>
  </si>
  <si>
    <t>Not disclosed by Lam; left unavailable (never zero-filled)</t>
  </si>
  <si>
    <t xml:space="preserve">    FX impact</t>
  </si>
  <si>
    <t xml:space="preserve">    Organic growth</t>
  </si>
  <si>
    <t>Organic = (1+Y/Y)/((1+M&amp;A)*(1+FX))-1; unavailable because M&amp;A and FX are not disclosed</t>
  </si>
  <si>
    <t>DRAM – % of systems revenue</t>
  </si>
  <si>
    <t>DRAM – Q/Q growth (driver)</t>
  </si>
  <si>
    <t>Assumption: DRAM fastest-growing segment (S7); Micron FY27 capex raised/pull-forward (S19)</t>
  </si>
  <si>
    <t>DRAM systems revenue</t>
  </si>
  <si>
    <t>NAND – % of systems revenue</t>
  </si>
  <si>
    <t>NAND – Q/Q growth (driver)</t>
  </si>
  <si>
    <t>Assumption: NAND 200+/256L upgrades continue; Samsung Xi'an / SK hynix Dalian upgrades (S7, S20)</t>
  </si>
  <si>
    <t>NAND systems revenue</t>
  </si>
  <si>
    <t>Memory systems revenue</t>
  </si>
  <si>
    <t xml:space="preserve">  Memory – % of systems revenue</t>
  </si>
  <si>
    <t xml:space="preserve">    Change (bps)</t>
  </si>
  <si>
    <t>Logic/other – % of systems rev.</t>
  </si>
  <si>
    <t>Logic / other – Q/Q growth (driver)</t>
  </si>
  <si>
    <t>Assumption: advanced packaging &gt;70% growth in CY26 (S7)</t>
  </si>
  <si>
    <t>Logic / other systems revenue</t>
  </si>
  <si>
    <t>Systems revenue</t>
  </si>
  <si>
    <t>S3-S6 press releases; FY S11 (10-K $14,885.5m)</t>
  </si>
  <si>
    <t>Check: end markets = systems</t>
  </si>
  <si>
    <t>Memo: systems rev., year-ago</t>
  </si>
  <si>
    <t>S3-S6 prior-year columns; FY25 S11</t>
  </si>
  <si>
    <t>Customer Support Business Group (CSBG)</t>
  </si>
  <si>
    <t>CSBG – Q/Q growth (driver)</t>
  </si>
  <si>
    <t>Assumption: CFO expects "similar profile" to June (+17% Q/Q) – upgrades, spares, advanced services (S7); tempered to +13%</t>
  </si>
  <si>
    <t>Customer support &amp; other (CSBG)</t>
  </si>
  <si>
    <t>S3-S6 press releases; FY S11 ($8,347.2m)</t>
  </si>
  <si>
    <t>Memo: CSBG revenue, year-ago period</t>
  </si>
  <si>
    <t>S3-S6; FY25 S11</t>
  </si>
  <si>
    <t xml:space="preserve">  CSBG components ($ split)</t>
  </si>
  <si>
    <t>Lam discusses components qualitatively only; $ split not disclosed</t>
  </si>
  <si>
    <t>Total revenue</t>
  </si>
  <si>
    <t>Total revenue – as reported</t>
  </si>
  <si>
    <t>S3-S6; FY S11</t>
  </si>
  <si>
    <t>Check: build = reported</t>
  </si>
  <si>
    <t>CapIQ revenue actual (Inputs)</t>
  </si>
  <si>
    <t>S2 LRCX_history.csv revenue_m_actual</t>
  </si>
  <si>
    <t>Check: model vs CapIQ (±0.01)</t>
  </si>
  <si>
    <t>Check: FY = sum of quarters</t>
  </si>
  <si>
    <t>Memo: total revenue, year-ago</t>
  </si>
  <si>
    <t>Operating indicators (disclosed)</t>
  </si>
  <si>
    <t>Deferred revenue – opening</t>
  </si>
  <si>
    <t>Jun-25 closing $2,681m (S12 June-2025 quarter release)</t>
  </si>
  <si>
    <t xml:space="preserve">  Net change (Q/Q)</t>
  </si>
  <si>
    <t>n.f.</t>
  </si>
  <si>
    <t>Deferred revenue – closing</t>
  </si>
  <si>
    <t>S3-S6 ($bn, 2 decimals); not forecast</t>
  </si>
  <si>
    <t xml:space="preserve">  Deferred revenue – average</t>
  </si>
  <si>
    <t>FY = AVERAGE of the four quarterly (opening+closing)/2 averages; equal weights because all four quarters are 91 days. Approximate endpoint-weighted average, not an actual daily mean.</t>
  </si>
  <si>
    <t xml:space="preserve">  % Y/Y (closing)</t>
  </si>
  <si>
    <t>Year-ago closing balances not in model timeline</t>
  </si>
  <si>
    <t>Japan shipments pending – opening</t>
  </si>
  <si>
    <t>S3: $342m at 29-Jun-2025</t>
  </si>
  <si>
    <t>Japan shipments pending – closing</t>
  </si>
  <si>
    <t>S3-S6</t>
  </si>
  <si>
    <t xml:space="preserve">  Japan shipments – average</t>
  </si>
  <si>
    <t>Year-ago balances not in model timeline</t>
  </si>
  <si>
    <t>CY26 WFE outlook ($bn)</t>
  </si>
  <si>
    <t>S9 ~$135bn; S10 $140bn; S7 "low $150bn"; reiterated at Citi 9-Sep-2026 (S14)</t>
  </si>
  <si>
    <t xml:space="preserve">  Q/Q change ($bn)</t>
  </si>
  <si>
    <t>Full-time employees (period end)</t>
  </si>
  <si>
    <t>S7: ~22,400 at Jun-26, +~1,800 Q/Q (Mar-26 derived 20,600)</t>
  </si>
  <si>
    <t xml:space="preserve">  Q/Q change</t>
  </si>
  <si>
    <t>Single reportable segment (Form 10-K FY2026): systems / CSBG / end-market drivers are built here instead of Segment tabs; geography on Geo tab.</t>
  </si>
  <si>
    <t>Income Statement — U.S. GAAP, non-GAAP bridge and forecast drivers</t>
  </si>
  <si>
    <t>Income statement (U.S. GAAP, as reported)</t>
  </si>
  <si>
    <t>Cost of goods sold</t>
  </si>
  <si>
    <t>Gross profit</t>
  </si>
  <si>
    <t xml:space="preserve">  Gross margin</t>
  </si>
  <si>
    <t>Research and development</t>
  </si>
  <si>
    <t>SG&amp;A</t>
  </si>
  <si>
    <t>Total operating expenses</t>
  </si>
  <si>
    <t xml:space="preserve">  Opex % of revenue</t>
  </si>
  <si>
    <t>Operating income</t>
  </si>
  <si>
    <t xml:space="preserve">  Operating margin</t>
  </si>
  <si>
    <t>Other income (expense), net</t>
  </si>
  <si>
    <t>Income before income taxes</t>
  </si>
  <si>
    <t>Income tax expense</t>
  </si>
  <si>
    <t>S3-S6 (expense shown negative)</t>
  </si>
  <si>
    <t xml:space="preserve">  Effective tax rate (GAAP)</t>
  </si>
  <si>
    <t>Net income (GAAP)</t>
  </si>
  <si>
    <t>Memo: GAAP NI, year-ago</t>
  </si>
  <si>
    <t>S3-S6 prior-year columns; FY25 S6</t>
  </si>
  <si>
    <t xml:space="preserve">  Net margin</t>
  </si>
  <si>
    <t>Weighted basic shares (m)</t>
  </si>
  <si>
    <t>Weighted diluted shares (m)</t>
  </si>
  <si>
    <t>Basic EPS (GAAP)</t>
  </si>
  <si>
    <t>Diluted EPS (GAAP)</t>
  </si>
  <si>
    <t>Diluted EPS (GAAP) – as reported</t>
  </si>
  <si>
    <t>Check: GAAP EPS = reported</t>
  </si>
  <si>
    <t>Check: EPS = NI / diluted shares</t>
  </si>
  <si>
    <t>Memo: GAAP EPS, year-ago</t>
  </si>
  <si>
    <t>S3-S6 prior-year columns; FY25 S6; 1Q27E year-ago = reported 1Q26 GAAP diluted EPS $1.24 (C42), Y/Y updated</t>
  </si>
  <si>
    <t>Dividends declared per share</t>
  </si>
  <si>
    <t>S3-S6; 1Q27 $0.33 declared Sep-2026 (S23)</t>
  </si>
  <si>
    <t>GAAP to non-GAAP bridge (one row per adjustment)</t>
  </si>
  <si>
    <t>GAAP net income</t>
  </si>
  <si>
    <t xml:space="preserve">  Intangibles amortization – COGS</t>
  </si>
  <si>
    <t>S3-S6 reconciliations; 1Q27E: Guided $2.7m (S6)</t>
  </si>
  <si>
    <t xml:space="preserve">  EDC liability – COGS</t>
  </si>
  <si>
    <t>S3-S6 reconciliations; 1Q27E: Not guided; assume nil (offsets EDC asset)</t>
  </si>
  <si>
    <t xml:space="preserve">  Workforce optimization – COGS</t>
  </si>
  <si>
    <t>S3-S6 reconciliations; 1Q27E: None announced for 1Q27</t>
  </si>
  <si>
    <t xml:space="preserve">  EDC liability – R&amp;D</t>
  </si>
  <si>
    <t>S3-S6 reconciliations; 1Q27E: Not guided; assume nil</t>
  </si>
  <si>
    <t xml:space="preserve">  Workforce optimization – R&amp;D</t>
  </si>
  <si>
    <t>S3-S6 reconciliations; 1Q27E: None announced</t>
  </si>
  <si>
    <t xml:space="preserve">  Intangibles amortization – SG&amp;A</t>
  </si>
  <si>
    <t>S3-S6 reconciliations; 1Q27E: Guided $3.0m total less $2.7m COGS (S6)</t>
  </si>
  <si>
    <t xml:space="preserve">  EDC liability – SG&amp;A</t>
  </si>
  <si>
    <t xml:space="preserve">  Workforce optimization – SG&amp;A</t>
  </si>
  <si>
    <t xml:space="preserve">  Impairment – SG&amp;A</t>
  </si>
  <si>
    <t>S3-S6 reconciliations; 1Q27E: One-off in 1Q26</t>
  </si>
  <si>
    <t xml:space="preserve">  Note discount amortization – OI&amp;E</t>
  </si>
  <si>
    <t>S3-S6 reconciliations; 1Q27E: Guided $0.5m (S6)</t>
  </si>
  <si>
    <t xml:space="preserve">  (Gain) loss on EDC asset – OI&amp;E</t>
  </si>
  <si>
    <t xml:space="preserve">  Tax effect of non-GAAP items</t>
  </si>
  <si>
    <t>S3-S6 reconciliations; 1Q27E: Guided ($0.2m) (S6)</t>
  </si>
  <si>
    <t xml:space="preserve">  Tax expense from tax law change</t>
  </si>
  <si>
    <t>Non-GAAP net income</t>
  </si>
  <si>
    <t>Non-GAAP net income – as reported</t>
  </si>
  <si>
    <t>Check: bridge = reported</t>
  </si>
  <si>
    <t>Non-GAAP diluted EPS (cons. basis)</t>
  </si>
  <si>
    <t>Non-GAAP diluted EPS – as reported</t>
  </si>
  <si>
    <t>S3-S6; FY $5.82 per CFO (S7)</t>
  </si>
  <si>
    <t>Check: computed = reported (±0.006)</t>
  </si>
  <si>
    <t>CapIQ normalized EPS actual</t>
  </si>
  <si>
    <t>S2 eps_normalized_actual</t>
  </si>
  <si>
    <t>Check: model vs CapIQ actual</t>
  </si>
  <si>
    <t>Check: NG EPS = NG NI / shares</t>
  </si>
  <si>
    <t>Memo: non-GAAP EPS, year-ago period</t>
  </si>
  <si>
    <t>S2 (Mar-25, Jun-25); Sep-24/Dec-24 not in supplied history; 1Q27E year-ago = reported 1Q26 non-GAAP EPS $1.26 (C69), Y/Y updated</t>
  </si>
  <si>
    <t>Non-GAAP P&amp;L and forecast drivers</t>
  </si>
  <si>
    <t>Non-GAAP gross profit</t>
  </si>
  <si>
    <t xml:space="preserve">  Non-GAAP gross margin (driver)</t>
  </si>
  <si>
    <t>Guide 52.0% ±1pt (S6); last 4 qtrs beat guide midpoint by +0.6 to +1.5pts (Guidance tab); assume +0.4pt</t>
  </si>
  <si>
    <t>NG gross profit – reported</t>
  </si>
  <si>
    <t>Check: NG gross profit = reported</t>
  </si>
  <si>
    <t>NG operating expenses (driver)</t>
  </si>
  <si>
    <t>Guide-implied $1,012.5m (52.0% - 39.5% x $8.1bn); spending growing "much slower" than revenue (S7)</t>
  </si>
  <si>
    <t xml:space="preserve">  Non-GAAP opex % of revenue</t>
  </si>
  <si>
    <t xml:space="preserve">  R&amp;D share of NG opex (driver)</t>
  </si>
  <si>
    <t>R&amp;D 67% of opex in 4Q26 (S7)</t>
  </si>
  <si>
    <t xml:space="preserve">  Non-GAAP R&amp;D</t>
  </si>
  <si>
    <t xml:space="preserve">  Non-GAAP SG&amp;A</t>
  </si>
  <si>
    <t>Non-GAAP operating income</t>
  </si>
  <si>
    <t xml:space="preserve">  Non-GAAP operating margin</t>
  </si>
  <si>
    <t>NG operating income – reported</t>
  </si>
  <si>
    <t>Check: NG op. income = reported</t>
  </si>
  <si>
    <t>NG other inc. (exp.) (driver)</t>
  </si>
  <si>
    <t>1Q27E = 4-quarter average; OI&amp;E variable with FX (S7)</t>
  </si>
  <si>
    <t>Non-GAAP income before taxes</t>
  </si>
  <si>
    <t>Non-GAAP income tax expense</t>
  </si>
  <si>
    <t xml:space="preserve">  Non-GAAP tax rate (driver)</t>
  </si>
  <si>
    <t>CFO: "mid-teens" in Sep-26 quarter vs 11% in Jun-26 (higher US mix, GILTI) (S7)</t>
  </si>
  <si>
    <t>Non-GAAP net income (P&amp;L build)</t>
  </si>
  <si>
    <t>Check: P&amp;L build = bridge</t>
  </si>
  <si>
    <t xml:space="preserve">  Non-GAAP net margin</t>
  </si>
  <si>
    <t>Memo: FY26 GAAP NI – reported</t>
  </si>
  <si>
    <t>S6 / S11</t>
  </si>
  <si>
    <t>Check: FY NI = sum of qtrs</t>
  </si>
  <si>
    <t>Balance Sheet — as reported (condensed) and 1Q27E</t>
  </si>
  <si>
    <t>Assets</t>
  </si>
  <si>
    <t>Cash and cash equivalents</t>
  </si>
  <si>
    <t>S3-S6; 1Q27E from Cash Flow</t>
  </si>
  <si>
    <t>Accounts receivable, net</t>
  </si>
  <si>
    <t xml:space="preserve">  Days sales outstanding (driver)</t>
  </si>
  <si>
    <t>72 days in 4Q26 (S7); held flat</t>
  </si>
  <si>
    <t xml:space="preserve">    Q/Q change (days)</t>
  </si>
  <si>
    <t>Inventories</t>
  </si>
  <si>
    <t xml:space="preserve">  Inventory Q/Q growth (driver)</t>
  </si>
  <si>
    <t>Building inventory for demand (S7); assumption</t>
  </si>
  <si>
    <t>Prepaid and other current assets</t>
  </si>
  <si>
    <t>S3-S6; flat</t>
  </si>
  <si>
    <t>Total current assets</t>
  </si>
  <si>
    <t>Property and equipment, net</t>
  </si>
  <si>
    <t>S3-S6; 1Q27E + capex - depreciation</t>
  </si>
  <si>
    <t>Goodwill and intangible assets</t>
  </si>
  <si>
    <t>S3-S6; less intangible amortization</t>
  </si>
  <si>
    <t>Other assets</t>
  </si>
  <si>
    <t>Total assets</t>
  </si>
  <si>
    <t>Total assets – as reported</t>
  </si>
  <si>
    <t>Check: total assets = reported</t>
  </si>
  <si>
    <t>Liabilities and stockholders' equity</t>
  </si>
  <si>
    <t>Current debt and finance leases</t>
  </si>
  <si>
    <t>Other current liabilities</t>
  </si>
  <si>
    <t>S3-S6 (incl. deferred revenue, payables, accruals)</t>
  </si>
  <si>
    <t xml:space="preserve">  OCL Q/Q growth (driver)</t>
  </si>
  <si>
    <t>Assumption: payables/accruals scale with activity</t>
  </si>
  <si>
    <t>Total current liabilities</t>
  </si>
  <si>
    <t>Long-term debt and finance leases</t>
  </si>
  <si>
    <t>Income taxes payable</t>
  </si>
  <si>
    <t>Other long-term liabilities</t>
  </si>
  <si>
    <t>Total liabilities</t>
  </si>
  <si>
    <t>Stockholders' equity</t>
  </si>
  <si>
    <t>S3-S6; 1Q27E roll-forward</t>
  </si>
  <si>
    <t>Total liabilities and equity</t>
  </si>
  <si>
    <t>Total L&amp;E – as reported</t>
  </si>
  <si>
    <t>Assets – liabilities – equity</t>
  </si>
  <si>
    <t>Check: balance sheet balances</t>
  </si>
  <si>
    <t>Check: total L&amp;E = reported</t>
  </si>
  <si>
    <t>Memo</t>
  </si>
  <si>
    <t>Net cash (cash less total debt)</t>
  </si>
  <si>
    <t>Restricted cash (in other assets)</t>
  </si>
  <si>
    <t>Cash Flow Statement — as reported (condensed) and 1Q27E</t>
  </si>
  <si>
    <t>Operating activities</t>
  </si>
  <si>
    <t>Net income</t>
  </si>
  <si>
    <t>Depreciation and amortization</t>
  </si>
  <si>
    <t>S3-S6; 1Q27E assumption (trend +~3%)</t>
  </si>
  <si>
    <t>Deferred income taxes</t>
  </si>
  <si>
    <t>1Q27E nil (not forecastable)</t>
  </si>
  <si>
    <t>Equity-based compensation</t>
  </si>
  <si>
    <t>1Q27E assumption</t>
  </si>
  <si>
    <t>Other, net</t>
  </si>
  <si>
    <t>Changes in operating A&amp;L</t>
  </si>
  <si>
    <t>1Q27E built from Balance Sheet changes below</t>
  </si>
  <si>
    <t xml:space="preserve">  (Inc.) dec. in receivables</t>
  </si>
  <si>
    <t>Not split in condensed reported cash flow</t>
  </si>
  <si>
    <t xml:space="preserve">  (Inc.) dec. in inventories</t>
  </si>
  <si>
    <t xml:space="preserve">  (Inc.) dec. in prepaid &amp; other</t>
  </si>
  <si>
    <t xml:space="preserve">  (Inc.) dec. in other assets</t>
  </si>
  <si>
    <t xml:space="preserve">  Inc. (dec.) in other curr. liab.</t>
  </si>
  <si>
    <t xml:space="preserve">  Inc. (dec.) in taxes payable</t>
  </si>
  <si>
    <t xml:space="preserve">  Inc. (dec.) in other LT liab.</t>
  </si>
  <si>
    <t>Net cash from operating activities</t>
  </si>
  <si>
    <t>Operating cash flow – as reported</t>
  </si>
  <si>
    <t>Check: components = reported</t>
  </si>
  <si>
    <t>Investing activities</t>
  </si>
  <si>
    <t>Capex and intangible assets</t>
  </si>
  <si>
    <t>S3-S6; 1Q27E ~4-qtr average with US lab / Malaysia build-out</t>
  </si>
  <si>
    <t>Net cash from investing</t>
  </si>
  <si>
    <t>Financing activities</t>
  </si>
  <si>
    <t>Debt and finance lease payments</t>
  </si>
  <si>
    <t>Treasury stock purchases</t>
  </si>
  <si>
    <t>1Q27E assumption; $4bn authorization remaining (S7)</t>
  </si>
  <si>
    <t>Dividends paid</t>
  </si>
  <si>
    <t>1Q27E pays the $0.26 declared in 4Q26 on opening shares; $0.33 declared Sep-26 is payable 14-Oct (2Q27). Simplified paid-basis BS: no declared-dividend payable accrued (timing caveat, no driver change)</t>
  </si>
  <si>
    <t>ESPP treasury reissuance</t>
  </si>
  <si>
    <t>ESPP purchases fall in Dec/Jun quarters</t>
  </si>
  <si>
    <t>Stock issuance proceeds</t>
  </si>
  <si>
    <t>Net cash from financing</t>
  </si>
  <si>
    <t>Effect of exchange rate changes</t>
  </si>
  <si>
    <t>Net change in cash</t>
  </si>
  <si>
    <t>Net change in cash – as reported</t>
  </si>
  <si>
    <t>Check: net change = reported</t>
  </si>
  <si>
    <t>Cash incl. restricted – beginning</t>
  </si>
  <si>
    <t>S3</t>
  </si>
  <si>
    <t>Cash incl. restricted – ending</t>
  </si>
  <si>
    <t>Ending cash – as reported</t>
  </si>
  <si>
    <t>Check: ending cash = reported</t>
  </si>
  <si>
    <t>Less: restricted cash</t>
  </si>
  <si>
    <t>Derived (CF ending less BS cash); held flat in 1Q27E</t>
  </si>
  <si>
    <t>Cash per Balance Sheet</t>
  </si>
  <si>
    <t>Check: cash ties to Balance Sheet</t>
  </si>
  <si>
    <t>Free cash flow (tracked convention: operating cash flow less capex and intangible assets)</t>
  </si>
  <si>
    <t>Free cash flow</t>
  </si>
  <si>
    <t>Lam cites free cash flow (S7: 45% returned in June qtr; reproduces 571.9/1,268.4 = 45.1%), but its exact definition was not found in the reviewed cache; the 81% YTD figure is not reproduced on this basis</t>
  </si>
  <si>
    <t xml:space="preserve">  FCF margin</t>
  </si>
  <si>
    <t>Capital returned (buyback + div.)</t>
  </si>
  <si>
    <t xml:space="preserve">  Capital returned % of FCF</t>
  </si>
  <si>
    <t>Geo — revenue by region (location of customer facilities)</t>
  </si>
  <si>
    <t>China – % of revenue</t>
  </si>
  <si>
    <t>S3-S6 regional tables; 1Q27E: China share keeps falling as non-China grows faster (S14); domestic customers down (S7)</t>
  </si>
  <si>
    <t>China revenue</t>
  </si>
  <si>
    <t>Derived: % (rounded) x total revenue</t>
  </si>
  <si>
    <t>Taiwan – % of revenue</t>
  </si>
  <si>
    <t>S3-S6 regional tables; 1Q27E: TSMC 2nm/3nm ramp (S17)</t>
  </si>
  <si>
    <t>Taiwan revenue</t>
  </si>
  <si>
    <t>Korea – % of revenue</t>
  </si>
  <si>
    <t>S3-S6 regional tables; 1Q27E: DRAM fastest grower; Korea memory capex (S7, S20)</t>
  </si>
  <si>
    <t>Korea revenue</t>
  </si>
  <si>
    <t>Japan – % of revenue</t>
  </si>
  <si>
    <t>S3-S6 regional tables; held</t>
  </si>
  <si>
    <t>Japan revenue</t>
  </si>
  <si>
    <t>United States – % of revenue</t>
  </si>
  <si>
    <t>S3-S6 regional tables; held at 4Q26 record mix</t>
  </si>
  <si>
    <t>United States revenue</t>
  </si>
  <si>
    <t>Southeast Asia – % of revenue</t>
  </si>
  <si>
    <t>Southeast Asia revenue</t>
  </si>
  <si>
    <t>Europe – % of revenue</t>
  </si>
  <si>
    <t>S3-S6 regional tables; Europe 2Q26 blank in source release: derived as 100% less other regions</t>
  </si>
  <si>
    <t>Europe revenue</t>
  </si>
  <si>
    <t>Total revenue (sum of regions)</t>
  </si>
  <si>
    <t>Total revenue (Revenue summary)</t>
  </si>
  <si>
    <t>Check: regions = total revenue</t>
  </si>
  <si>
    <t>Check: regional shares sum to 100%</t>
  </si>
  <si>
    <t>Memo: FY26 regional mix per Form 10-K (S11)</t>
  </si>
  <si>
    <t>Quarterly regional $ are reconstructions (reported whole-% quarterly mix × revenue); FY26 mix in G is rebuilt from them, so it differs from the 10-K whole-% FY mix below (e.g. Taiwan 22.6% vs 22%). Not forced to reconcile; history not rewritten.</t>
  </si>
  <si>
    <t>China – FY26 % per 10-K</t>
  </si>
  <si>
    <t>S11</t>
  </si>
  <si>
    <t>Taiwan – FY26 % per 10-K</t>
  </si>
  <si>
    <t>Korea – FY26 % per 10-K</t>
  </si>
  <si>
    <t>Japan – FY26 % per 10-K</t>
  </si>
  <si>
    <t>United States – FY26 % per 10-K</t>
  </si>
  <si>
    <t>Southeast Asia – FY26 % per 10-K</t>
  </si>
  <si>
    <t>Europe – FY26 % per 10-K</t>
  </si>
  <si>
    <t>Share Count — weighted shares, buybacks and forecast share base</t>
  </si>
  <si>
    <t>Weighted average shares (millions)</t>
  </si>
  <si>
    <t>Weighted basic shares</t>
  </si>
  <si>
    <t>S3-S6; FY S6</t>
  </si>
  <si>
    <t>Memo: basic shares, year-ago</t>
  </si>
  <si>
    <t>S3-S6 prior-year</t>
  </si>
  <si>
    <t xml:space="preserve">  Q/Q change (m)</t>
  </si>
  <si>
    <t>Dilutive securities</t>
  </si>
  <si>
    <t>1Q27E held at 4Q26 level</t>
  </si>
  <si>
    <t>Weighted diluted shares</t>
  </si>
  <si>
    <t>S3-S6; 1Q27E = guided ~1.255bn (S6)</t>
  </si>
  <si>
    <t>Memo: diluted shares, year-ago</t>
  </si>
  <si>
    <t>Shares outstanding roll-forward (millions)</t>
  </si>
  <si>
    <t>Shares outstanding – opening</t>
  </si>
  <si>
    <t>Jun-25: 1,268.740m (S3)</t>
  </si>
  <si>
    <t xml:space="preserve">  Shares repurchased</t>
  </si>
  <si>
    <t>Quarterly share counts repurchased not in condensed releases</t>
  </si>
  <si>
    <t xml:space="preserve">  Shares issued (RSU / ESPP, net)</t>
  </si>
  <si>
    <t>Assumption</t>
  </si>
  <si>
    <t xml:space="preserve">  Net change</t>
  </si>
  <si>
    <t>Shares outstanding – closing</t>
  </si>
  <si>
    <t>S3-S6 balance sheet footnote</t>
  </si>
  <si>
    <t xml:space="preserve">  Shares outstanding – average</t>
  </si>
  <si>
    <t>Capital return</t>
  </si>
  <si>
    <t>Share repurchases ($m)</t>
  </si>
  <si>
    <t>Avg. buyback price ($/sh)</t>
  </si>
  <si>
    <t>Assumption: approx. Jul-Sep 2026 trading range</t>
  </si>
  <si>
    <t>Dividends paid ($m)</t>
  </si>
  <si>
    <t>ESPP treasury reissuance ($m)</t>
  </si>
  <si>
    <t>Proceeds from stock issuance ($m)</t>
  </si>
  <si>
    <t>Forecast EPS share count (m)</t>
  </si>
  <si>
    <t>Check: IS EPS uses this count</t>
  </si>
  <si>
    <t>Guidance — company outlook vs reported results</t>
  </si>
  <si>
    <t>Guidance item</t>
  </si>
  <si>
    <t>Date issued</t>
  </si>
  <si>
    <t>Basis</t>
  </si>
  <si>
    <t>Low</t>
  </si>
  <si>
    <t>High</t>
  </si>
  <si>
    <t>Midpoint</t>
  </si>
  <si>
    <t>Actual</t>
  </si>
  <si>
    <t>Actual – mid</t>
  </si>
  <si>
    <t>Result</t>
  </si>
  <si>
    <t>Source</t>
  </si>
  <si>
    <t>1Q26 Revenue</t>
  </si>
  <si>
    <t>$m</t>
  </si>
  <si>
    <t>Beat</t>
  </si>
  <si>
    <t>S12</t>
  </si>
  <si>
    <t>1Q26 Gross margin</t>
  </si>
  <si>
    <t>non-GAAP</t>
  </si>
  <si>
    <t>1Q26 Operating margin</t>
  </si>
  <si>
    <t>1Q26 Diluted EPS</t>
  </si>
  <si>
    <t>1Q26 Diluted share count (m)</t>
  </si>
  <si>
    <t>GAAP = non-GAAP</t>
  </si>
  <si>
    <t>Below</t>
  </si>
  <si>
    <t>2Q26 Revenue</t>
  </si>
  <si>
    <t>2Q26 Gross margin</t>
  </si>
  <si>
    <t>2Q26 Operating margin</t>
  </si>
  <si>
    <t>2Q26 Diluted EPS</t>
  </si>
  <si>
    <t>2Q26 Diluted share count (m)</t>
  </si>
  <si>
    <t>Above</t>
  </si>
  <si>
    <t>3Q26 Revenue</t>
  </si>
  <si>
    <t>S4</t>
  </si>
  <si>
    <t>3Q26 Gross margin</t>
  </si>
  <si>
    <t>3Q26 Operating margin</t>
  </si>
  <si>
    <t>3Q26 Diluted EPS</t>
  </si>
  <si>
    <t>3Q26 Diluted share count (m)</t>
  </si>
  <si>
    <t>4Q26 Revenue</t>
  </si>
  <si>
    <t>S5</t>
  </si>
  <si>
    <t>4Q26 Gross margin</t>
  </si>
  <si>
    <t>4Q26 Operating margin</t>
  </si>
  <si>
    <t>4Q26 Diluted EPS</t>
  </si>
  <si>
    <t>4Q26 Diluted share count (m)</t>
  </si>
  <si>
    <t>1Q27 Revenue</t>
  </si>
  <si>
    <t>n.r.</t>
  </si>
  <si>
    <t>Pending</t>
  </si>
  <si>
    <t>S6</t>
  </si>
  <si>
    <t>1Q27 Gross margin</t>
  </si>
  <si>
    <t>1Q27 Operating margin</t>
  </si>
  <si>
    <t>1Q27 Diluted EPS</t>
  </si>
  <si>
    <t>1Q27 Diluted share count (m)</t>
  </si>
  <si>
    <t>U.S. GAAP</t>
  </si>
  <si>
    <t>Guidance track record (last 4 reported quarters)</t>
  </si>
  <si>
    <t>Average non-GAAP EPS beat vs midpoint ($/sh)</t>
  </si>
  <si>
    <t>EPS above midpoint (count of 4)</t>
  </si>
  <si>
    <t>Average revenue beat vs midpoint ($m)</t>
  </si>
  <si>
    <t>Average revenue beat vs midpoint (%)</t>
  </si>
  <si>
    <t>Average non-GAAP gross margin beat vs midpoint (bps)</t>
  </si>
  <si>
    <t>1Q27E: Shortcut estimate vs guidance midpoint</t>
  </si>
  <si>
    <t>Metric</t>
  </si>
  <si>
    <t>Estimate</t>
  </si>
  <si>
    <t>Est. – mid</t>
  </si>
  <si>
    <t>Revenue ($m)</t>
  </si>
  <si>
    <t>Non-GAAP gross margin</t>
  </si>
  <si>
    <t>Non-GAAP operating margin</t>
  </si>
  <si>
    <t>Non-GAAP diluted EPS</t>
  </si>
  <si>
    <t>GAAP diluted EPS</t>
  </si>
  <si>
    <t>Sources — publication date, publisher, location and what each source feeds</t>
  </si>
  <si>
    <t>ID</t>
  </si>
  <si>
    <t>Publication date</t>
  </si>
  <si>
    <t>Publisher</t>
  </si>
  <si>
    <t>URL or file</t>
  </si>
  <si>
    <t>What it feeds</t>
  </si>
  <si>
    <t>S1</t>
  </si>
  <si>
    <t>S&amp;P Capital IQ</t>
  </si>
  <si>
    <t>LRCX_consensus.json (attached; SHA-256 a479be71…fbd)</t>
  </si>
  <si>
    <t>Inputs snapshot; Cover consensus; Guidance cross-check</t>
  </si>
  <si>
    <t>S2</t>
  </si>
  <si>
    <t>LRCX_history.csv (attached; SHA-256 fe38561c…d47)</t>
  </si>
  <si>
    <t>Inputs history; beat calibration; revenue/EPS actual checks</t>
  </si>
  <si>
    <t>Lam Research (press release)</t>
  </si>
  <si>
    <t>https://investor.lamresearch.com/2025-10-22-Lam-Research-Corporation-Reports-Financial-Results-for-the-Quarter-Ended-September-28,-2025</t>
  </si>
  <si>
    <t>1Q26A statements, bridge, geography, systems/CSBG; 2Q26 guidance</t>
  </si>
  <si>
    <t>https://www.prnewswire.com/news-releases/lam-research-corporation-reports-financial-results-for-the-quarter-ended-december-28-2025-302673080.html</t>
  </si>
  <si>
    <t>2Q26A statements, bridge, geography; 3Q26 guidance</t>
  </si>
  <si>
    <t>Lam Research (8-K Ex. 99.1)</t>
  </si>
  <si>
    <t>https://www.sec.gov/Archives/edgar/data/707549/000070754926000020/lrcx_exhibitx991xq3x2026.htm</t>
  </si>
  <si>
    <t>3Q26A statements, 2Q26A balance sheet/cash flow, bridge; 4Q26 guidance</t>
  </si>
  <si>
    <t>https://filecache.investorroom.com/mr5ir_lamresearch2/1498/Jun_Q_2026_Earnings_PR.pdf</t>
  </si>
  <si>
    <t>4Q26A and FY26A statements, bridge; 1Q27 guidance incl. reconciling items</t>
  </si>
  <si>
    <t>S7</t>
  </si>
  <si>
    <t>The Motley Fool (transcript of 29-Jul-2026 call)</t>
  </si>
  <si>
    <t>https://www.fool.com/earnings/call-transcripts/2026/08/07/lam-research-lrcx-q4-2026-earnings-call-transcript/</t>
  </si>
  <si>
    <t>4Q26 segment mix, CSBG, tax-rate outlook, opex, headcount, DSO</t>
  </si>
  <si>
    <t>S8</t>
  </si>
  <si>
    <t>Investing.com (Q1 FY26 slides)</t>
  </si>
  <si>
    <t>https://www.investing.com/news/company-news/lam-research-q1-2026-slides-record-revenue-and-margins-amid-aidriven-growth-93CH-4303231</t>
  </si>
  <si>
    <t>1Q26 systems mix: foundry 60%, NVM 18%, DRAM 16%, logic/other 6%</t>
  </si>
  <si>
    <t>S9</t>
  </si>
  <si>
    <t>Intellectia AI (Q2 FY26 call summary)</t>
  </si>
  <si>
    <t>https://intellectia.ai/stock/LRCX/earnings/transcript-FY2026Q2-2026-01-28</t>
  </si>
  <si>
    <t>2Q26 systems mix; CY26 WFE ~$135bn</t>
  </si>
  <si>
    <t>S10</t>
  </si>
  <si>
    <t>Yahoo Finance (Q3 FY26 call highlights)</t>
  </si>
  <si>
    <t>https://finance.yahoo.com/markets/stocks/articles/lam-research-q3-earnings-call-183826332.html</t>
  </si>
  <si>
    <t>3Q26 systems mix; WFE $140bn</t>
  </si>
  <si>
    <t>SEC EDGAR (Form 10-K FY2026)</t>
  </si>
  <si>
    <t>https://www.sec.gov/Archives/edgar/data/707549/000070754926000037/lrcx-20260628.htm</t>
  </si>
  <si>
    <t>FY26 systems/CSBG, FY regional mix, single reportable segment</t>
  </si>
  <si>
    <t>Lam Research (June-2025 quarter release / call)</t>
  </si>
  <si>
    <t>https://investor.lamresearch.com/2025-07-30-Lam-Research-Corporation-Reports-Financial-Results-for-the-Quarter-Ended-June-29,-2025</t>
  </si>
  <si>
    <t>1Q26 guidance; Jun-25 deferred revenue $2,681m</t>
  </si>
  <si>
    <t>S13</t>
  </si>
  <si>
    <t>https://investor.lamresearch.com/2026-09-30-Lam-Research-Corporation-Announces-September-Quarter-Financial-Conference-Call</t>
  </si>
  <si>
    <t>Report date 21-Oct-2026, 2:00pm PT; results not released before cutoff</t>
  </si>
  <si>
    <t>S14</t>
  </si>
  <si>
    <t>LSEG StreetEvents (Citi TMT transcript)</t>
  </si>
  <si>
    <t>https://filecache.investorroom.com/mr5ir_lamresearch2/1514/download/LRCX-USQ_Transcript_2026-09-09.pdf</t>
  </si>
  <si>
    <t>Intra-quarter tone: WFE low-$150bn, cleanroom constraint, China mix</t>
  </si>
  <si>
    <t>S15</t>
  </si>
  <si>
    <t>StatMuse Money</t>
  </si>
  <si>
    <t>https://www.statmuse.com/money/ask/lrcx-current-market-cap-2026</t>
  </si>
  <si>
    <t>Market cap $330.3bn at 16-Oct-2026 close (calibration)</t>
  </si>
  <si>
    <t>S16</t>
  </si>
  <si>
    <t>S&amp;P Dow Jones Indices</t>
  </si>
  <si>
    <t>https://press.spglobal.com/2026-03-06-Vertiv-Holdings,-Lumentum-Holdings,-Coherent,-and-EchoStar-Set-to-Join-S-P-500-Others-to-Join-S-P-100,-S-P-MidCap-400,-and-S-P-SmallCap-600</t>
  </si>
  <si>
    <t>Index membership (S&amp;P 500 constituent; S&amp;P 100 addition)</t>
  </si>
  <si>
    <t>S17</t>
  </si>
  <si>
    <t>TSMC</t>
  </si>
  <si>
    <t>https://pr.tsmc.com/english/news/3346</t>
  </si>
  <si>
    <t>Foundry demand: 3Q26 revenue +17.6% Q/Q; capex $60-64bn unchanged</t>
  </si>
  <si>
    <t>S18</t>
  </si>
  <si>
    <t>ASML</t>
  </si>
  <si>
    <t>https://investor.asml.com/news-releases/news-release-details/asml-reports-eu11.7-billion-total-net-sales-and-eu5.0-billion-net-income-q3-2026</t>
  </si>
  <si>
    <t>Peer: 3Q26 sales at high end; memory 46% of systems</t>
  </si>
  <si>
    <t>S19</t>
  </si>
  <si>
    <t>Micron Technology</t>
  </si>
  <si>
    <t>https://investors.micron.com/news/press-release/2026/Micron-Technology-Inc--Reports-Record-Fiscal-Fourth-Quarter-and-Full-Year-2026-Results/</t>
  </si>
  <si>
    <t>Customer: FQ4 capex $10.8bn; FY27 capex raised, equipment pull-forward</t>
  </si>
  <si>
    <t>S20</t>
  </si>
  <si>
    <t>Digitimes</t>
  </si>
  <si>
    <t>https://www.digitimes.com/news/a20260825VL206/samsung-sk-hynix-nand-equipment-production.html</t>
  </si>
  <si>
    <t>Customer: Samsung/SK hynix China NAND upgrade spending</t>
  </si>
  <si>
    <t>S21</t>
  </si>
  <si>
    <t>MarketBeat</t>
  </si>
  <si>
    <t>https://www.marketbeat.com/instant-alerts/upcoming-lam-research-lrcx-expected-to-post-earnings-on-wednesday-2026-10-14/</t>
  </si>
  <si>
    <t>Newer consensus $2.18 / $8.13bn (recorded separately)</t>
  </si>
  <si>
    <t>S22</t>
  </si>
  <si>
    <t>Tradestie</t>
  </si>
  <si>
    <t>https://tradestie.com/news/lrcx-earnings-oct-21-218-eps-expected-key-levels-to-watch-20261021/</t>
  </si>
  <si>
    <t>Estimate revisions (upward) and positioning – qualitative only. Exa listing date 2026-10-14; URL suffix 20261021 is the earnings-event date, not publication. Publisher timestamp/immutable snapshot not proven (MEDIUM limitation).</t>
  </si>
  <si>
    <t>S23</t>
  </si>
  <si>
    <t>MarketScreener</t>
  </si>
  <si>
    <t>https://www.marketscreener.com/news/berenberg-raises-price-target-on-lam-research-to-420-from-350-keeps-buy-rating-ce785bd9dc8ef02c</t>
  </si>
  <si>
    <t>Dividend raised to $0.33 (record date 23-Sep-2026)</t>
  </si>
  <si>
    <t>S24</t>
  </si>
  <si>
    <t>Earnings Whispers</t>
  </si>
  <si>
    <t>https://www.earningswhispers.com/article/LRCX/20469</t>
  </si>
  <si>
    <t>Preview: NAND upgrade conversion the key swing factor</t>
  </si>
  <si>
    <t>S25</t>
  </si>
  <si>
    <t>Applied Materials</t>
  </si>
  <si>
    <t>https://www.sec.gov/Archives/edgar/data/6951/000162828026056699/exhibit991q32026earningsre.htm</t>
  </si>
  <si>
    <t>Peer: raised CY26 semi systems outlook</t>
  </si>
  <si>
    <t>Segment tabs omitted: Lam reports a single reportable segment (checked Form 10-K FY2026, S11); systems/CSBG/end-market drivers are on Revenue summary.</t>
  </si>
  <si>
    <t>No Dates, Consensus or Checks tabs by design: period headers sit on each tab, consensus on the Cover headline table, check summary in artifacts/checks.md.</t>
  </si>
  <si>
    <t>Exposure log: search listings also showed 19-Oct-2026 previews (after the cutoff); they were not used. No target-quarter actual results were encountered.</t>
  </si>
  <si>
    <t>All sources above are dated before the 18-Oct-2026 21:34 UTC cutoff. Retrieved 19-Oct-2026 via web search / web_fetch.</t>
  </si>
  <si>
    <t>Inputs — S&amp;P Capital IQ snapshot, history and beat-probability calibration</t>
  </si>
  <si>
    <t>CapIQ consensus file: LRCX_consensus.json (top-level fields)</t>
  </si>
  <si>
    <t>source</t>
  </si>
  <si>
    <t>ticker</t>
  </si>
  <si>
    <t>LRCX</t>
  </si>
  <si>
    <t>company</t>
  </si>
  <si>
    <t>fiscal_period</t>
  </si>
  <si>
    <t>FQ1 2027 -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</si>
  <si>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</si>
  <si>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</si>
  <si>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</si>
  <si>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</si>
  <si>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</si>
  <si>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</si>
  <si>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</si>
  <si>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</si>
  <si>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</si>
  <si>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</si>
  <si>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</si>
  <si>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</si>
  <si>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</si>
  <si>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</si>
  <si>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CapIQ summary_row (complete raw row; blank source values preserved as empty cells)</t>
  </si>
  <si>
    <t>company_name</t>
  </si>
  <si>
    <t>exchange_ticker</t>
  </si>
  <si>
    <t>NasdaqGS:LRCX</t>
  </si>
  <si>
    <t>capiq_company_id</t>
  </si>
  <si>
    <t>currency_basis</t>
  </si>
  <si>
    <t>fiscal_year_end</t>
  </si>
  <si>
    <t>Jun-30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</si>
  <si>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</si>
  <si>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</si>
  <si>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</si>
  <si>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</si>
  <si>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</si>
  <si>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</si>
  <si>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</si>
  <si>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</si>
  <si>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</si>
  <si>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</si>
  <si>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</si>
  <si>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</si>
  <si>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</si>
  <si>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</si>
  <si>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</si>
  <si>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</si>
  <si>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</si>
  <si>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</si>
  <si>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</si>
  <si>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</si>
  <si>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</si>
  <si>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</si>
  <si>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</si>
  <si>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</si>
  <si>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</si>
  <si>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</si>
  <si>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</si>
  <si>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</si>
  <si>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</si>
  <si>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</si>
  <si>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</si>
  <si>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</si>
  <si>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</si>
  <si>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</si>
  <si>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</si>
  <si>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Issuer-defined EBITDA: n.a. – no Lam EBITDA definition identified in reviewed cached sources; CapIQ value kept for reference only; no model EBITDA computed (not zero)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</si>
  <si>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</si>
  <si>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</si>
  <si>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</si>
  <si>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</si>
  <si>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</si>
  <si>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</si>
  <si>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</si>
  <si>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</si>
  <si>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</si>
  <si>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</si>
  <si>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</si>
  <si>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</si>
  <si>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</si>
  <si>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</si>
  <si>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</si>
  <si>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</si>
  <si>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</si>
  <si>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</si>
  <si>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</si>
  <si>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</si>
  <si>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</si>
  <si>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</si>
  <si>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</si>
  <si>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</si>
  <si>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</si>
  <si>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</si>
  <si>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438.50/135.50</t>
  </si>
  <si>
    <t>estimates_captured_at</t>
  </si>
  <si>
    <t>notes</t>
  </si>
  <si>
    <t>Jun fiscal year end, so the Sep-2026 quarter is fiscal Q1 2027, not Q2. Per-share figures are post-split.</t>
  </si>
  <si>
    <t>metric_units</t>
  </si>
  <si>
    <t>eps_currency</t>
  </si>
  <si>
    <t>eps_share_unit</t>
  </si>
  <si>
    <t>diluted ordinary/common share</t>
  </si>
  <si>
    <t>revenue_currency</t>
  </si>
  <si>
    <t>financial_amount_scale</t>
  </si>
  <si>
    <t>millions</t>
  </si>
  <si>
    <t>CapIQ history file: LRCX_history.csv (all six rows; CapIQ calendar month-end labels)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</si>
  <si>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</si>
  <si>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</si>
  <si>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</si>
  <si>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</si>
  <si>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</si>
  <si>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</si>
  <si>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</si>
  <si>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norm_surprise_$</t>
  </si>
  <si>
    <t>strict_beat</t>
  </si>
  <si>
    <t>gaap_surprise_$</t>
  </si>
  <si>
    <t>revenue_surprise_m</t>
  </si>
  <si>
    <t>Beat-probability calibration (playbook v2: size and issuer history)</t>
  </si>
  <si>
    <t>Market cap ($bn), 16-Oct-2026 close</t>
  </si>
  <si>
    <t>S15: $263.94 x 1,251.4m shares (StatMuse, 2026-10-16)</t>
  </si>
  <si>
    <t>Market cap date</t>
  </si>
  <si>
    <t>Last close before 18-Oct-2026 cutoff</t>
  </si>
  <si>
    <t>Size bucket</t>
  </si>
  <si>
    <t>large</t>
  </si>
  <si>
    <t>S&amp;P 500 member</t>
  </si>
  <si>
    <t>S16: S&amp;P 500 since 2012-06-05; added to S&amp;P 100 on 2026-03-23 (S&amp;P DJI, 2026-03-06)</t>
  </si>
  <si>
    <t>Cohort prior</t>
  </si>
  <si>
    <t>Large OR S&amp;P 500 = 0.78 (applied once)</t>
  </si>
  <si>
    <t>b = strict normalized-EPS beats (6 CapIQ pairs)</t>
  </si>
  <si>
    <t>n = valid pairs</t>
  </si>
  <si>
    <t>All six pairs on the same normalized basis; none excluded</t>
  </si>
  <si>
    <t>Pseudo-observations (fixed)</t>
  </si>
  <si>
    <t>Starting probability = (8*prior + b)/(8 + n)</t>
  </si>
  <si>
    <t>Quarter-specific evidence adjustment</t>
  </si>
  <si>
    <t>Bigger +20% Q/Q ramp, mid-teens tax step-up and supply/cleanroom limits vs 4/4 guidance beats and only $0.03 consensus cushion over guide</t>
  </si>
  <si>
    <t>Final P(beat consensus EPS)</t>
  </si>
  <si>
    <t>Mean normalized EPS surprise, 6 quarters ($/sh)</t>
  </si>
  <si>
    <t>Seasonal comparable (Sep-2025 quarter) surprise ($/sh)</t>
  </si>
  <si>
    <t>Smallest surprise in window ($/sh)</t>
  </si>
  <si>
    <t>Newer consensus seen after snapshot (recorded separately; scoring baseline unchanged)</t>
  </si>
  <si>
    <t>MarketBeat EPS consensus, 14-Oct-2026</t>
  </si>
  <si>
    <t>S21; equals frozen CapIQ 2.18</t>
  </si>
  <si>
    <t>MarketBeat revenue consensus ($m), 14-Oct-2026</t>
  </si>
  <si>
    <t>S21; "$8.13 billion"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</si>
</sst>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549" formatCode="yyyy-mm-dd"/>
    <numFmt numFmtId="6551" formatCode="#,##0.0_);(#,##0.0);–_)"/>
    <numFmt numFmtId="6552" formatCode="0.0%_);(0.0%);–_)"/>
    <numFmt numFmtId="6555" formatCode="$0.00"/>
    <numFmt numFmtId="6561" formatCode="0.0"/>
    <numFmt numFmtId="6567" formatCode="#,##0_);(#,##0);–_)"/>
    <numFmt numFmtId="6568" formatCode="0.0%"/>
    <numFmt numFmtId="6605" formatCode="#,##0&quot; bp&quot;_);(#,##0&quot; bp&quot;);–_)"/>
  </numFmts>
  <fonts count="13">
    <font>
      <b val="0"/>
      <i val="0"/>
      <sz val="11"/>
      <color auto="1"/>
      <name val="Calibri"/>
    </font>
    <font>
      <b val="0"/>
      <i val="0"/>
      <sz val="10"/>
      <color rgb="FF000000"/>
      <name val="Arial"/>
    </font>
    <font>
      <b/>
      <i val="0"/>
      <sz val="10"/>
      <color rgb="FF000000"/>
      <name val="Arial"/>
    </font>
    <font>
      <b val="0"/>
      <i val="0"/>
      <sz val="10"/>
      <color rgb="FF006100"/>
      <name val="Arial"/>
    </font>
    <font>
      <b val="0"/>
      <i/>
      <sz val="10"/>
      <color rgb="FF000000"/>
      <name val="Arial"/>
    </font>
    <font>
      <b/>
      <i val="0"/>
      <sz val="12"/>
      <color rgb="FF000000"/>
      <name val="Arial"/>
    </font>
    <font>
      <b val="0"/>
      <i val="0"/>
      <sz val="10"/>
      <color rgb="FF0000FF"/>
      <name val="Arial"/>
    </font>
    <font>
      <b val="0"/>
      <i val="0"/>
      <sz val="10"/>
      <color rgb="FF595959"/>
      <name val="Arial"/>
    </font>
    <font>
      <b val="0"/>
      <i/>
      <sz val="10"/>
      <color rgb="FF0000FF"/>
      <name val="Arial"/>
    </font>
    <font>
      <b/>
      <i val="0"/>
      <sz val="10"/>
      <color rgb="FF0000FF"/>
      <name val="Arial"/>
    </font>
    <font>
      <b/>
      <i val="0"/>
      <sz val="10"/>
      <color rgb="FF006100"/>
      <name val="Arial"/>
    </font>
    <font>
      <b val="0"/>
      <i/>
      <sz val="10"/>
      <color rgb="FF006100"/>
      <name val="Arial"/>
    </font>
    <font>
      <b val="0"/>
      <i val="0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EF3FA"/>
      </patternFill>
    </fill>
    <fill>
      <patternFill patternType="solid">
        <fgColor rgb="FFDCE6F1"/>
      </patternFill>
    </fill>
  </fills>
  <borders count="12">
    <border>
      <left/>
      <right/>
      <top/>
      <bottom/>
    </border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808080"/>
      </top>
    </border>
    <border>
      <bottom style="thin">
        <color rgb="FF808080"/>
      </bottom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1"/>
  </cellStyleXfs>
  <cellXfs count="85">
    <xf numFmtId="0" fontId="0" fillId="0" borderId="1" xfId="0"/>
    <xf numFmtId="0" fontId="1" fillId="0" borderId="1" xfId="0"/>
    <xf numFmtId="0" fontId="5" fillId="0" borderId="1" xfId="0"/>
    <xf numFmtId="0" fontId="2" fillId="0" borderId="1" xfId="0"/>
    <xf numFmtId="0" fontId="4" fillId="0" borderId="1" xfId="0"/>
    <xf numFmtId="0" fontId="2" fillId="2" borderId="7" xfId="0"/>
    <xf numFmtId="0" fontId="2" fillId="2" borderId="7" xfId="0">
      <alignment horizontal="right" vertical="bottom"/>
    </xf>
    <xf numFmtId="0" fontId="1" fillId="2" borderId="1" xfId="0"/>
    <xf numFmtId="6549" fontId="1" fillId="2" borderId="1" xfId="0">
      <alignment horizontal="right" vertical="bottom"/>
    </xf>
    <xf numFmtId="0" fontId="1" fillId="2" borderId="8" xfId="0"/>
    <xf numFmtId="1" fontId="1" fillId="2" borderId="8" xfId="0">
      <alignment horizontal="right" vertical="bottom"/>
    </xf>
    <xf numFmtId="0" fontId="2" fillId="2" borderId="9" xfId="0"/>
    <xf numFmtId="0" fontId="2" fillId="2" borderId="9" xfId="0">
      <alignment horizontal="right" vertical="bottom"/>
    </xf>
    <xf numFmtId="6551" fontId="3" fillId="0" borderId="1" xfId="0">
      <alignment horizontal="right" vertical="bottom"/>
    </xf>
    <xf numFmtId="6551" fontId="1" fillId="0" borderId="1" xfId="0">
      <alignment horizontal="right" vertical="bottom"/>
    </xf>
    <xf numFmtId="6552" fontId="1" fillId="0" borderId="1" xfId="0">
      <alignment horizontal="right" vertical="bottom"/>
    </xf>
    <xf numFmtId="6555" fontId="3" fillId="0" borderId="1" xfId="0">
      <alignment horizontal="right" vertical="bottom"/>
    </xf>
    <xf numFmtId="6555" fontId="1" fillId="0" borderId="1" xfId="0">
      <alignment horizontal="right" vertical="bottom"/>
    </xf>
    <xf numFmtId="6552" fontId="3" fillId="0" borderId="1" xfId="0">
      <alignment horizontal="right" vertical="bottom"/>
    </xf>
    <xf numFmtId="6605" fontId="1" fillId="0" borderId="1" xfId="0">
      <alignment horizontal="right" vertical="bottom"/>
    </xf>
    <xf numFmtId="0" fontId="1" fillId="0" borderId="8" xfId="0"/>
    <xf numFmtId="6551" fontId="3" fillId="0" borderId="8" xfId="0">
      <alignment horizontal="right" vertical="bottom"/>
    </xf>
    <xf numFmtId="6551" fontId="1" fillId="0" borderId="8" xfId="0">
      <alignment horizontal="right" vertical="bottom"/>
    </xf>
    <xf numFmtId="6552" fontId="1" fillId="0" borderId="8" xfId="0">
      <alignment horizontal="right" vertical="bottom"/>
    </xf>
    <xf numFmtId="0" fontId="3" fillId="0" borderId="1" xfId="0">
      <alignment horizontal="right" vertical="bottom"/>
    </xf>
    <xf numFmtId="0" fontId="1" fillId="0" borderId="1" xfId="0">
      <alignment horizontal="right" vertical="bottom"/>
    </xf>
    <xf numFmtId="0" fontId="10" fillId="0" borderId="1" xfId="0">
      <alignment horizontal="right" vertical="bottom"/>
    </xf>
    <xf numFmtId="6568" fontId="3" fillId="0" borderId="1" xfId="0">
      <alignment horizontal="right" vertical="bottom"/>
    </xf>
    <xf numFmtId="6567" fontId="3" fillId="0" borderId="1" xfId="0">
      <alignment horizontal="right" vertical="bottom"/>
    </xf>
    <xf numFmtId="0" fontId="2" fillId="2" borderId="10" xfId="0"/>
    <xf numFmtId="0" fontId="2" fillId="2" borderId="10" xfId="0">
      <alignment horizontal="right" vertical="bottom"/>
    </xf>
    <xf numFmtId="0" fontId="2" fillId="4" borderId="10" xfId="0">
      <alignment horizontal="right" vertical="bottom"/>
    </xf>
    <xf numFmtId="6549" fontId="1" fillId="4" borderId="1" xfId="0">
      <alignment horizontal="right" vertical="bottom"/>
    </xf>
    <xf numFmtId="0" fontId="1" fillId="2" borderId="11" xfId="0"/>
    <xf numFmtId="1" fontId="1" fillId="2" borderId="11" xfId="0">
      <alignment horizontal="right" vertical="bottom"/>
    </xf>
    <xf numFmtId="1" fontId="1" fillId="4" borderId="11" xfId="0">
      <alignment horizontal="right" vertical="bottom"/>
    </xf>
    <xf numFmtId="0" fontId="1" fillId="3" borderId="1" xfId="0">
      <alignment horizontal="right" vertical="bottom"/>
    </xf>
    <xf numFmtId="0" fontId="7" fillId="0" borderId="1" xfId="0"/>
    <xf numFmtId="6552" fontId="4" fillId="0" borderId="1" xfId="0"/>
    <xf numFmtId="6552" fontId="8" fillId="0" borderId="1" xfId="0">
      <alignment horizontal="right" vertical="bottom"/>
    </xf>
    <xf numFmtId="6552" fontId="4" fillId="0" borderId="1" xfId="0">
      <alignment horizontal="right" vertical="bottom"/>
    </xf>
    <xf numFmtId="6552" fontId="4" fillId="3" borderId="1" xfId="0">
      <alignment horizontal="right" vertical="bottom"/>
    </xf>
    <xf numFmtId="6567" fontId="4" fillId="0" borderId="1" xfId="0"/>
    <xf numFmtId="6567" fontId="4" fillId="0" borderId="1" xfId="0">
      <alignment horizontal="right" vertical="bottom"/>
    </xf>
    <xf numFmtId="6567" fontId="4" fillId="3" borderId="1" xfId="0">
      <alignment horizontal="right" vertical="bottom"/>
    </xf>
    <xf numFmtId="6552" fontId="8" fillId="3" borderId="1" xfId="0">
      <alignment horizontal="right" vertical="bottom"/>
    </xf>
    <xf numFmtId="6551" fontId="1" fillId="0" borderId="1" xfId="0"/>
    <xf numFmtId="6551" fontId="1" fillId="3" borderId="1" xfId="0">
      <alignment horizontal="right" vertical="bottom"/>
    </xf>
    <xf numFmtId="6551" fontId="2" fillId="0" borderId="1" xfId="0"/>
    <xf numFmtId="6551" fontId="2" fillId="0" borderId="10" xfId="0">
      <alignment horizontal="right" vertical="bottom"/>
    </xf>
    <xf numFmtId="6551" fontId="2" fillId="3" borderId="10" xfId="0">
      <alignment horizontal="right" vertical="bottom"/>
    </xf>
    <xf numFmtId="6551" fontId="9" fillId="0" borderId="10" xfId="0">
      <alignment horizontal="right" vertical="bottom"/>
    </xf>
    <xf numFmtId="6551" fontId="6" fillId="0" borderId="1" xfId="0">
      <alignment horizontal="right" vertical="bottom"/>
    </xf>
    <xf numFmtId="6551" fontId="6" fillId="3" borderId="1" xfId="0">
      <alignment horizontal="right" vertical="bottom"/>
    </xf>
    <xf numFmtId="6567" fontId="1" fillId="0" borderId="1" xfId="0"/>
    <xf numFmtId="6567" fontId="1" fillId="0" borderId="1" xfId="0">
      <alignment horizontal="right" vertical="bottom"/>
    </xf>
    <xf numFmtId="6567" fontId="6" fillId="0" borderId="1" xfId="0">
      <alignment horizontal="right" vertical="bottom"/>
    </xf>
    <xf numFmtId="6567" fontId="1" fillId="3" borderId="1" xfId="0">
      <alignment horizontal="right" vertical="bottom"/>
    </xf>
    <xf numFmtId="6551" fontId="10" fillId="0" borderId="10" xfId="0">
      <alignment horizontal="right" vertical="bottom"/>
    </xf>
    <xf numFmtId="6551" fontId="10" fillId="3" borderId="10" xfId="0">
      <alignment horizontal="right" vertical="bottom"/>
    </xf>
    <xf numFmtId="6552" fontId="11" fillId="0" borderId="1" xfId="0">
      <alignment horizontal="right" vertical="bottom"/>
    </xf>
    <xf numFmtId="6552" fontId="11" fillId="3" borderId="1" xfId="0">
      <alignment horizontal="right" vertical="bottom"/>
    </xf>
    <xf numFmtId="6551" fontId="3" fillId="3" borderId="1" xfId="0">
      <alignment horizontal="right" vertical="bottom"/>
    </xf>
    <xf numFmtId="6555" fontId="1" fillId="0" borderId="1" xfId="0"/>
    <xf numFmtId="6555" fontId="1" fillId="3" borderId="1" xfId="0">
      <alignment horizontal="right" vertical="bottom"/>
    </xf>
    <xf numFmtId="6555" fontId="2" fillId="0" borderId="1" xfId="0"/>
    <xf numFmtId="6555" fontId="2" fillId="0" borderId="10" xfId="0">
      <alignment horizontal="right" vertical="bottom"/>
    </xf>
    <xf numFmtId="6555" fontId="2" fillId="3" borderId="10" xfId="0">
      <alignment horizontal="right" vertical="bottom"/>
    </xf>
    <xf numFmtId="6555" fontId="6" fillId="0" borderId="1" xfId="0">
      <alignment horizontal="right" vertical="bottom"/>
    </xf>
    <xf numFmtId="6555" fontId="6" fillId="3" borderId="1" xfId="0">
      <alignment horizontal="right" vertical="bottom"/>
    </xf>
    <xf numFmtId="6561" fontId="1" fillId="0" borderId="1" xfId="0"/>
    <xf numFmtId="6561" fontId="3" fillId="0" borderId="1" xfId="0">
      <alignment horizontal="right" vertical="bottom"/>
    </xf>
    <xf numFmtId="6561" fontId="6" fillId="3" borderId="1" xfId="0">
      <alignment horizontal="right" vertical="bottom"/>
    </xf>
    <xf numFmtId="6561" fontId="1" fillId="0" borderId="1" xfId="0">
      <alignment horizontal="right" vertical="bottom"/>
    </xf>
    <xf numFmtId="6561" fontId="1" fillId="3" borderId="1" xfId="0">
      <alignment horizontal="right" vertical="bottom"/>
    </xf>
    <xf numFmtId="6552" fontId="1" fillId="3" borderId="1" xfId="0">
      <alignment horizontal="right" vertical="bottom"/>
    </xf>
    <xf numFmtId="6555" fontId="3" fillId="3" borderId="1" xfId="0">
      <alignment horizontal="right" vertical="bottom"/>
    </xf>
    <xf numFmtId="0" fontId="3" fillId="3" borderId="1" xfId="0">
      <alignment horizontal="right" vertical="bottom"/>
    </xf>
    <xf numFmtId="6549" fontId="6" fillId="0" borderId="1" xfId="0">
      <alignment horizontal="right" vertical="bottom"/>
    </xf>
    <xf numFmtId="6552" fontId="6" fillId="0" borderId="1" xfId="0">
      <alignment horizontal="right" vertical="bottom"/>
    </xf>
    <xf numFmtId="6549" fontId="1" fillId="0" borderId="1" xfId="0">
      <alignment horizontal="right" vertical="bottom"/>
    </xf>
    <xf numFmtId="0" fontId="1" fillId="0" borderId="1" xfId="0">
      <alignment vertical="bottom" wrapText="1"/>
    </xf>
    <xf numFmtId="0" fontId="1" fillId="0" borderId="1" xfId="0">
      <alignment horizontal="left" vertical="bottom"/>
    </xf>
    <xf numFmtId="0" fontId="6" fillId="0" borderId="1" xfId="0">
      <alignment horizontal="right" vertical="bottom"/>
    </xf>
    <xf numFmtId="0" fontId="2" fillId="2" borderId="9" xfId="0">
      <alignment horizontal="right" vertical="bottom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Relationship Id="rId12" Type="http://schemas.openxmlformats.org/officeDocument/2006/relationships/theme" Target="theme/theme1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0</xdr:rowOff>
    </xdr:from>
    <xdr:to>
      <xdr:col>1</xdr:col>
      <xdr:colOff>590550</xdr:colOff>
      <xdr:row>4</xdr:row>
      <xdr:rowOff>0</xdr:rowOff>
    </xdr:to>
    <xdr:pic>
      <xdr:nvPicPr>
        <xdr:cNvPr id="2" name="Shortcut 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156633" y="190500"/>
          <a:ext cx="571500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84C02C4-0468-7ADA-F1F8-20E2A2BAEEE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9.140625" customHeight="1"/>
  <cols>
    <col min="1" max="1" width="2.00390625" customWidth="1"/>
    <col min="2" max="2" width="32.00390625" customWidth="1"/>
    <col min="3" max="8" width="1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</row>
    <row r="2" ht="15" customHeight="1">
      <c r="A2" s="1"/>
      <c r="B2" s="1"/>
      <c r="C2" s="2" t="s">
        <v>0</v>
      </c>
      <c r="D2" s="1"/>
      <c r="E2" s="1"/>
      <c r="F2" s="1"/>
      <c r="G2" s="1"/>
      <c r="H2" s="1"/>
    </row>
    <row r="3" ht="15" customHeight="1">
      <c r="A3" s="1"/>
      <c r="B3" s="1"/>
      <c r="C3" s="3" t="s">
        <v>1</v>
      </c>
      <c r="D3" s="1"/>
      <c r="E3" s="1"/>
      <c r="F3" s="1"/>
      <c r="G3" s="1"/>
      <c r="H3" s="1"/>
    </row>
    <row r="4" ht="15" customHeight="1">
      <c r="A4" s="1"/>
      <c r="B4" s="1"/>
      <c r="C4" s="4" t="s">
        <v>2</v>
      </c>
      <c r="D4" s="1"/>
      <c r="E4" s="1"/>
      <c r="F4" s="1"/>
      <c r="G4" s="1"/>
      <c r="H4" s="1"/>
    </row>
    <row r="5" ht="15" customHeight="1">
      <c r="A5" s="1"/>
      <c r="B5" s="5" t="s">
        <v>3</v>
      </c>
      <c r="C5" s="6" t="s">
        <v>4</v>
      </c>
      <c r="D5" s="5"/>
      <c r="E5" s="5"/>
      <c r="F5" s="5"/>
      <c r="G5" s="5"/>
      <c r="H5" s="5"/>
    </row>
    <row r="6" ht="15" customHeight="1">
      <c r="A6" s="1"/>
      <c r="B6" s="7" t="s">
        <v>5</v>
      </c>
      <c r="C6" s="8">
        <v>46292</v>
      </c>
      <c r="D6" s="7"/>
      <c r="E6" s="7"/>
      <c r="F6" s="7"/>
      <c r="G6" s="7"/>
      <c r="H6" s="7"/>
    </row>
    <row r="7" ht="15" customHeight="1">
      <c r="A7" s="1"/>
      <c r="B7" s="9" t="s">
        <v>6</v>
      </c>
      <c r="C7" s="10">
        <v>91</v>
      </c>
      <c r="D7" s="9"/>
      <c r="E7" s="9"/>
      <c r="F7" s="9"/>
      <c r="G7" s="9"/>
      <c r="H7" s="9"/>
    </row>
    <row r="8" ht="15" customHeight="1">
      <c r="A8" s="1"/>
      <c r="B8" s="1"/>
      <c r="C8" s="1"/>
      <c r="D8" s="1"/>
      <c r="E8" s="1"/>
      <c r="F8" s="1"/>
      <c r="G8" s="1"/>
      <c r="H8" s="1"/>
    </row>
    <row r="9" ht="15" customHeight="1">
      <c r="A9" s="1"/>
      <c r="B9" s="11" t="s">
        <v>7</v>
      </c>
      <c r="C9" s="11"/>
      <c r="D9" s="11"/>
      <c r="E9" s="11"/>
      <c r="F9" s="11"/>
      <c r="G9" s="11"/>
      <c r="H9" s="11"/>
    </row>
    <row r="10" ht="15" customHeight="1">
      <c r="A10" s="1"/>
      <c r="B10" s="1" t="s">
        <v>8</v>
      </c>
      <c r="C10" s="1" t="s">
        <v>9</v>
      </c>
      <c r="D10" s="1"/>
      <c r="E10" s="1"/>
      <c r="F10" s="1"/>
      <c r="G10" s="1"/>
      <c r="H10" s="1"/>
    </row>
    <row r="11" ht="15" customHeight="1">
      <c r="A11" s="1"/>
      <c r="B11" s="1" t="s">
        <v>10</v>
      </c>
      <c r="C11" s="1" t="s">
        <v>11</v>
      </c>
      <c r="D11" s="1"/>
      <c r="E11" s="1"/>
      <c r="F11" s="1"/>
      <c r="G11" s="1"/>
      <c r="H11" s="1"/>
    </row>
    <row r="12" ht="15" customHeight="1">
      <c r="A12" s="1"/>
      <c r="B12" s="1" t="s">
        <v>12</v>
      </c>
      <c r="C12" s="1" t="s">
        <v>13</v>
      </c>
      <c r="D12" s="1"/>
      <c r="E12" s="1"/>
      <c r="F12" s="1"/>
      <c r="G12" s="1"/>
      <c r="H12" s="1"/>
    </row>
    <row r="13" ht="15" customHeight="1">
      <c r="A13" s="1"/>
      <c r="B13" s="1" t="s">
        <v>3</v>
      </c>
      <c r="C13" s="1" t="s">
        <v>14</v>
      </c>
      <c r="D13" s="1"/>
      <c r="E13" s="1"/>
      <c r="F13" s="1"/>
      <c r="G13" s="1"/>
      <c r="H13" s="1"/>
    </row>
    <row r="14" ht="15" customHeight="1">
      <c r="A14" s="1"/>
      <c r="B14" s="1" t="s">
        <v>15</v>
      </c>
      <c r="C14" s="1" t="s">
        <v>16</v>
      </c>
      <c r="D14" s="1"/>
      <c r="E14" s="1"/>
      <c r="F14" s="1"/>
      <c r="G14" s="1"/>
      <c r="H14" s="1"/>
    </row>
    <row r="15" ht="15" customHeight="1">
      <c r="A15" s="1"/>
      <c r="B15" s="1" t="s">
        <v>17</v>
      </c>
      <c r="C15" s="1" t="s">
        <v>18</v>
      </c>
      <c r="D15" s="1"/>
      <c r="E15" s="1"/>
      <c r="F15" s="1"/>
      <c r="G15" s="1"/>
      <c r="H15" s="1"/>
    </row>
    <row r="16" ht="15" customHeight="1">
      <c r="A16" s="1"/>
      <c r="B16" s="1" t="s">
        <v>19</v>
      </c>
      <c r="C16" s="1" t="s">
        <v>20</v>
      </c>
      <c r="D16" s="1"/>
      <c r="E16" s="1"/>
      <c r="F16" s="1"/>
      <c r="G16" s="1"/>
      <c r="H16" s="1"/>
    </row>
    <row r="17" ht="15" customHeight="1">
      <c r="A17" s="1"/>
      <c r="B17" s="1" t="s">
        <v>21</v>
      </c>
      <c r="C17" s="1" t="s">
        <v>22</v>
      </c>
      <c r="D17" s="1"/>
      <c r="E17" s="1"/>
      <c r="F17" s="1"/>
      <c r="G17" s="1"/>
      <c r="H17" s="1"/>
    </row>
    <row r="18" ht="15" customHeight="1">
      <c r="A18" s="1"/>
      <c r="B18" s="1" t="s">
        <v>23</v>
      </c>
      <c r="C18" s="1" t="s">
        <v>24</v>
      </c>
      <c r="D18" s="1"/>
      <c r="E18" s="1"/>
      <c r="F18" s="1"/>
      <c r="G18" s="1"/>
      <c r="H18" s="1"/>
    </row>
    <row r="19" ht="15" customHeight="1">
      <c r="A19" s="1"/>
      <c r="B19" s="1" t="s">
        <v>25</v>
      </c>
      <c r="C19" s="1" t="s">
        <v>26</v>
      </c>
      <c r="D19" s="1"/>
      <c r="E19" s="1"/>
      <c r="F19" s="1"/>
      <c r="G19" s="1"/>
      <c r="H19" s="1"/>
    </row>
    <row r="20" ht="15" customHeight="1">
      <c r="A20" s="1"/>
      <c r="B20" s="1"/>
      <c r="C20" s="1"/>
      <c r="D20" s="1"/>
      <c r="E20" s="1"/>
      <c r="F20" s="1"/>
      <c r="G20" s="1"/>
      <c r="H20" s="1"/>
    </row>
    <row r="21" ht="15" customHeight="1">
      <c r="A21" s="1"/>
      <c r="B21" s="11" t="s">
        <v>27</v>
      </c>
      <c r="C21" s="12" t="s">
        <v>28</v>
      </c>
      <c r="D21" s="12" t="s">
        <v>29</v>
      </c>
      <c r="E21" s="12" t="s">
        <v>30</v>
      </c>
      <c r="F21" s="12" t="s">
        <v>31</v>
      </c>
      <c r="G21" s="12" t="s">
        <v>32</v>
      </c>
      <c r="H21" s="12" t="s">
        <v>33</v>
      </c>
    </row>
    <row r="22" ht="15" customHeight="1">
      <c r="A22" s="1"/>
      <c r="B22" s="1" t="s">
        <v>34</v>
      </c>
      <c r="C22" s="13">
        <f>'Income Statement'!H10</f>
        <v>8249.3305776</v>
      </c>
      <c r="D22" s="13">
        <f>Inputs!C57</f>
        <v>8133.72</v>
      </c>
      <c r="E22" s="14">
        <f t="shared" si="0" ref="E22:E29">IF(ISNUMBER(D22),C22-D22,"n.a.")</f>
        <v>115.61057759999949</v>
      </c>
      <c r="F22" s="15">
        <f t="shared" si="1" ref="F22:F29">IF(ISNUMBER(D22),C22/D22-1,"n.a.")</f>
        <v>0.01421373954352978</v>
      </c>
      <c r="G22" s="13">
        <f>Guidance!H29</f>
        <v>8100</v>
      </c>
      <c r="H22" s="15">
        <f t="shared" si="2" ref="H22:H29">C22/G22-1</f>
        <v>0.018435873777777667</v>
      </c>
    </row>
    <row r="23" ht="15" customHeight="1">
      <c r="A23" s="1"/>
      <c r="B23" s="1" t="s">
        <v>35</v>
      </c>
      <c r="C23" s="13">
        <f>'Income Statement'!H65</f>
        <v>2813.940489263041</v>
      </c>
      <c r="D23" s="13">
        <f>Inputs!C70</f>
        <v>2737.54</v>
      </c>
      <c r="E23" s="14">
        <f t="shared" si="0"/>
        <v>76.40048926304098</v>
      </c>
      <c r="F23" s="15">
        <f t="shared" si="1"/>
        <v>0.02790844673065629</v>
      </c>
      <c r="G23" s="13">
        <f>Guidance!H32*Guidance!H33</f>
        <v>2698.25</v>
      </c>
      <c r="H23" s="15">
        <f t="shared" si="2"/>
        <v>0.04287611943409275</v>
      </c>
    </row>
    <row r="24" ht="15" customHeight="1">
      <c r="A24" s="1"/>
      <c r="B24" s="1" t="s">
        <v>36</v>
      </c>
      <c r="C24" s="13">
        <f>'Income Statement'!H32</f>
        <v>2810.6404892630408</v>
      </c>
      <c r="D24" s="13">
        <f>Inputs!C71</f>
        <v>2730.83</v>
      </c>
      <c r="E24" s="14">
        <f t="shared" si="0"/>
        <v>79.81048926304084</v>
      </c>
      <c r="F24" s="15">
        <f t="shared" si="1"/>
        <v>0.029225725974535433</v>
      </c>
      <c r="G24" s="13">
        <f>Guidance!H34*Guidance!H33</f>
        <v>2698.25</v>
      </c>
      <c r="H24" s="15">
        <f t="shared" si="2"/>
        <v>0.04165310451701676</v>
      </c>
    </row>
    <row r="25" ht="15" customHeight="1">
      <c r="A25" s="1"/>
      <c r="B25" s="1" t="s">
        <v>37</v>
      </c>
      <c r="C25" s="16">
        <f>'Income Statement'!H68</f>
        <v>2.2421836567832996</v>
      </c>
      <c r="D25" s="16">
        <f>Inputs!C39</f>
        <v>2.18</v>
      </c>
      <c r="E25" s="17">
        <f t="shared" si="0"/>
        <v>0.0621836567832994</v>
      </c>
      <c r="F25" s="15">
        <f t="shared" si="1"/>
        <v>0.028524613203348315</v>
      </c>
      <c r="G25" s="16">
        <f>Guidance!H32</f>
        <v>2.15</v>
      </c>
      <c r="H25" s="15">
        <f t="shared" si="2"/>
        <v>0.04287611943409275</v>
      </c>
    </row>
    <row r="26" ht="15" customHeight="1">
      <c r="A26" s="1"/>
      <c r="B26" s="1" t="s">
        <v>38</v>
      </c>
      <c r="C26" s="16">
        <f>'Income Statement'!H41</f>
        <v>2.239554174711586</v>
      </c>
      <c r="D26" s="16">
        <f>Inputs!C48</f>
        <v>2.18</v>
      </c>
      <c r="E26" s="17">
        <f t="shared" si="0"/>
        <v>0.05955417471158597</v>
      </c>
      <c r="F26" s="15">
        <f t="shared" si="1"/>
        <v>0.027318428766782477</v>
      </c>
      <c r="G26" s="16">
        <f>Guidance!H34</f>
        <v>2.15</v>
      </c>
      <c r="H26" s="15">
        <f t="shared" si="2"/>
        <v>0.04165310451701676</v>
      </c>
    </row>
    <row r="27" ht="15" customHeight="1">
      <c r="A27" s="1"/>
      <c r="B27" s="1" t="s">
        <v>39</v>
      </c>
      <c r="C27" s="18">
        <f>'Income Statement'!H80</f>
        <v>0.524</v>
      </c>
      <c r="D27" s="18" t="str">
        <f>IF(ISNUMBER(Inputs!C72),Inputs!C72/100,"n.a.")</f>
        <v>n.a.</v>
      </c>
      <c r="E27" s="15" t="str">
        <f t="shared" si="0"/>
        <v>n.a.</v>
      </c>
      <c r="F27" s="19" t="str">
        <f t="shared" si="3" ref="F27:F28">IF(ISNUMBER(D27),(C27-D27)*10000,"n.a.")</f>
        <v>n.a.</v>
      </c>
      <c r="G27" s="18">
        <f>Guidance!H30</f>
        <v>0.52</v>
      </c>
      <c r="H27" s="19">
        <f t="shared" si="4" ref="H27:H28">(C27-G27)*10000</f>
        <v>40.000000000000036</v>
      </c>
    </row>
    <row r="28" ht="15" customHeight="1">
      <c r="A28" s="1"/>
      <c r="B28" s="1" t="s">
        <v>41</v>
      </c>
      <c r="C28" s="18">
        <f>'Income Statement'!H94</f>
        <v>0.40156582300841176</v>
      </c>
      <c r="D28" s="18">
        <f>Inputs!C67/Inputs!C57</f>
        <v>0.3947037763778443</v>
      </c>
      <c r="E28" s="15">
        <f t="shared" si="0"/>
        <v>0.006862046630567442</v>
      </c>
      <c r="F28" s="19">
        <f t="shared" si="3"/>
        <v>68.62046630567443</v>
      </c>
      <c r="G28" s="18">
        <f>Guidance!H31</f>
        <v>0.395</v>
      </c>
      <c r="H28" s="19">
        <f t="shared" si="4"/>
        <v>65.65823008411742</v>
      </c>
    </row>
    <row r="29" ht="15" customHeight="1">
      <c r="A29" s="1"/>
      <c r="B29" s="20" t="s">
        <v>42</v>
      </c>
      <c r="C29" s="21">
        <f>'Share Count'!H16</f>
        <v>1255</v>
      </c>
      <c r="D29" s="21">
        <f>Inputs!C70/Inputs!C39</f>
        <v>1255.7522935779816</v>
      </c>
      <c r="E29" s="22">
        <f t="shared" si="0"/>
        <v>-0.752293577981618</v>
      </c>
      <c r="F29" s="23">
        <f t="shared" si="1"/>
        <v>-0.0005990780043396704</v>
      </c>
      <c r="G29" s="21">
        <f>Guidance!H33</f>
        <v>1255</v>
      </c>
      <c r="H29" s="23">
        <f t="shared" si="2"/>
        <v>0</v>
      </c>
    </row>
    <row r="30" ht="15" customHeight="1">
      <c r="A30" s="1"/>
      <c r="B30" s="1" t="s">
        <v>43</v>
      </c>
      <c r="C30" s="24" t="b">
        <f>AND(C22='Income Statement'!H10,C23='Income Statement'!H65,C24='Income Statement'!H32,C25='Income Statement'!H68,C26='Income Statement'!H41)</f>
        <v>1</v>
      </c>
      <c r="D30" s="25"/>
      <c r="E30" s="25"/>
      <c r="F30" s="25"/>
      <c r="G30" s="25"/>
      <c r="H30" s="25"/>
    </row>
    <row r="31" ht="15" customHeight="1">
      <c r="A31" s="1"/>
      <c r="B31" s="3" t="s">
        <v>44</v>
      </c>
      <c r="C31" s="26" t="str">
        <f>IF(AND(C30,'Revenue summary'!C79:H79,'Revenue summary'!C108:H108,'Revenue summary'!C110:H110,'Revenue summary'!C111:H111,'Income Statement'!C43:H43,'Income Statement'!C44:H44,'Income Statement'!C67:H67,'Income Statement'!C70:H70,'Income Statement'!C72:H72,'Income Statement'!C73:H73,'Income Statement'!C83:H83,'Income Statement'!C97:H97,'Income Statement'!C105:H105,'Income Statement'!C109:H109,'Share Count'!C39:H39,'Cash Flow Statement'!C25:H25,'Cash Flow Statement'!C42:H42,'Cash Flow Statement'!C46:H46,'Cash Flow Statement'!C49:H49,'Balance Sheet'!C24:H24,'Balance Sheet'!C39:H39,'Balance Sheet'!C40:H40,Geo!C88:H88,Geo!C89:H89),"PASS","FAIL")</f>
        <v>PASS</v>
      </c>
      <c r="D31" s="25"/>
      <c r="E31" s="25"/>
      <c r="F31" s="25"/>
      <c r="G31" s="25"/>
      <c r="H31" s="25"/>
    </row>
    <row r="32" ht="15" customHeight="1">
      <c r="A32" s="1"/>
      <c r="B32" s="1" t="s">
        <v>46</v>
      </c>
      <c r="C32" s="27">
        <f>Inputs!C121</f>
        <v>0.8492857142857143</v>
      </c>
      <c r="D32" s="25"/>
      <c r="E32" s="25"/>
      <c r="F32" s="25"/>
      <c r="G32" s="25"/>
      <c r="H32" s="25"/>
    </row>
    <row r="33" ht="15" customHeight="1">
      <c r="A33" s="1"/>
      <c r="B33" s="1" t="s">
        <v>47</v>
      </c>
      <c r="C33" s="24" t="str">
        <f>Inputs!C122</f>
        <v>medium</v>
      </c>
      <c r="D33" s="25"/>
      <c r="E33" s="25"/>
      <c r="F33" s="25"/>
      <c r="G33" s="25"/>
      <c r="H33" s="25"/>
    </row>
    <row r="34" ht="15" customHeight="1">
      <c r="A34" s="1"/>
      <c r="B34" s="1"/>
      <c r="C34" s="1"/>
      <c r="D34" s="1"/>
      <c r="E34" s="1"/>
      <c r="F34" s="1"/>
      <c r="G34" s="1"/>
      <c r="H34" s="1"/>
    </row>
    <row r="35" ht="15" customHeight="1">
      <c r="A35" s="1"/>
      <c r="B35" s="11" t="s">
        <v>49</v>
      </c>
      <c r="C35" s="11"/>
      <c r="D35" s="11"/>
      <c r="E35" s="11"/>
      <c r="F35" s="11"/>
      <c r="G35" s="11"/>
      <c r="H35" s="11"/>
    </row>
    <row r="36" ht="15" customHeight="1">
      <c r="A36" s="1"/>
      <c r="B36" s="1" t="s">
        <v>50</v>
      </c>
      <c r="C36" s="28">
        <f>Inputs!C44</f>
        <v>25</v>
      </c>
      <c r="D36" s="1"/>
      <c r="E36" s="1"/>
      <c r="F36" s="1"/>
      <c r="G36" s="1"/>
      <c r="H36" s="1"/>
    </row>
    <row r="37" ht="15" customHeight="1">
      <c r="A37" s="1"/>
      <c r="B37" s="1" t="s">
        <v>51</v>
      </c>
      <c r="C37" s="16">
        <f>Inputs!C41</f>
        <v>2.28</v>
      </c>
      <c r="D37" s="1"/>
      <c r="E37" s="1"/>
      <c r="F37" s="1"/>
      <c r="G37" s="1"/>
      <c r="H37" s="1"/>
    </row>
    <row r="38" ht="15" customHeight="1">
      <c r="A38" s="1"/>
      <c r="B38" s="1" t="s">
        <v>52</v>
      </c>
      <c r="C38" s="16">
        <f>Inputs!C42</f>
        <v>2.09</v>
      </c>
      <c r="D38" s="1"/>
      <c r="E38" s="1"/>
      <c r="F38" s="1"/>
      <c r="G38" s="1"/>
      <c r="H38" s="1"/>
    </row>
    <row r="39" ht="15" customHeight="1">
      <c r="A39" s="1"/>
      <c r="B39" s="1" t="s">
        <v>53</v>
      </c>
      <c r="C39" s="16">
        <f>Inputs!C43</f>
        <v>0.05</v>
      </c>
      <c r="D39" s="1"/>
      <c r="E39" s="1"/>
      <c r="F39" s="1"/>
      <c r="G39" s="1"/>
      <c r="H39" s="1"/>
    </row>
    <row r="40" ht="15" customHeight="1">
      <c r="A40" s="1"/>
      <c r="B40" s="1" t="s">
        <v>54</v>
      </c>
      <c r="C40" s="13">
        <f>Inputs!C59</f>
        <v>8394</v>
      </c>
      <c r="D40" s="1"/>
      <c r="E40" s="1"/>
      <c r="F40" s="1"/>
      <c r="G40" s="1"/>
      <c r="H40" s="1"/>
    </row>
    <row r="41" ht="15" customHeight="1">
      <c r="A41" s="1"/>
      <c r="B41" s="1" t="s">
        <v>55</v>
      </c>
      <c r="C41" s="13">
        <f>Inputs!C60</f>
        <v>7891</v>
      </c>
      <c r="D41" s="1"/>
      <c r="E41" s="1"/>
      <c r="F41" s="1"/>
      <c r="G41" s="1"/>
      <c r="H41" s="1"/>
    </row>
    <row r="42" ht="15" customHeight="1">
      <c r="A42" s="1"/>
      <c r="B42" s="1" t="s">
        <v>56</v>
      </c>
      <c r="C42" s="16">
        <f>Inputs!C128</f>
        <v>2.18</v>
      </c>
      <c r="D42" s="1"/>
      <c r="E42" s="1"/>
      <c r="F42" s="1"/>
      <c r="G42" s="1"/>
      <c r="H42" s="1"/>
    </row>
    <row r="43" ht="15" customHeight="1">
      <c r="A43" s="1"/>
      <c r="B43" s="1" t="s">
        <v>57</v>
      </c>
      <c r="C43" s="27">
        <f>Inputs!C119</f>
        <v>0.8742857142857143</v>
      </c>
      <c r="D43" s="1"/>
      <c r="E43" s="1"/>
      <c r="F43" s="1"/>
      <c r="G43" s="1"/>
      <c r="H43" s="1"/>
    </row>
    <row r="44" ht="15" customHeight="1">
      <c r="A44" s="1"/>
      <c r="B44" s="1"/>
      <c r="C44" s="1"/>
      <c r="D44" s="1"/>
      <c r="E44" s="1"/>
      <c r="F44" s="1"/>
      <c r="G44" s="1"/>
      <c r="H44" s="1"/>
    </row>
    <row r="45" ht="15" customHeight="1">
      <c r="A45" s="1"/>
      <c r="B45" s="1"/>
      <c r="C45" s="1"/>
      <c r="D45" s="1"/>
      <c r="E45" s="1"/>
      <c r="F45" s="1"/>
      <c r="G45" s="1"/>
      <c r="H45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A474704-C3A8-EE78-2F88-C9801DDC2E6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58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29" t="s">
        <v>59</v>
      </c>
      <c r="C5" s="30" t="s">
        <v>60</v>
      </c>
      <c r="D5" s="30" t="s">
        <v>61</v>
      </c>
      <c r="E5" s="30" t="s">
        <v>62</v>
      </c>
      <c r="F5" s="30" t="s">
        <v>63</v>
      </c>
      <c r="G5" s="30" t="s">
        <v>64</v>
      </c>
      <c r="H5" s="31" t="s">
        <v>4</v>
      </c>
      <c r="I5" s="29" t="s">
        <v>65</v>
      </c>
      <c r="J5" s="1"/>
      <c r="K5" s="1"/>
      <c r="L5" s="1"/>
    </row>
    <row r="6" ht="15" customHeight="1">
      <c r="A6" s="1"/>
      <c r="B6" s="7" t="s">
        <v>5</v>
      </c>
      <c r="C6" s="8">
        <v>45928</v>
      </c>
      <c r="D6" s="8">
        <v>46019</v>
      </c>
      <c r="E6" s="8">
        <v>46110</v>
      </c>
      <c r="F6" s="8">
        <v>46201</v>
      </c>
      <c r="G6" s="8">
        <v>46201</v>
      </c>
      <c r="H6" s="32">
        <v>46292</v>
      </c>
      <c r="I6" s="7"/>
      <c r="J6" s="1"/>
      <c r="K6" s="1"/>
      <c r="L6" s="1"/>
    </row>
    <row r="7" ht="15" customHeight="1">
      <c r="A7" s="1"/>
      <c r="B7" s="33" t="s">
        <v>6</v>
      </c>
      <c r="C7" s="34">
        <v>91</v>
      </c>
      <c r="D7" s="34">
        <v>91</v>
      </c>
      <c r="E7" s="34">
        <v>91</v>
      </c>
      <c r="F7" s="34">
        <v>91</v>
      </c>
      <c r="G7" s="34">
        <v>364</v>
      </c>
      <c r="H7" s="35">
        <v>91</v>
      </c>
      <c r="I7" s="33"/>
      <c r="J7" s="1"/>
      <c r="K7" s="1"/>
      <c r="L7" s="1"/>
    </row>
    <row r="8" ht="15" customHeight="1">
      <c r="A8" s="1"/>
      <c r="B8" s="1"/>
      <c r="C8" s="25"/>
      <c r="D8" s="25"/>
      <c r="E8" s="25"/>
      <c r="F8" s="25"/>
      <c r="G8" s="25"/>
      <c r="H8" s="36"/>
      <c r="I8" s="37"/>
      <c r="J8" s="1"/>
      <c r="K8" s="1"/>
      <c r="L8" s="1"/>
    </row>
    <row r="9" ht="15" customHeight="1">
      <c r="A9" s="1"/>
      <c r="B9" s="3" t="s">
        <v>66</v>
      </c>
      <c r="C9" s="25"/>
      <c r="D9" s="25"/>
      <c r="E9" s="25"/>
      <c r="F9" s="25"/>
      <c r="G9" s="25"/>
      <c r="H9" s="36"/>
      <c r="I9" s="37"/>
      <c r="J9" s="1"/>
      <c r="K9" s="1"/>
      <c r="L9" s="1"/>
    </row>
    <row r="10" ht="15" customHeight="1">
      <c r="A10" s="1"/>
      <c r="B10" s="38" t="s">
        <v>67</v>
      </c>
      <c r="C10" s="39">
        <v>0.6</v>
      </c>
      <c r="D10" s="39">
        <v>0.59</v>
      </c>
      <c r="E10" s="39">
        <v>0.54</v>
      </c>
      <c r="F10" s="39">
        <v>0.44</v>
      </c>
      <c r="G10" s="40">
        <f t="shared" si="0" ref="G10:H10">G14/G78</f>
        <v>0.5370268861860625</v>
      </c>
      <c r="H10" s="41">
        <f t="shared" si="0"/>
        <v>0.43530419880034277</v>
      </c>
      <c r="I10" s="37" t="s">
        <v>68</v>
      </c>
      <c r="J10" s="1"/>
      <c r="K10" s="1"/>
      <c r="L10" s="1"/>
    </row>
    <row r="11" ht="15" customHeight="1">
      <c r="A11" s="1"/>
      <c r="B11" s="42" t="s">
        <v>69</v>
      </c>
      <c r="C11" s="43" t="s">
        <v>40</v>
      </c>
      <c r="D11" s="43">
        <f t="shared" si="1" ref="D11:F92">IF(AND(ISNUMBER(D10),ISNUMBER(C10)),(D10-C10)*10000,"n.a.")</f>
        <v>-100.00000000000009</v>
      </c>
      <c r="E11" s="43">
        <f t="shared" si="1"/>
        <v>-499.9999999999993</v>
      </c>
      <c r="F11" s="43">
        <f t="shared" si="1"/>
        <v>-1000.0000000000003</v>
      </c>
      <c r="G11" s="43" t="s">
        <v>40</v>
      </c>
      <c r="H11" s="44">
        <f t="shared" si="3" ref="H11:H92">IF(AND(ISNUMBER(H10),ISNUMBER(F10)),(H10-F10)*10000,"n.a.")</f>
        <v>-46.958011996572345</v>
      </c>
      <c r="I11" s="37"/>
      <c r="J11" s="1"/>
      <c r="K11" s="1"/>
      <c r="L11" s="1"/>
    </row>
    <row r="12" ht="15" customHeight="1">
      <c r="A12" s="1"/>
      <c r="B12" s="38" t="s">
        <v>70</v>
      </c>
      <c r="C12" s="40" t="s">
        <v>40</v>
      </c>
      <c r="D12" s="40">
        <f t="shared" si="2" ref="D12:F91">D14/C14-1</f>
        <v>-0.06935185589740189</v>
      </c>
      <c r="E12" s="40">
        <f t="shared" si="2"/>
        <v>0.01695848153692281</v>
      </c>
      <c r="F12" s="40">
        <f t="shared" si="2"/>
        <v>-0.07176973697103806</v>
      </c>
      <c r="G12" s="40" t="s">
        <v>40</v>
      </c>
      <c r="H12" s="45">
        <v>0.27</v>
      </c>
      <c r="I12" s="37" t="s">
        <v>71</v>
      </c>
      <c r="J12" s="1"/>
      <c r="K12" s="1"/>
      <c r="L12" s="1"/>
    </row>
    <row r="13" ht="15" customHeight="1">
      <c r="A13" s="1"/>
      <c r="B13" s="42" t="s">
        <v>69</v>
      </c>
      <c r="C13" s="43" t="s">
        <v>40</v>
      </c>
      <c r="D13" s="43" t="str">
        <f t="shared" si="1"/>
        <v>n.a.</v>
      </c>
      <c r="E13" s="43">
        <f t="shared" si="1"/>
        <v>863.103374343247</v>
      </c>
      <c r="F13" s="43">
        <f t="shared" si="1"/>
        <v>-887.2821850796087</v>
      </c>
      <c r="G13" s="43" t="s">
        <v>40</v>
      </c>
      <c r="H13" s="44">
        <f t="shared" si="3"/>
        <v>3417.697369710381</v>
      </c>
      <c r="I13" s="37"/>
      <c r="J13" s="1"/>
      <c r="K13" s="1"/>
      <c r="L13" s="1"/>
    </row>
    <row r="14" ht="15" customHeight="1">
      <c r="A14" s="1"/>
      <c r="B14" s="46" t="s">
        <v>72</v>
      </c>
      <c r="C14" s="14">
        <f t="shared" si="4" ref="C14:F14">C10*C78</f>
        <v>2128.5389999999998</v>
      </c>
      <c r="D14" s="14">
        <f t="shared" si="4"/>
        <v>1980.92087</v>
      </c>
      <c r="E14" s="14">
        <f t="shared" si="4"/>
        <v>2014.51428</v>
      </c>
      <c r="F14" s="14">
        <f t="shared" si="4"/>
        <v>1869.93312</v>
      </c>
      <c r="G14" s="14">
        <f t="shared" si="12" ref="G14:G93">SUM(C14:F14)</f>
        <v>7993.90727</v>
      </c>
      <c r="H14" s="47">
        <f t="shared" si="13" ref="H14:H93">F14*(1+H12)</f>
        <v>2374.8150624</v>
      </c>
      <c r="I14" s="37" t="s">
        <v>73</v>
      </c>
      <c r="J14" s="1"/>
      <c r="K14" s="1"/>
      <c r="L14" s="1"/>
    </row>
    <row r="15" ht="15" customHeight="1">
      <c r="A15" s="1"/>
      <c r="B15" s="38" t="s">
        <v>74</v>
      </c>
      <c r="C15" s="40" t="s">
        <v>40</v>
      </c>
      <c r="D15" s="40" t="s">
        <v>40</v>
      </c>
      <c r="E15" s="40" t="s">
        <v>40</v>
      </c>
      <c r="F15" s="40" t="s">
        <v>40</v>
      </c>
      <c r="G15" s="40" t="s">
        <v>40</v>
      </c>
      <c r="H15" s="41">
        <f t="shared" si="14" ref="H15:H69">H14/C14-1</f>
        <v>0.11570192625082276</v>
      </c>
      <c r="I15" s="37"/>
      <c r="J15" s="1"/>
      <c r="K15" s="1"/>
      <c r="L15" s="1"/>
    </row>
    <row r="16" ht="15" customHeight="1">
      <c r="A16" s="1"/>
      <c r="B16" s="46" t="s">
        <v>75</v>
      </c>
      <c r="C16" s="14" t="s">
        <v>40</v>
      </c>
      <c r="D16" s="14">
        <f t="shared" si="5" ref="D16:F70">IF(AND(ISNUMBER(D14),ISNUMBER(C14)),D14-C14,"n.a.")</f>
        <v>-147.61812999999984</v>
      </c>
      <c r="E16" s="14">
        <f t="shared" si="5"/>
        <v>33.593410000000176</v>
      </c>
      <c r="F16" s="14">
        <f t="shared" si="5"/>
        <v>-144.58116000000018</v>
      </c>
      <c r="G16" s="14" t="s">
        <v>40</v>
      </c>
      <c r="H16" s="47">
        <f t="shared" si="15" ref="H16:H70">IF(AND(ISNUMBER(H14),ISNUMBER(F14)),H14-F14,"n.a.")</f>
        <v>504.88194240000007</v>
      </c>
      <c r="I16" s="37"/>
      <c r="J16" s="1"/>
      <c r="K16" s="1"/>
      <c r="L16" s="1"/>
    </row>
    <row r="17" ht="15" customHeight="1">
      <c r="A17" s="1"/>
      <c r="B17" s="38" t="s">
        <v>76</v>
      </c>
      <c r="C17" s="40" t="s">
        <v>40</v>
      </c>
      <c r="D17" s="40">
        <f t="shared" si="6" ref="D17:F71">IF(AND(ISNUMBER(D14),ISNUMBER(C14)),D14/C14-1,"n.a.")</f>
        <v>-0.06935185589740189</v>
      </c>
      <c r="E17" s="40">
        <f t="shared" si="6"/>
        <v>0.01695848153692281</v>
      </c>
      <c r="F17" s="40">
        <f t="shared" si="6"/>
        <v>-0.07176973697103806</v>
      </c>
      <c r="G17" s="40" t="s">
        <v>40</v>
      </c>
      <c r="H17" s="41">
        <f t="shared" si="16" ref="H17:H71">IF(AND(ISNUMBER(H14),ISNUMBER(F14)),H14/F14-1,"n.a.")</f>
        <v>0.27</v>
      </c>
      <c r="I17" s="37"/>
      <c r="J17" s="1"/>
      <c r="K17" s="1"/>
      <c r="L17" s="1"/>
    </row>
    <row r="18" ht="15" customHeight="1">
      <c r="A18" s="1"/>
      <c r="B18" s="38" t="s">
        <v>77</v>
      </c>
      <c r="C18" s="40">
        <f t="shared" si="7" ref="C18:H18">C14/C106</f>
        <v>0.3997877229008148</v>
      </c>
      <c r="D18" s="40">
        <f t="shared" si="7"/>
        <v>0.37062644170744935</v>
      </c>
      <c r="E18" s="40">
        <f t="shared" si="7"/>
        <v>0.3448632060872162</v>
      </c>
      <c r="F18" s="40">
        <f t="shared" si="7"/>
        <v>0.2781712161931785</v>
      </c>
      <c r="G18" s="40">
        <f t="shared" si="7"/>
        <v>0.3440801418174133</v>
      </c>
      <c r="H18" s="41">
        <f t="shared" si="7"/>
        <v>0.28787973036848663</v>
      </c>
      <c r="I18" s="37"/>
      <c r="J18" s="1"/>
      <c r="K18" s="1"/>
      <c r="L18" s="1"/>
    </row>
    <row r="19" ht="15" customHeight="1">
      <c r="A19" s="1"/>
      <c r="B19" s="38" t="s">
        <v>78</v>
      </c>
      <c r="C19" s="40" t="str">
        <f t="shared" si="8" ref="C19:H117">C15</f>
        <v>n.a.</v>
      </c>
      <c r="D19" s="40" t="str">
        <f t="shared" si="8"/>
        <v>n.a.</v>
      </c>
      <c r="E19" s="40" t="str">
        <f t="shared" si="8"/>
        <v>n.a.</v>
      </c>
      <c r="F19" s="40" t="str">
        <f t="shared" si="8"/>
        <v>n.a.</v>
      </c>
      <c r="G19" s="40" t="str">
        <f t="shared" si="8"/>
        <v>n.a.</v>
      </c>
      <c r="H19" s="41">
        <f t="shared" si="8"/>
        <v>0.11570192625082276</v>
      </c>
      <c r="I19" s="37"/>
      <c r="J19" s="1"/>
      <c r="K19" s="1"/>
      <c r="L19" s="1"/>
    </row>
    <row r="20" ht="15" customHeight="1">
      <c r="A20" s="1"/>
      <c r="B20" s="38" t="s">
        <v>79</v>
      </c>
      <c r="C20" s="40" t="s">
        <v>80</v>
      </c>
      <c r="D20" s="40" t="s">
        <v>80</v>
      </c>
      <c r="E20" s="40" t="s">
        <v>80</v>
      </c>
      <c r="F20" s="40" t="s">
        <v>80</v>
      </c>
      <c r="G20" s="40" t="s">
        <v>80</v>
      </c>
      <c r="H20" s="41" t="s">
        <v>80</v>
      </c>
      <c r="I20" s="37" t="s">
        <v>81</v>
      </c>
      <c r="J20" s="1"/>
      <c r="K20" s="1"/>
      <c r="L20" s="1"/>
    </row>
    <row r="21" ht="15" customHeight="1">
      <c r="A21" s="1"/>
      <c r="B21" s="38" t="s">
        <v>82</v>
      </c>
      <c r="C21" s="40" t="s">
        <v>80</v>
      </c>
      <c r="D21" s="40" t="s">
        <v>80</v>
      </c>
      <c r="E21" s="40" t="s">
        <v>80</v>
      </c>
      <c r="F21" s="40" t="s">
        <v>80</v>
      </c>
      <c r="G21" s="40" t="s">
        <v>80</v>
      </c>
      <c r="H21" s="41" t="s">
        <v>80</v>
      </c>
      <c r="I21" s="37" t="s">
        <v>81</v>
      </c>
      <c r="J21" s="1"/>
      <c r="K21" s="1"/>
      <c r="L21" s="1"/>
    </row>
    <row r="22" ht="15" customHeight="1">
      <c r="A22" s="1"/>
      <c r="B22" s="38" t="s">
        <v>83</v>
      </c>
      <c r="C22" s="40" t="str">
        <f t="shared" si="9" ref="C22:H120">IF(AND(ISNUMBER(C19),ISNUMBER(C20),ISNUMBER(C21)),(1+C19)/((1+C20)*(1+C21))-1,"n.a.")</f>
        <v>n.a.</v>
      </c>
      <c r="D22" s="40" t="str">
        <f t="shared" si="9"/>
        <v>n.a.</v>
      </c>
      <c r="E22" s="40" t="str">
        <f t="shared" si="9"/>
        <v>n.a.</v>
      </c>
      <c r="F22" s="40" t="str">
        <f t="shared" si="9"/>
        <v>n.a.</v>
      </c>
      <c r="G22" s="40" t="str">
        <f t="shared" si="9"/>
        <v>n.a.</v>
      </c>
      <c r="H22" s="41" t="str">
        <f t="shared" si="9"/>
        <v>n.a.</v>
      </c>
      <c r="I22" s="37" t="s">
        <v>84</v>
      </c>
      <c r="J22" s="1"/>
      <c r="K22" s="1"/>
      <c r="L22" s="1"/>
    </row>
    <row r="23" ht="15" customHeight="1">
      <c r="A23" s="1"/>
      <c r="B23" s="1"/>
      <c r="C23" s="25"/>
      <c r="D23" s="25"/>
      <c r="E23" s="25"/>
      <c r="F23" s="25"/>
      <c r="G23" s="25"/>
      <c r="H23" s="36"/>
      <c r="I23" s="37"/>
      <c r="J23" s="1"/>
      <c r="K23" s="1"/>
      <c r="L23" s="1"/>
    </row>
    <row r="24" ht="15" customHeight="1">
      <c r="A24" s="1"/>
      <c r="B24" s="38" t="s">
        <v>85</v>
      </c>
      <c r="C24" s="39">
        <v>0.16</v>
      </c>
      <c r="D24" s="39">
        <v>0.23</v>
      </c>
      <c r="E24" s="39">
        <v>0.27</v>
      </c>
      <c r="F24" s="39">
        <v>0.23</v>
      </c>
      <c r="G24" s="40">
        <f t="shared" si="10" ref="G24:H24">G28/G78</f>
        <v>0.22334208794498375</v>
      </c>
      <c r="H24" s="41">
        <f t="shared" si="10"/>
        <v>0.24187894367842958</v>
      </c>
      <c r="I24" s="37" t="s">
        <v>68</v>
      </c>
      <c r="J24" s="1"/>
      <c r="K24" s="1"/>
      <c r="L24" s="1"/>
    </row>
    <row r="25" ht="15" customHeight="1">
      <c r="A25" s="1"/>
      <c r="B25" s="42" t="s">
        <v>69</v>
      </c>
      <c r="C25" s="43" t="s">
        <v>40</v>
      </c>
      <c r="D25" s="43">
        <f t="shared" si="1"/>
        <v>700.0000000000001</v>
      </c>
      <c r="E25" s="43">
        <f t="shared" si="1"/>
        <v>400.00000000000006</v>
      </c>
      <c r="F25" s="43">
        <f t="shared" si="1"/>
        <v>-400.00000000000006</v>
      </c>
      <c r="G25" s="43" t="s">
        <v>40</v>
      </c>
      <c r="H25" s="44">
        <f t="shared" si="3"/>
        <v>118.78943678429566</v>
      </c>
      <c r="I25" s="37"/>
      <c r="J25" s="1"/>
      <c r="K25" s="1"/>
      <c r="L25" s="1"/>
    </row>
    <row r="26" ht="15" customHeight="1">
      <c r="A26" s="1"/>
      <c r="B26" s="38" t="s">
        <v>86</v>
      </c>
      <c r="C26" s="40" t="s">
        <v>40</v>
      </c>
      <c r="D26" s="40">
        <f t="shared" si="2"/>
        <v>0.36048139709913696</v>
      </c>
      <c r="E26" s="40">
        <f t="shared" si="2"/>
        <v>0.30435979153648796</v>
      </c>
      <c r="F26" s="40">
        <f t="shared" si="2"/>
        <v>-0.029577452287903316</v>
      </c>
      <c r="G26" s="40" t="s">
        <v>40</v>
      </c>
      <c r="H26" s="45">
        <v>0.35</v>
      </c>
      <c r="I26" s="37" t="s">
        <v>87</v>
      </c>
      <c r="J26" s="1"/>
      <c r="K26" s="1"/>
      <c r="L26" s="1"/>
    </row>
    <row r="27" ht="15" customHeight="1">
      <c r="A27" s="1"/>
      <c r="B27" s="42" t="s">
        <v>69</v>
      </c>
      <c r="C27" s="43" t="s">
        <v>40</v>
      </c>
      <c r="D27" s="43" t="str">
        <f t="shared" si="1"/>
        <v>n.a.</v>
      </c>
      <c r="E27" s="43">
        <f t="shared" si="1"/>
        <v>-561.2160556264901</v>
      </c>
      <c r="F27" s="43">
        <f t="shared" si="1"/>
        <v>-3339.3724382439127</v>
      </c>
      <c r="G27" s="43" t="s">
        <v>40</v>
      </c>
      <c r="H27" s="44">
        <f t="shared" si="3"/>
        <v>3795.774522879033</v>
      </c>
      <c r="I27" s="37"/>
      <c r="J27" s="1"/>
      <c r="K27" s="1"/>
      <c r="L27" s="1"/>
    </row>
    <row r="28" ht="15" customHeight="1">
      <c r="A28" s="1"/>
      <c r="B28" s="46" t="s">
        <v>88</v>
      </c>
      <c r="C28" s="14">
        <f t="shared" si="11" ref="C28:F28">C24*C78</f>
        <v>567.6104</v>
      </c>
      <c r="D28" s="14">
        <f t="shared" si="11"/>
        <v>772.22339</v>
      </c>
      <c r="E28" s="14">
        <f t="shared" si="11"/>
        <v>1007.25714</v>
      </c>
      <c r="F28" s="14">
        <f t="shared" si="11"/>
        <v>977.46504</v>
      </c>
      <c r="G28" s="14">
        <f t="shared" si="12"/>
        <v>3324.5559700000003</v>
      </c>
      <c r="H28" s="47">
        <f t="shared" si="13"/>
        <v>1319.5778040000002</v>
      </c>
      <c r="I28" s="37" t="s">
        <v>73</v>
      </c>
      <c r="J28" s="1"/>
      <c r="K28" s="1"/>
      <c r="L28" s="1"/>
    </row>
    <row r="29" ht="15" customHeight="1">
      <c r="A29" s="1"/>
      <c r="B29" s="38" t="s">
        <v>74</v>
      </c>
      <c r="C29" s="40" t="s">
        <v>40</v>
      </c>
      <c r="D29" s="40" t="s">
        <v>40</v>
      </c>
      <c r="E29" s="40" t="s">
        <v>40</v>
      </c>
      <c r="F29" s="40" t="s">
        <v>40</v>
      </c>
      <c r="G29" s="40" t="s">
        <v>40</v>
      </c>
      <c r="H29" s="41">
        <f t="shared" si="14"/>
        <v>1.3247949720442054</v>
      </c>
      <c r="I29" s="37"/>
      <c r="J29" s="1"/>
      <c r="K29" s="1"/>
      <c r="L29" s="1"/>
    </row>
    <row r="30" ht="15" customHeight="1">
      <c r="A30" s="1"/>
      <c r="B30" s="46" t="s">
        <v>75</v>
      </c>
      <c r="C30" s="14" t="s">
        <v>40</v>
      </c>
      <c r="D30" s="14">
        <f t="shared" si="5"/>
        <v>204.61298999999997</v>
      </c>
      <c r="E30" s="14">
        <f t="shared" si="5"/>
        <v>235.03375000000005</v>
      </c>
      <c r="F30" s="14">
        <f t="shared" si="5"/>
        <v>-29.792100000000005</v>
      </c>
      <c r="G30" s="14" t="s">
        <v>40</v>
      </c>
      <c r="H30" s="47">
        <f t="shared" si="15"/>
        <v>342.1127640000002</v>
      </c>
      <c r="I30" s="37"/>
      <c r="J30" s="1"/>
      <c r="K30" s="1"/>
      <c r="L30" s="1"/>
    </row>
    <row r="31" ht="15" customHeight="1">
      <c r="A31" s="1"/>
      <c r="B31" s="38" t="s">
        <v>76</v>
      </c>
      <c r="C31" s="40" t="s">
        <v>40</v>
      </c>
      <c r="D31" s="40">
        <f t="shared" si="6"/>
        <v>0.36048139709913696</v>
      </c>
      <c r="E31" s="40">
        <f t="shared" si="6"/>
        <v>0.30435979153648796</v>
      </c>
      <c r="F31" s="40">
        <f t="shared" si="6"/>
        <v>-0.029577452287903316</v>
      </c>
      <c r="G31" s="40" t="s">
        <v>40</v>
      </c>
      <c r="H31" s="41">
        <f t="shared" si="16"/>
        <v>0.3500000000000001</v>
      </c>
      <c r="I31" s="37"/>
      <c r="J31" s="1"/>
      <c r="K31" s="1"/>
      <c r="L31" s="1"/>
    </row>
    <row r="32" ht="15" customHeight="1">
      <c r="A32" s="1"/>
      <c r="B32" s="38" t="s">
        <v>77</v>
      </c>
      <c r="C32" s="40">
        <f t="shared" si="17" ref="C32:H32">C28/C106</f>
        <v>0.1066100594402173</v>
      </c>
      <c r="D32" s="40">
        <f t="shared" si="17"/>
        <v>0.1444814942249379</v>
      </c>
      <c r="E32" s="40">
        <f t="shared" si="17"/>
        <v>0.1724316030436081</v>
      </c>
      <c r="F32" s="40">
        <f t="shared" si="17"/>
        <v>0.1454076811918888</v>
      </c>
      <c r="G32" s="40">
        <f t="shared" si="17"/>
        <v>0.14309819353677944</v>
      </c>
      <c r="H32" s="41">
        <f t="shared" si="17"/>
        <v>0.15996180436545296</v>
      </c>
      <c r="I32" s="37"/>
      <c r="J32" s="1"/>
      <c r="K32" s="1"/>
      <c r="L32" s="1"/>
    </row>
    <row r="33" ht="15" customHeight="1">
      <c r="A33" s="1"/>
      <c r="B33" s="38" t="s">
        <v>78</v>
      </c>
      <c r="C33" s="40" t="str">
        <f t="shared" si="8"/>
        <v>n.a.</v>
      </c>
      <c r="D33" s="40" t="str">
        <f t="shared" si="8"/>
        <v>n.a.</v>
      </c>
      <c r="E33" s="40" t="str">
        <f t="shared" si="8"/>
        <v>n.a.</v>
      </c>
      <c r="F33" s="40" t="str">
        <f t="shared" si="8"/>
        <v>n.a.</v>
      </c>
      <c r="G33" s="40" t="str">
        <f t="shared" si="8"/>
        <v>n.a.</v>
      </c>
      <c r="H33" s="41">
        <f t="shared" si="8"/>
        <v>1.3247949720442054</v>
      </c>
      <c r="I33" s="37"/>
      <c r="J33" s="1"/>
      <c r="K33" s="1"/>
      <c r="L33" s="1"/>
    </row>
    <row r="34" ht="15" customHeight="1">
      <c r="A34" s="1"/>
      <c r="B34" s="38" t="s">
        <v>79</v>
      </c>
      <c r="C34" s="40" t="s">
        <v>80</v>
      </c>
      <c r="D34" s="40" t="s">
        <v>80</v>
      </c>
      <c r="E34" s="40" t="s">
        <v>80</v>
      </c>
      <c r="F34" s="40" t="s">
        <v>80</v>
      </c>
      <c r="G34" s="40" t="s">
        <v>80</v>
      </c>
      <c r="H34" s="41" t="s">
        <v>80</v>
      </c>
      <c r="I34" s="37" t="s">
        <v>81</v>
      </c>
      <c r="J34" s="1"/>
      <c r="K34" s="1"/>
      <c r="L34" s="1"/>
    </row>
    <row r="35" ht="15" customHeight="1">
      <c r="A35" s="1"/>
      <c r="B35" s="38" t="s">
        <v>82</v>
      </c>
      <c r="C35" s="40" t="s">
        <v>80</v>
      </c>
      <c r="D35" s="40" t="s">
        <v>80</v>
      </c>
      <c r="E35" s="40" t="s">
        <v>80</v>
      </c>
      <c r="F35" s="40" t="s">
        <v>80</v>
      </c>
      <c r="G35" s="40" t="s">
        <v>80</v>
      </c>
      <c r="H35" s="41" t="s">
        <v>80</v>
      </c>
      <c r="I35" s="37" t="s">
        <v>81</v>
      </c>
      <c r="J35" s="1"/>
      <c r="K35" s="1"/>
      <c r="L35" s="1"/>
    </row>
    <row r="36" ht="15" customHeight="1">
      <c r="A36" s="1"/>
      <c r="B36" s="38" t="s">
        <v>83</v>
      </c>
      <c r="C36" s="40" t="str">
        <f t="shared" si="9"/>
        <v>n.a.</v>
      </c>
      <c r="D36" s="40" t="str">
        <f t="shared" si="9"/>
        <v>n.a.</v>
      </c>
      <c r="E36" s="40" t="str">
        <f t="shared" si="9"/>
        <v>n.a.</v>
      </c>
      <c r="F36" s="40" t="str">
        <f t="shared" si="9"/>
        <v>n.a.</v>
      </c>
      <c r="G36" s="40" t="str">
        <f t="shared" si="9"/>
        <v>n.a.</v>
      </c>
      <c r="H36" s="41" t="str">
        <f t="shared" si="9"/>
        <v>n.a.</v>
      </c>
      <c r="I36" s="37" t="s">
        <v>84</v>
      </c>
      <c r="J36" s="1"/>
      <c r="K36" s="1"/>
      <c r="L36" s="1"/>
    </row>
    <row r="37" ht="15" customHeight="1">
      <c r="A37" s="1"/>
      <c r="B37" s="1"/>
      <c r="C37" s="25"/>
      <c r="D37" s="25"/>
      <c r="E37" s="25"/>
      <c r="F37" s="25"/>
      <c r="G37" s="25"/>
      <c r="H37" s="36"/>
      <c r="I37" s="37"/>
      <c r="J37" s="1"/>
      <c r="K37" s="1"/>
      <c r="L37" s="1"/>
    </row>
    <row r="38" ht="15" customHeight="1">
      <c r="A38" s="1"/>
      <c r="B38" s="38" t="s">
        <v>89</v>
      </c>
      <c r="C38" s="39">
        <v>0.18</v>
      </c>
      <c r="D38" s="39">
        <v>0.11</v>
      </c>
      <c r="E38" s="39">
        <v>0.12</v>
      </c>
      <c r="F38" s="39">
        <v>0.23</v>
      </c>
      <c r="G38" s="40">
        <f t="shared" si="18" ref="G38:H38">G42/G78</f>
        <v>0.16344918016795956</v>
      </c>
      <c r="H38" s="41">
        <f t="shared" si="18"/>
        <v>0.2293370725247332</v>
      </c>
      <c r="I38" s="37" t="s">
        <v>68</v>
      </c>
      <c r="J38" s="1"/>
      <c r="K38" s="1"/>
      <c r="L38" s="1"/>
    </row>
    <row r="39" ht="15" customHeight="1">
      <c r="A39" s="1"/>
      <c r="B39" s="42" t="s">
        <v>69</v>
      </c>
      <c r="C39" s="43" t="s">
        <v>40</v>
      </c>
      <c r="D39" s="43">
        <f t="shared" si="1"/>
        <v>-699.9999999999999</v>
      </c>
      <c r="E39" s="43">
        <f t="shared" si="1"/>
        <v>99.99999999999994</v>
      </c>
      <c r="F39" s="43">
        <f t="shared" si="1"/>
        <v>1100.0000000000002</v>
      </c>
      <c r="G39" s="43" t="s">
        <v>40</v>
      </c>
      <c r="H39" s="44">
        <f t="shared" si="3"/>
        <v>-6.629274752668057</v>
      </c>
      <c r="I39" s="37"/>
      <c r="J39" s="1"/>
      <c r="K39" s="1"/>
      <c r="L39" s="1"/>
    </row>
    <row r="40" ht="15" customHeight="1">
      <c r="A40" s="1"/>
      <c r="B40" s="38" t="s">
        <v>90</v>
      </c>
      <c r="C40" s="40" t="s">
        <v>40</v>
      </c>
      <c r="D40" s="40">
        <f t="shared" si="2"/>
        <v>-0.421631096885391</v>
      </c>
      <c r="E40" s="40">
        <f t="shared" si="2"/>
        <v>0.21213233152885747</v>
      </c>
      <c r="F40" s="40">
        <f t="shared" si="2"/>
        <v>1.1834507323522176</v>
      </c>
      <c r="G40" s="40" t="s">
        <v>40</v>
      </c>
      <c r="H40" s="45">
        <v>0.28</v>
      </c>
      <c r="I40" s="37" t="s">
        <v>91</v>
      </c>
      <c r="J40" s="1"/>
      <c r="K40" s="1"/>
      <c r="L40" s="1"/>
    </row>
    <row r="41" ht="15" customHeight="1">
      <c r="A41" s="1"/>
      <c r="B41" s="42" t="s">
        <v>69</v>
      </c>
      <c r="C41" s="43" t="s">
        <v>40</v>
      </c>
      <c r="D41" s="43" t="str">
        <f t="shared" si="1"/>
        <v>n.a.</v>
      </c>
      <c r="E41" s="43">
        <f t="shared" si="1"/>
        <v>6337.634284142485</v>
      </c>
      <c r="F41" s="43">
        <f t="shared" si="1"/>
        <v>9713.184008233602</v>
      </c>
      <c r="G41" s="43" t="s">
        <v>40</v>
      </c>
      <c r="H41" s="44">
        <f t="shared" si="3"/>
        <v>-9034.507323522177</v>
      </c>
      <c r="I41" s="37"/>
      <c r="J41" s="1"/>
      <c r="K41" s="1"/>
      <c r="L41" s="1"/>
    </row>
    <row r="42" ht="15" customHeight="1">
      <c r="A42" s="1"/>
      <c r="B42" s="46" t="s">
        <v>92</v>
      </c>
      <c r="C42" s="14">
        <f t="shared" si="19" ref="C42:F42">C38*C78</f>
        <v>638.5617</v>
      </c>
      <c r="D42" s="14">
        <f t="shared" si="19"/>
        <v>369.32423</v>
      </c>
      <c r="E42" s="14">
        <f t="shared" si="19"/>
        <v>447.66983999999997</v>
      </c>
      <c r="F42" s="14">
        <f t="shared" si="19"/>
        <v>977.46504</v>
      </c>
      <c r="G42" s="14">
        <f t="shared" si="12"/>
        <v>2433.02081</v>
      </c>
      <c r="H42" s="47">
        <f t="shared" si="13"/>
        <v>1251.1552512</v>
      </c>
      <c r="I42" s="37" t="s">
        <v>73</v>
      </c>
      <c r="J42" s="1"/>
      <c r="K42" s="1"/>
      <c r="L42" s="1"/>
    </row>
    <row r="43" ht="15" customHeight="1">
      <c r="A43" s="1"/>
      <c r="B43" s="38" t="s">
        <v>74</v>
      </c>
      <c r="C43" s="40" t="s">
        <v>40</v>
      </c>
      <c r="D43" s="40" t="s">
        <v>40</v>
      </c>
      <c r="E43" s="40" t="s">
        <v>40</v>
      </c>
      <c r="F43" s="40" t="s">
        <v>40</v>
      </c>
      <c r="G43" s="40" t="s">
        <v>40</v>
      </c>
      <c r="H43" s="41">
        <f t="shared" si="14"/>
        <v>0.9593333756158569</v>
      </c>
      <c r="I43" s="37"/>
      <c r="J43" s="1"/>
      <c r="K43" s="1"/>
      <c r="L43" s="1"/>
    </row>
    <row r="44" ht="15" customHeight="1">
      <c r="A44" s="1"/>
      <c r="B44" s="46" t="s">
        <v>75</v>
      </c>
      <c r="C44" s="14" t="s">
        <v>40</v>
      </c>
      <c r="D44" s="14">
        <f t="shared" si="5"/>
        <v>-269.23747</v>
      </c>
      <c r="E44" s="14">
        <f t="shared" si="5"/>
        <v>78.34560999999997</v>
      </c>
      <c r="F44" s="14">
        <f t="shared" si="5"/>
        <v>529.7952</v>
      </c>
      <c r="G44" s="14" t="s">
        <v>40</v>
      </c>
      <c r="H44" s="47">
        <f t="shared" si="15"/>
        <v>273.6902112</v>
      </c>
      <c r="I44" s="37"/>
      <c r="J44" s="1"/>
      <c r="K44" s="1"/>
      <c r="L44" s="1"/>
    </row>
    <row r="45" ht="15" customHeight="1">
      <c r="A45" s="1"/>
      <c r="B45" s="38" t="s">
        <v>76</v>
      </c>
      <c r="C45" s="40" t="s">
        <v>40</v>
      </c>
      <c r="D45" s="40">
        <f t="shared" si="6"/>
        <v>-0.421631096885391</v>
      </c>
      <c r="E45" s="40">
        <f t="shared" si="6"/>
        <v>0.21213233152885747</v>
      </c>
      <c r="F45" s="40">
        <f t="shared" si="6"/>
        <v>1.1834507323522176</v>
      </c>
      <c r="G45" s="40" t="s">
        <v>40</v>
      </c>
      <c r="H45" s="41">
        <f t="shared" si="16"/>
        <v>0.28</v>
      </c>
      <c r="I45" s="37"/>
      <c r="J45" s="1"/>
      <c r="K45" s="1"/>
      <c r="L45" s="1"/>
    </row>
    <row r="46" ht="15" customHeight="1">
      <c r="A46" s="1"/>
      <c r="B46" s="38" t="s">
        <v>77</v>
      </c>
      <c r="C46" s="40">
        <f t="shared" si="20" ref="C46:H46">C42/C106</f>
        <v>0.11993631687024445</v>
      </c>
      <c r="D46" s="40">
        <f t="shared" si="20"/>
        <v>0.06909984506410073</v>
      </c>
      <c r="E46" s="40">
        <f t="shared" si="20"/>
        <v>0.07663626801938137</v>
      </c>
      <c r="F46" s="40">
        <f t="shared" si="20"/>
        <v>0.1454076811918888</v>
      </c>
      <c r="G46" s="40">
        <f t="shared" si="20"/>
        <v>0.10472402506984771</v>
      </c>
      <c r="H46" s="41">
        <f t="shared" si="20"/>
        <v>0.15166748858354057</v>
      </c>
      <c r="I46" s="37"/>
      <c r="J46" s="1"/>
      <c r="K46" s="1"/>
      <c r="L46" s="1"/>
    </row>
    <row r="47" ht="15" customHeight="1">
      <c r="A47" s="1"/>
      <c r="B47" s="38" t="s">
        <v>78</v>
      </c>
      <c r="C47" s="40" t="str">
        <f t="shared" si="8"/>
        <v>n.a.</v>
      </c>
      <c r="D47" s="40" t="str">
        <f t="shared" si="8"/>
        <v>n.a.</v>
      </c>
      <c r="E47" s="40" t="str">
        <f t="shared" si="8"/>
        <v>n.a.</v>
      </c>
      <c r="F47" s="40" t="str">
        <f t="shared" si="8"/>
        <v>n.a.</v>
      </c>
      <c r="G47" s="40" t="str">
        <f t="shared" si="8"/>
        <v>n.a.</v>
      </c>
      <c r="H47" s="41">
        <f t="shared" si="8"/>
        <v>0.9593333756158569</v>
      </c>
      <c r="I47" s="37"/>
      <c r="J47" s="1"/>
      <c r="K47" s="1"/>
      <c r="L47" s="1"/>
    </row>
    <row r="48" ht="15" customHeight="1">
      <c r="A48" s="1"/>
      <c r="B48" s="38" t="s">
        <v>79</v>
      </c>
      <c r="C48" s="40" t="s">
        <v>80</v>
      </c>
      <c r="D48" s="40" t="s">
        <v>80</v>
      </c>
      <c r="E48" s="40" t="s">
        <v>80</v>
      </c>
      <c r="F48" s="40" t="s">
        <v>80</v>
      </c>
      <c r="G48" s="40" t="s">
        <v>80</v>
      </c>
      <c r="H48" s="41" t="s">
        <v>80</v>
      </c>
      <c r="I48" s="37" t="s">
        <v>81</v>
      </c>
      <c r="J48" s="1"/>
      <c r="K48" s="1"/>
      <c r="L48" s="1"/>
    </row>
    <row r="49" ht="15" customHeight="1">
      <c r="A49" s="1"/>
      <c r="B49" s="38" t="s">
        <v>82</v>
      </c>
      <c r="C49" s="40" t="s">
        <v>80</v>
      </c>
      <c r="D49" s="40" t="s">
        <v>80</v>
      </c>
      <c r="E49" s="40" t="s">
        <v>80</v>
      </c>
      <c r="F49" s="40" t="s">
        <v>80</v>
      </c>
      <c r="G49" s="40" t="s">
        <v>80</v>
      </c>
      <c r="H49" s="41" t="s">
        <v>80</v>
      </c>
      <c r="I49" s="37" t="s">
        <v>81</v>
      </c>
      <c r="J49" s="1"/>
      <c r="K49" s="1"/>
      <c r="L49" s="1"/>
    </row>
    <row r="50" ht="15" customHeight="1">
      <c r="A50" s="1"/>
      <c r="B50" s="38" t="s">
        <v>83</v>
      </c>
      <c r="C50" s="40" t="str">
        <f t="shared" si="9"/>
        <v>n.a.</v>
      </c>
      <c r="D50" s="40" t="str">
        <f t="shared" si="9"/>
        <v>n.a.</v>
      </c>
      <c r="E50" s="40" t="str">
        <f t="shared" si="9"/>
        <v>n.a.</v>
      </c>
      <c r="F50" s="40" t="str">
        <f t="shared" si="9"/>
        <v>n.a.</v>
      </c>
      <c r="G50" s="40" t="str">
        <f t="shared" si="9"/>
        <v>n.a.</v>
      </c>
      <c r="H50" s="41" t="str">
        <f t="shared" si="9"/>
        <v>n.a.</v>
      </c>
      <c r="I50" s="37" t="s">
        <v>84</v>
      </c>
      <c r="J50" s="1"/>
      <c r="K50" s="1"/>
      <c r="L50" s="1"/>
    </row>
    <row r="51" ht="15" customHeight="1">
      <c r="A51" s="1"/>
      <c r="B51" s="1"/>
      <c r="C51" s="25"/>
      <c r="D51" s="25"/>
      <c r="E51" s="25"/>
      <c r="F51" s="25"/>
      <c r="G51" s="25"/>
      <c r="H51" s="36"/>
      <c r="I51" s="37"/>
      <c r="J51" s="1"/>
      <c r="K51" s="1"/>
      <c r="L51" s="1"/>
    </row>
    <row r="52" ht="15" customHeight="1">
      <c r="A52" s="1"/>
      <c r="B52" s="48" t="s">
        <v>93</v>
      </c>
      <c r="C52" s="49">
        <f t="shared" si="21" ref="C52:H52">C28+C42</f>
        <v>1206.1721</v>
      </c>
      <c r="D52" s="49">
        <f t="shared" si="21"/>
        <v>1141.54762</v>
      </c>
      <c r="E52" s="49">
        <f t="shared" si="21"/>
        <v>1454.92698</v>
      </c>
      <c r="F52" s="49">
        <f t="shared" si="21"/>
        <v>1954.93008</v>
      </c>
      <c r="G52" s="49">
        <f t="shared" si="21"/>
        <v>5757.57678</v>
      </c>
      <c r="H52" s="50">
        <f t="shared" si="21"/>
        <v>2570.7330552000003</v>
      </c>
      <c r="I52" s="37"/>
      <c r="J52" s="1"/>
      <c r="K52" s="1"/>
      <c r="L52" s="1"/>
    </row>
    <row r="53" ht="15" customHeight="1">
      <c r="A53" s="1"/>
      <c r="B53" s="38" t="s">
        <v>94</v>
      </c>
      <c r="C53" s="40">
        <f t="shared" si="22" ref="C53:H53">C52/C78</f>
        <v>0.33999999999999997</v>
      </c>
      <c r="D53" s="40">
        <f t="shared" si="22"/>
        <v>0.34</v>
      </c>
      <c r="E53" s="40">
        <f t="shared" si="22"/>
        <v>0.39</v>
      </c>
      <c r="F53" s="40">
        <f t="shared" si="22"/>
        <v>0.46</v>
      </c>
      <c r="G53" s="40">
        <f t="shared" si="22"/>
        <v>0.38679126811294334</v>
      </c>
      <c r="H53" s="41">
        <f t="shared" si="22"/>
        <v>0.4712160162031628</v>
      </c>
      <c r="I53" s="37"/>
      <c r="J53" s="1"/>
      <c r="K53" s="1"/>
      <c r="L53" s="1"/>
    </row>
    <row r="54" ht="15" customHeight="1">
      <c r="A54" s="1"/>
      <c r="B54" s="42" t="s">
        <v>95</v>
      </c>
      <c r="C54" s="43" t="s">
        <v>40</v>
      </c>
      <c r="D54" s="43">
        <f t="shared" si="1"/>
        <v>0</v>
      </c>
      <c r="E54" s="43">
        <f t="shared" si="1"/>
        <v>499.9999999999999</v>
      </c>
      <c r="F54" s="43">
        <f t="shared" si="1"/>
        <v>700.0000000000001</v>
      </c>
      <c r="G54" s="43" t="s">
        <v>40</v>
      </c>
      <c r="H54" s="44">
        <f t="shared" si="3"/>
        <v>112.16016203162759</v>
      </c>
      <c r="I54" s="37"/>
      <c r="J54" s="1"/>
      <c r="K54" s="1"/>
      <c r="L54" s="1"/>
    </row>
    <row r="55" ht="15" customHeight="1">
      <c r="A55" s="1"/>
      <c r="B55" s="38" t="s">
        <v>74</v>
      </c>
      <c r="C55" s="40" t="s">
        <v>40</v>
      </c>
      <c r="D55" s="40" t="s">
        <v>40</v>
      </c>
      <c r="E55" s="40" t="s">
        <v>40</v>
      </c>
      <c r="F55" s="40" t="s">
        <v>40</v>
      </c>
      <c r="G55" s="40" t="s">
        <v>40</v>
      </c>
      <c r="H55" s="41">
        <f>H52/C52-1</f>
        <v>1.1313153033468444</v>
      </c>
      <c r="I55" s="37"/>
      <c r="J55" s="1"/>
      <c r="K55" s="1"/>
      <c r="L55" s="1"/>
    </row>
    <row r="56" ht="15" customHeight="1">
      <c r="A56" s="1"/>
      <c r="B56" s="46" t="s">
        <v>75</v>
      </c>
      <c r="C56" s="14" t="s">
        <v>40</v>
      </c>
      <c r="D56" s="14">
        <f t="shared" si="23" ref="D56:F82">IF(AND(ISNUMBER(D52),ISNUMBER(C52)),D52-C52,"n.a.")</f>
        <v>-64.62447999999995</v>
      </c>
      <c r="E56" s="14">
        <f t="shared" si="23"/>
        <v>313.3793599999999</v>
      </c>
      <c r="F56" s="14">
        <f t="shared" si="23"/>
        <v>500.00310000000013</v>
      </c>
      <c r="G56" s="14" t="s">
        <v>40</v>
      </c>
      <c r="H56" s="47">
        <f t="shared" si="31" ref="H56:H82">IF(AND(ISNUMBER(H52),ISNUMBER(F52)),H52-F52,"n.a.")</f>
        <v>615.8029752000002</v>
      </c>
      <c r="I56" s="37"/>
      <c r="J56" s="1"/>
      <c r="K56" s="1"/>
      <c r="L56" s="1"/>
    </row>
    <row r="57" ht="15" customHeight="1">
      <c r="A57" s="1"/>
      <c r="B57" s="38" t="s">
        <v>76</v>
      </c>
      <c r="C57" s="40" t="s">
        <v>40</v>
      </c>
      <c r="D57" s="40">
        <f t="shared" si="24" ref="D57:F83">IF(AND(ISNUMBER(D52),ISNUMBER(C52)),D52/C52-1,"n.a.")</f>
        <v>-0.05357815853973069</v>
      </c>
      <c r="E57" s="40">
        <f t="shared" si="24"/>
        <v>0.27452149565166617</v>
      </c>
      <c r="F57" s="40">
        <f t="shared" si="24"/>
        <v>0.34366198913982626</v>
      </c>
      <c r="G57" s="40" t="s">
        <v>40</v>
      </c>
      <c r="H57" s="41">
        <f t="shared" si="32" ref="H57:H83">IF(AND(ISNUMBER(H52),ISNUMBER(F52)),H52/F52-1,"n.a.")</f>
        <v>0.31500000000000017</v>
      </c>
      <c r="I57" s="37"/>
      <c r="J57" s="1"/>
      <c r="K57" s="1"/>
      <c r="L57" s="1"/>
    </row>
    <row r="58" ht="15" customHeight="1">
      <c r="A58" s="1"/>
      <c r="B58" s="38" t="s">
        <v>77</v>
      </c>
      <c r="C58" s="40">
        <f t="shared" si="25" ref="C58:H58">C52/C106</f>
        <v>0.22654637631046173</v>
      </c>
      <c r="D58" s="40">
        <f t="shared" si="25"/>
        <v>0.2135813392890386</v>
      </c>
      <c r="E58" s="40">
        <f t="shared" si="25"/>
        <v>0.24906787106298944</v>
      </c>
      <c r="F58" s="40">
        <f t="shared" si="25"/>
        <v>0.2908153623837776</v>
      </c>
      <c r="G58" s="40">
        <f t="shared" si="25"/>
        <v>0.24782221860662715</v>
      </c>
      <c r="H58" s="41">
        <f t="shared" si="25"/>
        <v>0.31162929294899355</v>
      </c>
      <c r="I58" s="37"/>
      <c r="J58" s="1"/>
      <c r="K58" s="1"/>
      <c r="L58" s="1"/>
    </row>
    <row r="59" ht="15" customHeight="1">
      <c r="A59" s="1"/>
      <c r="B59" s="38" t="s">
        <v>78</v>
      </c>
      <c r="C59" s="40" t="str">
        <f t="shared" si="8"/>
        <v>n.a.</v>
      </c>
      <c r="D59" s="40" t="str">
        <f t="shared" si="8"/>
        <v>n.a.</v>
      </c>
      <c r="E59" s="40" t="str">
        <f t="shared" si="8"/>
        <v>n.a.</v>
      </c>
      <c r="F59" s="40" t="str">
        <f t="shared" si="8"/>
        <v>n.a.</v>
      </c>
      <c r="G59" s="40" t="str">
        <f t="shared" si="8"/>
        <v>n.a.</v>
      </c>
      <c r="H59" s="41">
        <f t="shared" si="8"/>
        <v>1.1313153033468444</v>
      </c>
      <c r="I59" s="37"/>
      <c r="J59" s="1"/>
      <c r="K59" s="1"/>
      <c r="L59" s="1"/>
    </row>
    <row r="60" ht="15" customHeight="1">
      <c r="A60" s="1"/>
      <c r="B60" s="38" t="s">
        <v>79</v>
      </c>
      <c r="C60" s="40" t="s">
        <v>80</v>
      </c>
      <c r="D60" s="40" t="s">
        <v>80</v>
      </c>
      <c r="E60" s="40" t="s">
        <v>80</v>
      </c>
      <c r="F60" s="40" t="s">
        <v>80</v>
      </c>
      <c r="G60" s="40" t="s">
        <v>80</v>
      </c>
      <c r="H60" s="41" t="s">
        <v>80</v>
      </c>
      <c r="I60" s="37" t="s">
        <v>81</v>
      </c>
      <c r="J60" s="1"/>
      <c r="K60" s="1"/>
      <c r="L60" s="1"/>
    </row>
    <row r="61" ht="15" customHeight="1">
      <c r="A61" s="1"/>
      <c r="B61" s="38" t="s">
        <v>82</v>
      </c>
      <c r="C61" s="40" t="s">
        <v>80</v>
      </c>
      <c r="D61" s="40" t="s">
        <v>80</v>
      </c>
      <c r="E61" s="40" t="s">
        <v>80</v>
      </c>
      <c r="F61" s="40" t="s">
        <v>80</v>
      </c>
      <c r="G61" s="40" t="s">
        <v>80</v>
      </c>
      <c r="H61" s="41" t="s">
        <v>80</v>
      </c>
      <c r="I61" s="37" t="s">
        <v>81</v>
      </c>
      <c r="J61" s="1"/>
      <c r="K61" s="1"/>
      <c r="L61" s="1"/>
    </row>
    <row r="62" ht="15" customHeight="1">
      <c r="A62" s="1"/>
      <c r="B62" s="38" t="s">
        <v>83</v>
      </c>
      <c r="C62" s="40" t="str">
        <f t="shared" si="9"/>
        <v>n.a.</v>
      </c>
      <c r="D62" s="40" t="str">
        <f t="shared" si="9"/>
        <v>n.a.</v>
      </c>
      <c r="E62" s="40" t="str">
        <f t="shared" si="9"/>
        <v>n.a.</v>
      </c>
      <c r="F62" s="40" t="str">
        <f t="shared" si="9"/>
        <v>n.a.</v>
      </c>
      <c r="G62" s="40" t="str">
        <f t="shared" si="9"/>
        <v>n.a.</v>
      </c>
      <c r="H62" s="41" t="str">
        <f t="shared" si="9"/>
        <v>n.a.</v>
      </c>
      <c r="I62" s="37" t="s">
        <v>84</v>
      </c>
      <c r="J62" s="1"/>
      <c r="K62" s="1"/>
      <c r="L62" s="1"/>
    </row>
    <row r="63" ht="15" customHeight="1">
      <c r="A63" s="1"/>
      <c r="B63" s="1"/>
      <c r="C63" s="25"/>
      <c r="D63" s="25"/>
      <c r="E63" s="25"/>
      <c r="F63" s="25"/>
      <c r="G63" s="25"/>
      <c r="H63" s="36"/>
      <c r="I63" s="37"/>
      <c r="J63" s="1"/>
      <c r="K63" s="1"/>
      <c r="L63" s="1"/>
    </row>
    <row r="64" ht="15" customHeight="1">
      <c r="A64" s="1"/>
      <c r="B64" s="38" t="s">
        <v>96</v>
      </c>
      <c r="C64" s="39">
        <v>0.06</v>
      </c>
      <c r="D64" s="39">
        <v>0.07</v>
      </c>
      <c r="E64" s="39">
        <v>0.07</v>
      </c>
      <c r="F64" s="39">
        <v>0.1</v>
      </c>
      <c r="G64" s="40">
        <f t="shared" si="26" ref="G64:H64">G68/G78</f>
        <v>0.07618184570099415</v>
      </c>
      <c r="H64" s="41">
        <f t="shared" si="26"/>
        <v>0.09347978499649451</v>
      </c>
      <c r="I64" s="37" t="s">
        <v>68</v>
      </c>
      <c r="J64" s="1"/>
      <c r="K64" s="1"/>
      <c r="L64" s="1"/>
    </row>
    <row r="65" ht="15" customHeight="1">
      <c r="A65" s="1"/>
      <c r="B65" s="42" t="s">
        <v>69</v>
      </c>
      <c r="C65" s="43" t="s">
        <v>40</v>
      </c>
      <c r="D65" s="43">
        <f t="shared" si="1"/>
        <v>100.00000000000009</v>
      </c>
      <c r="E65" s="43">
        <f t="shared" si="1"/>
        <v>0</v>
      </c>
      <c r="F65" s="43">
        <f t="shared" si="1"/>
        <v>300</v>
      </c>
      <c r="G65" s="43" t="s">
        <v>40</v>
      </c>
      <c r="H65" s="44">
        <f t="shared" si="3"/>
        <v>-65.20215003505497</v>
      </c>
      <c r="I65" s="37"/>
      <c r="J65" s="1"/>
      <c r="K65" s="1"/>
      <c r="L65" s="1"/>
    </row>
    <row r="66" ht="15" customHeight="1">
      <c r="A66" s="1"/>
      <c r="B66" s="38" t="s">
        <v>97</v>
      </c>
      <c r="C66" s="40" t="s">
        <v>40</v>
      </c>
      <c r="D66" s="40">
        <f t="shared" si="2"/>
        <v>0.10415881503698099</v>
      </c>
      <c r="E66" s="40">
        <f t="shared" si="2"/>
        <v>0.11112130390145247</v>
      </c>
      <c r="F66" s="40">
        <f t="shared" si="2"/>
        <v>0.6274166949209075</v>
      </c>
      <c r="G66" s="40" t="s">
        <v>40</v>
      </c>
      <c r="H66" s="45">
        <v>0.2</v>
      </c>
      <c r="I66" s="37" t="s">
        <v>98</v>
      </c>
      <c r="J66" s="1"/>
      <c r="K66" s="1"/>
      <c r="L66" s="1"/>
    </row>
    <row r="67" ht="15" customHeight="1">
      <c r="A67" s="1"/>
      <c r="B67" s="42" t="s">
        <v>69</v>
      </c>
      <c r="C67" s="43" t="s">
        <v>40</v>
      </c>
      <c r="D67" s="43" t="str">
        <f t="shared" si="1"/>
        <v>n.a.</v>
      </c>
      <c r="E67" s="43">
        <f t="shared" si="1"/>
        <v>69.62488864471483</v>
      </c>
      <c r="F67" s="43">
        <f t="shared" si="1"/>
        <v>5162.95391019455</v>
      </c>
      <c r="G67" s="43" t="s">
        <v>40</v>
      </c>
      <c r="H67" s="44">
        <f t="shared" si="3"/>
        <v>-4274.166949209074</v>
      </c>
      <c r="I67" s="37"/>
      <c r="J67" s="1"/>
      <c r="K67" s="1"/>
      <c r="L67" s="1"/>
    </row>
    <row r="68" ht="15" customHeight="1">
      <c r="A68" s="1"/>
      <c r="B68" s="46" t="s">
        <v>99</v>
      </c>
      <c r="C68" s="14">
        <f t="shared" si="27" ref="C68:F68">C64*C78</f>
        <v>212.85389999999998</v>
      </c>
      <c r="D68" s="14">
        <f t="shared" si="27"/>
        <v>235.02451000000002</v>
      </c>
      <c r="E68" s="14">
        <f t="shared" si="27"/>
        <v>261.14074</v>
      </c>
      <c r="F68" s="14">
        <f t="shared" si="27"/>
        <v>424.9848</v>
      </c>
      <c r="G68" s="14">
        <f t="shared" si="12"/>
        <v>1134.00395</v>
      </c>
      <c r="H68" s="47">
        <f t="shared" si="13"/>
        <v>509.98176</v>
      </c>
      <c r="I68" s="37" t="s">
        <v>73</v>
      </c>
      <c r="J68" s="1"/>
      <c r="K68" s="1"/>
      <c r="L68" s="1"/>
    </row>
    <row r="69" ht="15" customHeight="1">
      <c r="A69" s="1"/>
      <c r="B69" s="38" t="s">
        <v>74</v>
      </c>
      <c r="C69" s="40" t="s">
        <v>40</v>
      </c>
      <c r="D69" s="40" t="s">
        <v>40</v>
      </c>
      <c r="E69" s="40" t="s">
        <v>40</v>
      </c>
      <c r="F69" s="40" t="s">
        <v>40</v>
      </c>
      <c r="G69" s="40" t="s">
        <v>40</v>
      </c>
      <c r="H69" s="41">
        <f t="shared" si="14"/>
        <v>1.395923964747651</v>
      </c>
      <c r="I69" s="37"/>
      <c r="J69" s="1"/>
      <c r="K69" s="1"/>
      <c r="L69" s="1"/>
    </row>
    <row r="70" ht="15" customHeight="1">
      <c r="A70" s="1"/>
      <c r="B70" s="46" t="s">
        <v>75</v>
      </c>
      <c r="C70" s="14" t="s">
        <v>40</v>
      </c>
      <c r="D70" s="14">
        <f t="shared" si="5"/>
        <v>22.17061000000004</v>
      </c>
      <c r="E70" s="14">
        <f t="shared" si="5"/>
        <v>26.116229999999973</v>
      </c>
      <c r="F70" s="14">
        <f t="shared" si="5"/>
        <v>163.84406</v>
      </c>
      <c r="G70" s="14" t="s">
        <v>40</v>
      </c>
      <c r="H70" s="47">
        <f t="shared" si="15"/>
        <v>84.99696</v>
      </c>
      <c r="I70" s="37"/>
      <c r="J70" s="1"/>
      <c r="K70" s="1"/>
      <c r="L70" s="1"/>
    </row>
    <row r="71" ht="15" customHeight="1">
      <c r="A71" s="1"/>
      <c r="B71" s="38" t="s">
        <v>76</v>
      </c>
      <c r="C71" s="40" t="s">
        <v>40</v>
      </c>
      <c r="D71" s="40">
        <f t="shared" si="6"/>
        <v>0.10415881503698099</v>
      </c>
      <c r="E71" s="40">
        <f t="shared" si="6"/>
        <v>0.11112130390145247</v>
      </c>
      <c r="F71" s="40">
        <f t="shared" si="6"/>
        <v>0.6274166949209075</v>
      </c>
      <c r="G71" s="40" t="s">
        <v>40</v>
      </c>
      <c r="H71" s="41">
        <f t="shared" si="16"/>
        <v>0.19999999999999996</v>
      </c>
      <c r="I71" s="37"/>
      <c r="J71" s="1"/>
      <c r="K71" s="1"/>
      <c r="L71" s="1"/>
    </row>
    <row r="72" ht="15" customHeight="1">
      <c r="A72" s="1"/>
      <c r="B72" s="38" t="s">
        <v>77</v>
      </c>
      <c r="C72" s="40">
        <f t="shared" si="28" ref="C72:H72">C68/C106</f>
        <v>0.03997877229008148</v>
      </c>
      <c r="D72" s="40">
        <f t="shared" si="28"/>
        <v>0.04397262867715501</v>
      </c>
      <c r="E72" s="40">
        <f t="shared" si="28"/>
        <v>0.04470448967797246</v>
      </c>
      <c r="F72" s="40">
        <f t="shared" si="28"/>
        <v>0.06322073095299513</v>
      </c>
      <c r="G72" s="40">
        <f t="shared" si="28"/>
        <v>0.04881070379710658</v>
      </c>
      <c r="H72" s="41">
        <f t="shared" si="28"/>
        <v>0.061820987194377945</v>
      </c>
      <c r="I72" s="37"/>
      <c r="J72" s="1"/>
      <c r="K72" s="1"/>
      <c r="L72" s="1"/>
    </row>
    <row r="73" ht="15" customHeight="1">
      <c r="A73" s="1"/>
      <c r="B73" s="38" t="s">
        <v>78</v>
      </c>
      <c r="C73" s="40" t="str">
        <f t="shared" si="8"/>
        <v>n.a.</v>
      </c>
      <c r="D73" s="40" t="str">
        <f t="shared" si="8"/>
        <v>n.a.</v>
      </c>
      <c r="E73" s="40" t="str">
        <f t="shared" si="8"/>
        <v>n.a.</v>
      </c>
      <c r="F73" s="40" t="str">
        <f t="shared" si="8"/>
        <v>n.a.</v>
      </c>
      <c r="G73" s="40" t="str">
        <f t="shared" si="8"/>
        <v>n.a.</v>
      </c>
      <c r="H73" s="41">
        <f t="shared" si="8"/>
        <v>1.395923964747651</v>
      </c>
      <c r="I73" s="37"/>
      <c r="J73" s="1"/>
      <c r="K73" s="1"/>
      <c r="L73" s="1"/>
    </row>
    <row r="74" ht="15" customHeight="1">
      <c r="A74" s="1"/>
      <c r="B74" s="38" t="s">
        <v>79</v>
      </c>
      <c r="C74" s="40" t="s">
        <v>80</v>
      </c>
      <c r="D74" s="40" t="s">
        <v>80</v>
      </c>
      <c r="E74" s="40" t="s">
        <v>80</v>
      </c>
      <c r="F74" s="40" t="s">
        <v>80</v>
      </c>
      <c r="G74" s="40" t="s">
        <v>80</v>
      </c>
      <c r="H74" s="41" t="s">
        <v>80</v>
      </c>
      <c r="I74" s="37" t="s">
        <v>81</v>
      </c>
      <c r="J74" s="1"/>
      <c r="K74" s="1"/>
      <c r="L74" s="1"/>
    </row>
    <row r="75" ht="15" customHeight="1">
      <c r="A75" s="1"/>
      <c r="B75" s="38" t="s">
        <v>82</v>
      </c>
      <c r="C75" s="40" t="s">
        <v>80</v>
      </c>
      <c r="D75" s="40" t="s">
        <v>80</v>
      </c>
      <c r="E75" s="40" t="s">
        <v>80</v>
      </c>
      <c r="F75" s="40" t="s">
        <v>80</v>
      </c>
      <c r="G75" s="40" t="s">
        <v>80</v>
      </c>
      <c r="H75" s="41" t="s">
        <v>80</v>
      </c>
      <c r="I75" s="37" t="s">
        <v>81</v>
      </c>
      <c r="J75" s="1"/>
      <c r="K75" s="1"/>
      <c r="L75" s="1"/>
    </row>
    <row r="76" ht="15" customHeight="1">
      <c r="A76" s="1"/>
      <c r="B76" s="38" t="s">
        <v>83</v>
      </c>
      <c r="C76" s="40" t="str">
        <f t="shared" si="9"/>
        <v>n.a.</v>
      </c>
      <c r="D76" s="40" t="str">
        <f t="shared" si="9"/>
        <v>n.a.</v>
      </c>
      <c r="E76" s="40" t="str">
        <f t="shared" si="9"/>
        <v>n.a.</v>
      </c>
      <c r="F76" s="40" t="str">
        <f t="shared" si="9"/>
        <v>n.a.</v>
      </c>
      <c r="G76" s="40" t="str">
        <f t="shared" si="9"/>
        <v>n.a.</v>
      </c>
      <c r="H76" s="41" t="str">
        <f t="shared" si="9"/>
        <v>n.a.</v>
      </c>
      <c r="I76" s="37" t="s">
        <v>84</v>
      </c>
      <c r="J76" s="1"/>
      <c r="K76" s="1"/>
      <c r="L76" s="1"/>
    </row>
    <row r="77" ht="15" customHeight="1">
      <c r="A77" s="1"/>
      <c r="B77" s="1"/>
      <c r="C77" s="25"/>
      <c r="D77" s="25"/>
      <c r="E77" s="25"/>
      <c r="F77" s="25"/>
      <c r="G77" s="25"/>
      <c r="H77" s="36"/>
      <c r="I77" s="37"/>
      <c r="J77" s="1"/>
      <c r="K77" s="1"/>
      <c r="L77" s="1"/>
    </row>
    <row r="78" ht="15" customHeight="1">
      <c r="A78" s="1"/>
      <c r="B78" s="48" t="s">
        <v>100</v>
      </c>
      <c r="C78" s="51">
        <v>3547.565</v>
      </c>
      <c r="D78" s="51">
        <v>3357.493</v>
      </c>
      <c r="E78" s="51">
        <v>3730.582</v>
      </c>
      <c r="F78" s="51">
        <v>4249.848</v>
      </c>
      <c r="G78" s="49">
        <f t="shared" si="12"/>
        <v>14885.488</v>
      </c>
      <c r="H78" s="50">
        <f>H14+H52+H68</f>
        <v>5455.5298776</v>
      </c>
      <c r="I78" s="37" t="s">
        <v>101</v>
      </c>
      <c r="J78" s="1"/>
      <c r="K78" s="1"/>
      <c r="L78" s="1"/>
    </row>
    <row r="79" ht="15" customHeight="1">
      <c r="A79" s="1"/>
      <c r="B79" s="1" t="s">
        <v>102</v>
      </c>
      <c r="C79" s="14" t="b">
        <f t="shared" si="29" ref="C79:H79">ABS(C14+C52+C68-C78)&lt;0.001</f>
        <v>1</v>
      </c>
      <c r="D79" s="14" t="b">
        <f t="shared" si="29"/>
        <v>1</v>
      </c>
      <c r="E79" s="14" t="b">
        <f t="shared" si="29"/>
        <v>1</v>
      </c>
      <c r="F79" s="14" t="b">
        <f t="shared" si="29"/>
        <v>1</v>
      </c>
      <c r="G79" s="14" t="b">
        <f t="shared" si="29"/>
        <v>1</v>
      </c>
      <c r="H79" s="47" t="b">
        <f t="shared" si="29"/>
        <v>1</v>
      </c>
      <c r="I79" s="37"/>
      <c r="J79" s="1"/>
      <c r="K79" s="1"/>
      <c r="L79" s="1"/>
    </row>
    <row r="80" ht="15" customHeight="1">
      <c r="A80" s="1"/>
      <c r="B80" s="46" t="s">
        <v>103</v>
      </c>
      <c r="C80" s="52">
        <v>2392.73</v>
      </c>
      <c r="D80" s="52">
        <v>2625.649</v>
      </c>
      <c r="E80" s="52">
        <v>3035.276</v>
      </c>
      <c r="F80" s="52">
        <v>3437.625</v>
      </c>
      <c r="G80" s="52">
        <v>11491.28</v>
      </c>
      <c r="H80" s="47">
        <f>C78</f>
        <v>3547.565</v>
      </c>
      <c r="I80" s="37" t="s">
        <v>104</v>
      </c>
      <c r="J80" s="1"/>
      <c r="K80" s="1"/>
      <c r="L80" s="1"/>
    </row>
    <row r="81" ht="15" customHeight="1">
      <c r="A81" s="1"/>
      <c r="B81" s="38" t="s">
        <v>74</v>
      </c>
      <c r="C81" s="40">
        <f t="shared" si="30" ref="C81:H81">IF(ISNUMBER(C80),C78/C80-1,"n.a.")</f>
        <v>0.48264325686558873</v>
      </c>
      <c r="D81" s="40">
        <f t="shared" si="30"/>
        <v>0.2787288019076426</v>
      </c>
      <c r="E81" s="40">
        <f t="shared" si="30"/>
        <v>0.22907504951773738</v>
      </c>
      <c r="F81" s="40">
        <f t="shared" si="30"/>
        <v>0.2362744627468092</v>
      </c>
      <c r="G81" s="40">
        <f t="shared" si="30"/>
        <v>0.29537249114110864</v>
      </c>
      <c r="H81" s="41">
        <f t="shared" si="30"/>
        <v>0.5378237967732797</v>
      </c>
      <c r="I81" s="37"/>
      <c r="J81" s="1"/>
      <c r="K81" s="1"/>
      <c r="L81" s="1"/>
    </row>
    <row r="82" ht="15" customHeight="1">
      <c r="A82" s="1"/>
      <c r="B82" s="46" t="s">
        <v>75</v>
      </c>
      <c r="C82" s="14" t="s">
        <v>40</v>
      </c>
      <c r="D82" s="14">
        <f t="shared" si="23"/>
        <v>-190.07200000000012</v>
      </c>
      <c r="E82" s="14">
        <f t="shared" si="23"/>
        <v>373.08899999999994</v>
      </c>
      <c r="F82" s="14">
        <f t="shared" si="23"/>
        <v>519.2660000000001</v>
      </c>
      <c r="G82" s="14" t="s">
        <v>40</v>
      </c>
      <c r="H82" s="47">
        <f t="shared" si="31"/>
        <v>1205.6818776</v>
      </c>
      <c r="I82" s="37"/>
      <c r="J82" s="1"/>
      <c r="K82" s="1"/>
      <c r="L82" s="1"/>
    </row>
    <row r="83" ht="15" customHeight="1">
      <c r="A83" s="1"/>
      <c r="B83" s="38" t="s">
        <v>76</v>
      </c>
      <c r="C83" s="40" t="s">
        <v>40</v>
      </c>
      <c r="D83" s="40">
        <f t="shared" si="24"/>
        <v>-0.0535781585397308</v>
      </c>
      <c r="E83" s="40">
        <f t="shared" si="24"/>
        <v>0.1111213039014527</v>
      </c>
      <c r="F83" s="40">
        <f t="shared" si="24"/>
        <v>0.1391916864446352</v>
      </c>
      <c r="G83" s="40" t="s">
        <v>40</v>
      </c>
      <c r="H83" s="41">
        <f t="shared" si="32"/>
        <v>0.28370000000000006</v>
      </c>
      <c r="I83" s="37"/>
      <c r="J83" s="1"/>
      <c r="K83" s="1"/>
      <c r="L83" s="1"/>
    </row>
    <row r="84" ht="15" customHeight="1">
      <c r="A84" s="1"/>
      <c r="B84" s="38" t="s">
        <v>77</v>
      </c>
      <c r="C84" s="40">
        <f t="shared" si="33" ref="C84:H84">C78/C106</f>
        <v>0.6663128715013581</v>
      </c>
      <c r="D84" s="40">
        <f t="shared" si="33"/>
        <v>0.628180409673643</v>
      </c>
      <c r="E84" s="40">
        <f t="shared" si="33"/>
        <v>0.6386355668281781</v>
      </c>
      <c r="F84" s="40">
        <f t="shared" si="33"/>
        <v>0.6322073095299512</v>
      </c>
      <c r="G84" s="40">
        <f t="shared" si="33"/>
        <v>0.640713064221147</v>
      </c>
      <c r="H84" s="41">
        <f t="shared" si="33"/>
        <v>0.661330010511858</v>
      </c>
      <c r="I84" s="37"/>
      <c r="J84" s="1"/>
      <c r="K84" s="1"/>
      <c r="L84" s="1"/>
    </row>
    <row r="85" ht="15" customHeight="1">
      <c r="A85" s="1"/>
      <c r="B85" s="38" t="s">
        <v>78</v>
      </c>
      <c r="C85" s="40">
        <f t="shared" si="8"/>
        <v>0.48264325686558873</v>
      </c>
      <c r="D85" s="40">
        <f t="shared" si="8"/>
        <v>0.2787288019076426</v>
      </c>
      <c r="E85" s="40">
        <f t="shared" si="8"/>
        <v>0.22907504951773738</v>
      </c>
      <c r="F85" s="40">
        <f t="shared" si="8"/>
        <v>0.2362744627468092</v>
      </c>
      <c r="G85" s="40">
        <f t="shared" si="8"/>
        <v>0.29537249114110864</v>
      </c>
      <c r="H85" s="41">
        <f t="shared" si="8"/>
        <v>0.5378237967732797</v>
      </c>
      <c r="I85" s="37"/>
      <c r="J85" s="1"/>
      <c r="K85" s="1"/>
      <c r="L85" s="1"/>
    </row>
    <row r="86" ht="15" customHeight="1">
      <c r="A86" s="1"/>
      <c r="B86" s="38" t="s">
        <v>79</v>
      </c>
      <c r="C86" s="40" t="s">
        <v>80</v>
      </c>
      <c r="D86" s="40" t="s">
        <v>80</v>
      </c>
      <c r="E86" s="40" t="s">
        <v>80</v>
      </c>
      <c r="F86" s="40" t="s">
        <v>80</v>
      </c>
      <c r="G86" s="40" t="s">
        <v>80</v>
      </c>
      <c r="H86" s="41" t="s">
        <v>80</v>
      </c>
      <c r="I86" s="37" t="s">
        <v>81</v>
      </c>
      <c r="J86" s="1"/>
      <c r="K86" s="1"/>
      <c r="L86" s="1"/>
    </row>
    <row r="87" ht="15" customHeight="1">
      <c r="A87" s="1"/>
      <c r="B87" s="38" t="s">
        <v>82</v>
      </c>
      <c r="C87" s="40" t="s">
        <v>80</v>
      </c>
      <c r="D87" s="40" t="s">
        <v>80</v>
      </c>
      <c r="E87" s="40" t="s">
        <v>80</v>
      </c>
      <c r="F87" s="40" t="s">
        <v>80</v>
      </c>
      <c r="G87" s="40" t="s">
        <v>80</v>
      </c>
      <c r="H87" s="41" t="s">
        <v>80</v>
      </c>
      <c r="I87" s="37" t="s">
        <v>81</v>
      </c>
      <c r="J87" s="1"/>
      <c r="K87" s="1"/>
      <c r="L87" s="1"/>
    </row>
    <row r="88" ht="15" customHeight="1">
      <c r="A88" s="1"/>
      <c r="B88" s="38" t="s">
        <v>83</v>
      </c>
      <c r="C88" s="40" t="str">
        <f t="shared" si="9"/>
        <v>n.a.</v>
      </c>
      <c r="D88" s="40" t="str">
        <f t="shared" si="9"/>
        <v>n.a.</v>
      </c>
      <c r="E88" s="40" t="str">
        <f t="shared" si="9"/>
        <v>n.a.</v>
      </c>
      <c r="F88" s="40" t="str">
        <f t="shared" si="9"/>
        <v>n.a.</v>
      </c>
      <c r="G88" s="40" t="str">
        <f t="shared" si="9"/>
        <v>n.a.</v>
      </c>
      <c r="H88" s="41" t="str">
        <f t="shared" si="9"/>
        <v>n.a.</v>
      </c>
      <c r="I88" s="37" t="s">
        <v>84</v>
      </c>
      <c r="J88" s="1"/>
      <c r="K88" s="1"/>
      <c r="L88" s="1"/>
    </row>
    <row r="89" ht="15" customHeight="1">
      <c r="A89" s="1"/>
      <c r="B89" s="1"/>
      <c r="C89" s="25"/>
      <c r="D89" s="25"/>
      <c r="E89" s="25"/>
      <c r="F89" s="25"/>
      <c r="G89" s="25"/>
      <c r="H89" s="36"/>
      <c r="I89" s="37"/>
      <c r="J89" s="1"/>
      <c r="K89" s="1"/>
      <c r="L89" s="1"/>
    </row>
    <row r="90" ht="15" customHeight="1">
      <c r="A90" s="1"/>
      <c r="B90" s="3" t="s">
        <v>105</v>
      </c>
      <c r="C90" s="25"/>
      <c r="D90" s="25"/>
      <c r="E90" s="25"/>
      <c r="F90" s="25"/>
      <c r="G90" s="25"/>
      <c r="H90" s="36"/>
      <c r="I90" s="37"/>
      <c r="J90" s="1"/>
      <c r="K90" s="1"/>
      <c r="L90" s="1"/>
    </row>
    <row r="91" ht="15" customHeight="1">
      <c r="A91" s="1"/>
      <c r="B91" s="38" t="s">
        <v>106</v>
      </c>
      <c r="C91" s="40" t="s">
        <v>40</v>
      </c>
      <c r="D91" s="40">
        <f t="shared" si="2"/>
        <v>0.11859115798195208</v>
      </c>
      <c r="E91" s="40">
        <f t="shared" si="2"/>
        <v>0.06219902601421623</v>
      </c>
      <c r="F91" s="40">
        <f t="shared" si="2"/>
        <v>0.17124590104912296</v>
      </c>
      <c r="G91" s="40" t="s">
        <v>40</v>
      </c>
      <c r="H91" s="45">
        <v>0.13</v>
      </c>
      <c r="I91" s="37" t="s">
        <v>107</v>
      </c>
      <c r="J91" s="1"/>
      <c r="K91" s="1"/>
      <c r="L91" s="1"/>
    </row>
    <row r="92" ht="15" customHeight="1">
      <c r="A92" s="1"/>
      <c r="B92" s="42" t="s">
        <v>69</v>
      </c>
      <c r="C92" s="43" t="s">
        <v>40</v>
      </c>
      <c r="D92" s="43" t="str">
        <f t="shared" si="1"/>
        <v>n.a.</v>
      </c>
      <c r="E92" s="43">
        <f t="shared" si="1"/>
        <v>-563.9213196773585</v>
      </c>
      <c r="F92" s="43">
        <f t="shared" si="1"/>
        <v>1090.4687503490672</v>
      </c>
      <c r="G92" s="43" t="s">
        <v>40</v>
      </c>
      <c r="H92" s="44">
        <f t="shared" si="3"/>
        <v>-412.45901049122955</v>
      </c>
      <c r="I92" s="37"/>
      <c r="J92" s="1"/>
      <c r="K92" s="1"/>
      <c r="L92" s="1"/>
    </row>
    <row r="93" ht="15" customHeight="1">
      <c r="A93" s="1"/>
      <c r="B93" s="46" t="s">
        <v>108</v>
      </c>
      <c r="C93" s="52">
        <v>1776.608</v>
      </c>
      <c r="D93" s="52">
        <v>1987.298</v>
      </c>
      <c r="E93" s="52">
        <v>2110.906</v>
      </c>
      <c r="F93" s="52">
        <v>2472.39</v>
      </c>
      <c r="G93" s="14">
        <f t="shared" si="12"/>
        <v>8347.202</v>
      </c>
      <c r="H93" s="47">
        <f t="shared" si="13"/>
        <v>2793.8007</v>
      </c>
      <c r="I93" s="37" t="s">
        <v>109</v>
      </c>
      <c r="J93" s="1"/>
      <c r="K93" s="1"/>
      <c r="L93" s="1"/>
    </row>
    <row r="94" ht="15" customHeight="1">
      <c r="A94" s="1"/>
      <c r="B94" s="46" t="s">
        <v>110</v>
      </c>
      <c r="C94" s="52">
        <v>1775.246</v>
      </c>
      <c r="D94" s="52">
        <v>1750.398</v>
      </c>
      <c r="E94" s="52">
        <v>1684.899</v>
      </c>
      <c r="F94" s="52">
        <v>1733.768</v>
      </c>
      <c r="G94" s="52">
        <v>6944.311</v>
      </c>
      <c r="H94" s="47">
        <f>C93</f>
        <v>1776.608</v>
      </c>
      <c r="I94" s="37" t="s">
        <v>111</v>
      </c>
      <c r="J94" s="1"/>
      <c r="K94" s="1"/>
      <c r="L94" s="1"/>
    </row>
    <row r="95" ht="15" customHeight="1">
      <c r="A95" s="1"/>
      <c r="B95" s="38" t="s">
        <v>74</v>
      </c>
      <c r="C95" s="40">
        <f t="shared" si="34" ref="C95:H95">IF(ISNUMBER(C94),C93/C94-1,"n.a.")</f>
        <v>0.0007672176137840658</v>
      </c>
      <c r="D95" s="40">
        <f t="shared" si="34"/>
        <v>0.135340648241143</v>
      </c>
      <c r="E95" s="40">
        <f t="shared" si="34"/>
        <v>0.25283830069339475</v>
      </c>
      <c r="F95" s="40">
        <f t="shared" si="34"/>
        <v>0.42602124390345186</v>
      </c>
      <c r="G95" s="40">
        <f t="shared" si="34"/>
        <v>0.20202018601989447</v>
      </c>
      <c r="H95" s="41">
        <f t="shared" si="34"/>
        <v>0.5725476300905996</v>
      </c>
      <c r="I95" s="37"/>
      <c r="J95" s="1"/>
      <c r="K95" s="1"/>
      <c r="L95" s="1"/>
    </row>
    <row r="96" ht="15" customHeight="1">
      <c r="A96" s="1"/>
      <c r="B96" s="46" t="s">
        <v>75</v>
      </c>
      <c r="C96" s="14" t="s">
        <v>40</v>
      </c>
      <c r="D96" s="14">
        <f t="shared" si="35" ref="D96:F96">IF(AND(ISNUMBER(D93),ISNUMBER(C93)),D93-C93,"n.a.")</f>
        <v>210.69000000000005</v>
      </c>
      <c r="E96" s="14">
        <f t="shared" si="35"/>
        <v>123.60799999999995</v>
      </c>
      <c r="F96" s="14">
        <f t="shared" si="35"/>
        <v>361.4839999999999</v>
      </c>
      <c r="G96" s="14" t="s">
        <v>40</v>
      </c>
      <c r="H96" s="47">
        <f>IF(AND(ISNUMBER(H93),ISNUMBER(F93)),H93-F93,"n.a.")</f>
        <v>321.4106999999999</v>
      </c>
      <c r="I96" s="37"/>
      <c r="J96" s="1"/>
      <c r="K96" s="1"/>
      <c r="L96" s="1"/>
    </row>
    <row r="97" ht="15" customHeight="1">
      <c r="A97" s="1"/>
      <c r="B97" s="38" t="s">
        <v>76</v>
      </c>
      <c r="C97" s="40" t="s">
        <v>40</v>
      </c>
      <c r="D97" s="40">
        <f t="shared" si="36" ref="D97:F97">IF(AND(ISNUMBER(D93),ISNUMBER(C93)),D93/C93-1,"n.a.")</f>
        <v>0.11859115798195208</v>
      </c>
      <c r="E97" s="40">
        <f t="shared" si="36"/>
        <v>0.06219902601421623</v>
      </c>
      <c r="F97" s="40">
        <f t="shared" si="36"/>
        <v>0.17124590104912296</v>
      </c>
      <c r="G97" s="40" t="s">
        <v>40</v>
      </c>
      <c r="H97" s="41">
        <f>IF(AND(ISNUMBER(H93),ISNUMBER(F93)),H93/F93-1,"n.a.")</f>
        <v>0.1299999999999999</v>
      </c>
      <c r="I97" s="37"/>
      <c r="J97" s="1"/>
      <c r="K97" s="1"/>
      <c r="L97" s="1"/>
    </row>
    <row r="98" ht="15" customHeight="1">
      <c r="A98" s="1"/>
      <c r="B98" s="38" t="s">
        <v>77</v>
      </c>
      <c r="C98" s="40">
        <f t="shared" si="37" ref="C98:H98">C93/C106</f>
        <v>0.33368712849864196</v>
      </c>
      <c r="D98" s="40">
        <f t="shared" si="37"/>
        <v>0.371819590326357</v>
      </c>
      <c r="E98" s="40">
        <f t="shared" si="37"/>
        <v>0.361364433171822</v>
      </c>
      <c r="F98" s="40">
        <f t="shared" si="37"/>
        <v>0.3677926904700488</v>
      </c>
      <c r="G98" s="40">
        <f t="shared" si="37"/>
        <v>0.35928693577885296</v>
      </c>
      <c r="H98" s="41">
        <f t="shared" si="37"/>
        <v>0.3386699894881419</v>
      </c>
      <c r="I98" s="37"/>
      <c r="J98" s="1"/>
      <c r="K98" s="1"/>
      <c r="L98" s="1"/>
    </row>
    <row r="99" ht="15" customHeight="1">
      <c r="A99" s="1"/>
      <c r="B99" s="38" t="s">
        <v>78</v>
      </c>
      <c r="C99" s="40">
        <f t="shared" si="8"/>
        <v>0.0007672176137840658</v>
      </c>
      <c r="D99" s="40">
        <f t="shared" si="8"/>
        <v>0.135340648241143</v>
      </c>
      <c r="E99" s="40">
        <f t="shared" si="8"/>
        <v>0.25283830069339475</v>
      </c>
      <c r="F99" s="40">
        <f t="shared" si="8"/>
        <v>0.42602124390345186</v>
      </c>
      <c r="G99" s="40">
        <f t="shared" si="8"/>
        <v>0.20202018601989447</v>
      </c>
      <c r="H99" s="41">
        <f t="shared" si="8"/>
        <v>0.5725476300905996</v>
      </c>
      <c r="I99" s="37"/>
      <c r="J99" s="1"/>
      <c r="K99" s="1"/>
      <c r="L99" s="1"/>
    </row>
    <row r="100" ht="15" customHeight="1">
      <c r="A100" s="1"/>
      <c r="B100" s="38" t="s">
        <v>79</v>
      </c>
      <c r="C100" s="40" t="s">
        <v>80</v>
      </c>
      <c r="D100" s="40" t="s">
        <v>80</v>
      </c>
      <c r="E100" s="40" t="s">
        <v>80</v>
      </c>
      <c r="F100" s="40" t="s">
        <v>80</v>
      </c>
      <c r="G100" s="40" t="s">
        <v>80</v>
      </c>
      <c r="H100" s="41" t="s">
        <v>80</v>
      </c>
      <c r="I100" s="37" t="s">
        <v>81</v>
      </c>
      <c r="J100" s="1"/>
      <c r="K100" s="1"/>
      <c r="L100" s="1"/>
    </row>
    <row r="101" ht="15" customHeight="1">
      <c r="A101" s="1"/>
      <c r="B101" s="38" t="s">
        <v>82</v>
      </c>
      <c r="C101" s="40" t="s">
        <v>80</v>
      </c>
      <c r="D101" s="40" t="s">
        <v>80</v>
      </c>
      <c r="E101" s="40" t="s">
        <v>80</v>
      </c>
      <c r="F101" s="40" t="s">
        <v>80</v>
      </c>
      <c r="G101" s="40" t="s">
        <v>80</v>
      </c>
      <c r="H101" s="41" t="s">
        <v>80</v>
      </c>
      <c r="I101" s="37" t="s">
        <v>81</v>
      </c>
      <c r="J101" s="1"/>
      <c r="K101" s="1"/>
      <c r="L101" s="1"/>
    </row>
    <row r="102" ht="15" customHeight="1">
      <c r="A102" s="1"/>
      <c r="B102" s="38" t="s">
        <v>83</v>
      </c>
      <c r="C102" s="40" t="str">
        <f t="shared" si="9"/>
        <v>n.a.</v>
      </c>
      <c r="D102" s="40" t="str">
        <f t="shared" si="9"/>
        <v>n.a.</v>
      </c>
      <c r="E102" s="40" t="str">
        <f t="shared" si="9"/>
        <v>n.a.</v>
      </c>
      <c r="F102" s="40" t="str">
        <f t="shared" si="9"/>
        <v>n.a.</v>
      </c>
      <c r="G102" s="40" t="str">
        <f t="shared" si="9"/>
        <v>n.a.</v>
      </c>
      <c r="H102" s="41" t="str">
        <f t="shared" si="9"/>
        <v>n.a.</v>
      </c>
      <c r="I102" s="37" t="s">
        <v>84</v>
      </c>
      <c r="J102" s="1"/>
      <c r="K102" s="1"/>
      <c r="L102" s="1"/>
    </row>
    <row r="103" ht="15" customHeight="1">
      <c r="A103" s="1"/>
      <c r="B103" s="46" t="s">
        <v>112</v>
      </c>
      <c r="C103" s="14" t="s">
        <v>80</v>
      </c>
      <c r="D103" s="14" t="s">
        <v>80</v>
      </c>
      <c r="E103" s="14" t="s">
        <v>80</v>
      </c>
      <c r="F103" s="14" t="s">
        <v>80</v>
      </c>
      <c r="G103" s="14" t="s">
        <v>80</v>
      </c>
      <c r="H103" s="47" t="s">
        <v>80</v>
      </c>
      <c r="I103" s="37" t="s">
        <v>113</v>
      </c>
      <c r="J103" s="1"/>
      <c r="K103" s="1"/>
      <c r="L103" s="1"/>
    </row>
    <row r="104" ht="15" customHeight="1">
      <c r="A104" s="1"/>
      <c r="B104" s="1"/>
      <c r="C104" s="25"/>
      <c r="D104" s="25"/>
      <c r="E104" s="25"/>
      <c r="F104" s="25"/>
      <c r="G104" s="25"/>
      <c r="H104" s="36"/>
      <c r="I104" s="37"/>
      <c r="J104" s="1"/>
      <c r="K104" s="1"/>
      <c r="L104" s="1"/>
    </row>
    <row r="105" ht="15" customHeight="1">
      <c r="A105" s="1"/>
      <c r="B105" s="3" t="s">
        <v>114</v>
      </c>
      <c r="C105" s="25"/>
      <c r="D105" s="25"/>
      <c r="E105" s="25"/>
      <c r="F105" s="25"/>
      <c r="G105" s="25"/>
      <c r="H105" s="36"/>
      <c r="I105" s="37"/>
      <c r="J105" s="1"/>
      <c r="K105" s="1"/>
      <c r="L105" s="1"/>
    </row>
    <row r="106" ht="15" customHeight="1">
      <c r="A106" s="1"/>
      <c r="B106" s="48" t="s">
        <v>114</v>
      </c>
      <c r="C106" s="49">
        <f t="shared" si="38" ref="C106:H106">C78+C93</f>
        <v>5324.173</v>
      </c>
      <c r="D106" s="49">
        <f t="shared" si="38"/>
        <v>5344.791</v>
      </c>
      <c r="E106" s="49">
        <f t="shared" si="38"/>
        <v>5841.487999999999</v>
      </c>
      <c r="F106" s="49">
        <f t="shared" si="38"/>
        <v>6722.237999999999</v>
      </c>
      <c r="G106" s="49">
        <f t="shared" si="38"/>
        <v>23232.69</v>
      </c>
      <c r="H106" s="50">
        <f t="shared" si="38"/>
        <v>8249.3305776</v>
      </c>
      <c r="I106" s="37"/>
      <c r="J106" s="1"/>
      <c r="K106" s="1"/>
      <c r="L106" s="1"/>
    </row>
    <row r="107" ht="15" customHeight="1">
      <c r="A107" s="1"/>
      <c r="B107" s="46" t="s">
        <v>115</v>
      </c>
      <c r="C107" s="52">
        <v>5324.173</v>
      </c>
      <c r="D107" s="52">
        <v>5344.791</v>
      </c>
      <c r="E107" s="52">
        <v>5841.488</v>
      </c>
      <c r="F107" s="52">
        <v>6722.238</v>
      </c>
      <c r="G107" s="52">
        <v>23232.69</v>
      </c>
      <c r="H107" s="47" t="s">
        <v>40</v>
      </c>
      <c r="I107" s="37" t="s">
        <v>116</v>
      </c>
      <c r="J107" s="1"/>
      <c r="K107" s="1"/>
      <c r="L107" s="1"/>
    </row>
    <row r="108" ht="15" customHeight="1">
      <c r="A108" s="1"/>
      <c r="B108" s="1" t="s">
        <v>117</v>
      </c>
      <c r="C108" s="14" t="b">
        <f t="shared" si="39" ref="C108:G108">ABS(C106-C107)&lt;0.001</f>
        <v>1</v>
      </c>
      <c r="D108" s="14" t="b">
        <f t="shared" si="39"/>
        <v>1</v>
      </c>
      <c r="E108" s="14" t="b">
        <f t="shared" si="39"/>
        <v>1</v>
      </c>
      <c r="F108" s="14" t="b">
        <f t="shared" si="39"/>
        <v>1</v>
      </c>
      <c r="G108" s="14" t="b">
        <f t="shared" si="39"/>
        <v>1</v>
      </c>
      <c r="H108" s="36" t="s">
        <v>40</v>
      </c>
      <c r="I108" s="37"/>
      <c r="J108" s="1"/>
      <c r="K108" s="1"/>
      <c r="L108" s="1"/>
    </row>
    <row r="109" ht="15" customHeight="1">
      <c r="A109" s="1"/>
      <c r="B109" s="46" t="s">
        <v>118</v>
      </c>
      <c r="C109" s="13">
        <f>Inputs!I105</f>
        <v>5324.17</v>
      </c>
      <c r="D109" s="13">
        <f>Inputs!I106</f>
        <v>5344.79</v>
      </c>
      <c r="E109" s="13">
        <f>Inputs!I107</f>
        <v>5841.49</v>
      </c>
      <c r="F109" s="13">
        <f>Inputs!I108</f>
        <v>6722.24</v>
      </c>
      <c r="G109" s="14" t="s">
        <v>40</v>
      </c>
      <c r="H109" s="47" t="s">
        <v>40</v>
      </c>
      <c r="I109" s="37" t="s">
        <v>119</v>
      </c>
      <c r="J109" s="1"/>
      <c r="K109" s="1"/>
      <c r="L109" s="1"/>
    </row>
    <row r="110" ht="15" customHeight="1">
      <c r="A110" s="1"/>
      <c r="B110" s="1" t="s">
        <v>120</v>
      </c>
      <c r="C110" s="14" t="b">
        <f t="shared" si="40" ref="C110:F110">ABS(C106-C109)&lt;0.01</f>
        <v>1</v>
      </c>
      <c r="D110" s="14" t="b">
        <f t="shared" si="40"/>
        <v>1</v>
      </c>
      <c r="E110" s="14" t="b">
        <f t="shared" si="40"/>
        <v>1</v>
      </c>
      <c r="F110" s="14" t="b">
        <f t="shared" si="40"/>
        <v>1</v>
      </c>
      <c r="G110" s="25" t="s">
        <v>40</v>
      </c>
      <c r="H110" s="36" t="s">
        <v>40</v>
      </c>
      <c r="I110" s="37"/>
      <c r="J110" s="1"/>
      <c r="K110" s="1"/>
      <c r="L110" s="1"/>
    </row>
    <row r="111" ht="15" customHeight="1">
      <c r="A111" s="1"/>
      <c r="B111" s="1" t="s">
        <v>121</v>
      </c>
      <c r="C111" s="25" t="s">
        <v>40</v>
      </c>
      <c r="D111" s="25" t="s">
        <v>40</v>
      </c>
      <c r="E111" s="25" t="s">
        <v>40</v>
      </c>
      <c r="F111" s="25" t="s">
        <v>40</v>
      </c>
      <c r="G111" s="14" t="b">
        <f>ABS(G106-SUM(C106:F106))&lt;0.001</f>
        <v>1</v>
      </c>
      <c r="H111" s="36" t="s">
        <v>40</v>
      </c>
      <c r="I111" s="37"/>
      <c r="J111" s="1"/>
      <c r="K111" s="1"/>
      <c r="L111" s="1"/>
    </row>
    <row r="112" ht="15" customHeight="1">
      <c r="A112" s="1"/>
      <c r="B112" s="46" t="s">
        <v>122</v>
      </c>
      <c r="C112" s="52">
        <v>4167.976</v>
      </c>
      <c r="D112" s="52">
        <v>4376.047</v>
      </c>
      <c r="E112" s="52">
        <v>4720.175</v>
      </c>
      <c r="F112" s="52">
        <v>5171.393</v>
      </c>
      <c r="G112" s="52">
        <v>18435.591</v>
      </c>
      <c r="H112" s="47">
        <f>C106</f>
        <v>5324.173</v>
      </c>
      <c r="I112" s="37" t="s">
        <v>104</v>
      </c>
      <c r="J112" s="1"/>
      <c r="K112" s="1"/>
      <c r="L112" s="1"/>
    </row>
    <row r="113" ht="15" customHeight="1">
      <c r="A113" s="1"/>
      <c r="B113" s="38" t="s">
        <v>74</v>
      </c>
      <c r="C113" s="40">
        <f t="shared" si="41" ref="C113:H113">IF(ISNUMBER(C112),C106/C112-1,"n.a.")</f>
        <v>0.2774001097894998</v>
      </c>
      <c r="D113" s="40">
        <f t="shared" si="41"/>
        <v>0.22137422198619006</v>
      </c>
      <c r="E113" s="40">
        <f t="shared" si="41"/>
        <v>0.23755750581281387</v>
      </c>
      <c r="F113" s="40">
        <f t="shared" si="41"/>
        <v>0.2998892174700316</v>
      </c>
      <c r="G113" s="40">
        <f t="shared" si="41"/>
        <v>0.2602085824099698</v>
      </c>
      <c r="H113" s="41">
        <f t="shared" si="41"/>
        <v>0.5494106930034017</v>
      </c>
      <c r="I113" s="37"/>
      <c r="J113" s="1"/>
      <c r="K113" s="1"/>
      <c r="L113" s="1"/>
    </row>
    <row r="114" ht="15" customHeight="1">
      <c r="A114" s="1"/>
      <c r="B114" s="46" t="s">
        <v>75</v>
      </c>
      <c r="C114" s="14" t="s">
        <v>40</v>
      </c>
      <c r="D114" s="14">
        <f t="shared" si="42" ref="D114:F114">IF(AND(ISNUMBER(D106),ISNUMBER(C106)),D106-C106,"n.a.")</f>
        <v>20.618000000000393</v>
      </c>
      <c r="E114" s="14">
        <f t="shared" si="42"/>
        <v>496.6969999999992</v>
      </c>
      <c r="F114" s="14">
        <f t="shared" si="42"/>
        <v>880.75</v>
      </c>
      <c r="G114" s="14" t="s">
        <v>40</v>
      </c>
      <c r="H114" s="47">
        <f>IF(AND(ISNUMBER(H106),ISNUMBER(F106)),H106-F106,"n.a.")</f>
        <v>1527.0925776000004</v>
      </c>
      <c r="I114" s="37"/>
      <c r="J114" s="1"/>
      <c r="K114" s="1"/>
      <c r="L114" s="1"/>
    </row>
    <row r="115" ht="15" customHeight="1">
      <c r="A115" s="1"/>
      <c r="B115" s="38" t="s">
        <v>76</v>
      </c>
      <c r="C115" s="40" t="s">
        <v>40</v>
      </c>
      <c r="D115" s="40">
        <f t="shared" si="43" ref="D115:F115">IF(AND(ISNUMBER(D106),ISNUMBER(C106)),D106/C106-1,"n.a.")</f>
        <v>0.003872526305963353</v>
      </c>
      <c r="E115" s="40">
        <f t="shared" si="43"/>
        <v>0.09293104257958817</v>
      </c>
      <c r="F115" s="40">
        <f t="shared" si="43"/>
        <v>0.1507749395359539</v>
      </c>
      <c r="G115" s="40" t="s">
        <v>40</v>
      </c>
      <c r="H115" s="41">
        <f>IF(AND(ISNUMBER(H106),ISNUMBER(F106)),H106/F106-1,"n.a.")</f>
        <v>0.22717026347475366</v>
      </c>
      <c r="I115" s="37"/>
      <c r="J115" s="1"/>
      <c r="K115" s="1"/>
      <c r="L115" s="1"/>
    </row>
    <row r="116" ht="15" customHeight="1">
      <c r="A116" s="1"/>
      <c r="B116" s="38" t="s">
        <v>77</v>
      </c>
      <c r="C116" s="40">
        <f t="shared" si="44" ref="C116:H116">C106/C106</f>
        <v>1</v>
      </c>
      <c r="D116" s="40">
        <f t="shared" si="44"/>
        <v>1</v>
      </c>
      <c r="E116" s="40">
        <f t="shared" si="44"/>
        <v>1</v>
      </c>
      <c r="F116" s="40">
        <f t="shared" si="44"/>
        <v>1</v>
      </c>
      <c r="G116" s="40">
        <f t="shared" si="44"/>
        <v>1</v>
      </c>
      <c r="H116" s="41">
        <f t="shared" si="44"/>
        <v>1</v>
      </c>
      <c r="I116" s="37"/>
      <c r="J116" s="1"/>
      <c r="K116" s="1"/>
      <c r="L116" s="1"/>
    </row>
    <row r="117" ht="15" customHeight="1">
      <c r="A117" s="1"/>
      <c r="B117" s="38" t="s">
        <v>78</v>
      </c>
      <c r="C117" s="40">
        <f t="shared" si="8"/>
        <v>0.2774001097894998</v>
      </c>
      <c r="D117" s="40">
        <f t="shared" si="8"/>
        <v>0.22137422198619006</v>
      </c>
      <c r="E117" s="40">
        <f t="shared" si="8"/>
        <v>0.23755750581281387</v>
      </c>
      <c r="F117" s="40">
        <f t="shared" si="8"/>
        <v>0.2998892174700316</v>
      </c>
      <c r="G117" s="40">
        <f t="shared" si="8"/>
        <v>0.2602085824099698</v>
      </c>
      <c r="H117" s="41">
        <f t="shared" si="8"/>
        <v>0.5494106930034017</v>
      </c>
      <c r="I117" s="37"/>
      <c r="J117" s="1"/>
      <c r="K117" s="1"/>
      <c r="L117" s="1"/>
    </row>
    <row r="118" ht="15" customHeight="1">
      <c r="A118" s="1"/>
      <c r="B118" s="38" t="s">
        <v>79</v>
      </c>
      <c r="C118" s="40" t="s">
        <v>80</v>
      </c>
      <c r="D118" s="40" t="s">
        <v>80</v>
      </c>
      <c r="E118" s="40" t="s">
        <v>80</v>
      </c>
      <c r="F118" s="40" t="s">
        <v>80</v>
      </c>
      <c r="G118" s="40" t="s">
        <v>80</v>
      </c>
      <c r="H118" s="41" t="s">
        <v>80</v>
      </c>
      <c r="I118" s="37" t="s">
        <v>81</v>
      </c>
      <c r="J118" s="1"/>
      <c r="K118" s="1"/>
      <c r="L118" s="1"/>
    </row>
    <row r="119" ht="15" customHeight="1">
      <c r="A119" s="1"/>
      <c r="B119" s="38" t="s">
        <v>82</v>
      </c>
      <c r="C119" s="40" t="s">
        <v>80</v>
      </c>
      <c r="D119" s="40" t="s">
        <v>80</v>
      </c>
      <c r="E119" s="40" t="s">
        <v>80</v>
      </c>
      <c r="F119" s="40" t="s">
        <v>80</v>
      </c>
      <c r="G119" s="40" t="s">
        <v>80</v>
      </c>
      <c r="H119" s="41" t="s">
        <v>80</v>
      </c>
      <c r="I119" s="37" t="s">
        <v>81</v>
      </c>
      <c r="J119" s="1"/>
      <c r="K119" s="1"/>
      <c r="L119" s="1"/>
    </row>
    <row r="120" ht="15" customHeight="1">
      <c r="A120" s="1"/>
      <c r="B120" s="38" t="s">
        <v>83</v>
      </c>
      <c r="C120" s="40" t="str">
        <f t="shared" si="9"/>
        <v>n.a.</v>
      </c>
      <c r="D120" s="40" t="str">
        <f t="shared" si="9"/>
        <v>n.a.</v>
      </c>
      <c r="E120" s="40" t="str">
        <f t="shared" si="9"/>
        <v>n.a.</v>
      </c>
      <c r="F120" s="40" t="str">
        <f t="shared" si="9"/>
        <v>n.a.</v>
      </c>
      <c r="G120" s="40" t="str">
        <f t="shared" si="9"/>
        <v>n.a.</v>
      </c>
      <c r="H120" s="41" t="str">
        <f t="shared" si="9"/>
        <v>n.a.</v>
      </c>
      <c r="I120" s="37" t="s">
        <v>84</v>
      </c>
      <c r="J120" s="1"/>
      <c r="K120" s="1"/>
      <c r="L120" s="1"/>
    </row>
    <row r="121" ht="15" customHeight="1">
      <c r="A121" s="1"/>
      <c r="B121" s="1"/>
      <c r="C121" s="25"/>
      <c r="D121" s="25"/>
      <c r="E121" s="25"/>
      <c r="F121" s="25"/>
      <c r="G121" s="25"/>
      <c r="H121" s="36"/>
      <c r="I121" s="37"/>
      <c r="J121" s="1"/>
      <c r="K121" s="1"/>
      <c r="L121" s="1"/>
    </row>
    <row r="122" ht="15" customHeight="1">
      <c r="A122" s="1"/>
      <c r="B122" s="3" t="s">
        <v>123</v>
      </c>
      <c r="C122" s="25"/>
      <c r="D122" s="25"/>
      <c r="E122" s="25"/>
      <c r="F122" s="25"/>
      <c r="G122" s="25"/>
      <c r="H122" s="36"/>
      <c r="I122" s="37"/>
      <c r="J122" s="1"/>
      <c r="K122" s="1"/>
      <c r="L122" s="1"/>
    </row>
    <row r="123" ht="15" customHeight="1">
      <c r="A123" s="1"/>
      <c r="B123" s="46" t="s">
        <v>124</v>
      </c>
      <c r="C123" s="52">
        <v>2681</v>
      </c>
      <c r="D123" s="14">
        <f t="shared" si="45" ref="D123:F128">C125</f>
        <v>2770</v>
      </c>
      <c r="E123" s="14">
        <f t="shared" si="45"/>
        <v>2250</v>
      </c>
      <c r="F123" s="14">
        <f t="shared" si="45"/>
        <v>2220</v>
      </c>
      <c r="G123" s="14">
        <f t="shared" si="48" ref="G123:G128">C123</f>
        <v>2681</v>
      </c>
      <c r="H123" s="47">
        <f t="shared" si="49" ref="H123:H128">F125</f>
        <v>2430</v>
      </c>
      <c r="I123" s="37" t="s">
        <v>125</v>
      </c>
      <c r="J123" s="1"/>
      <c r="K123" s="1"/>
      <c r="L123" s="1"/>
    </row>
    <row r="124" ht="15" customHeight="1">
      <c r="A124" s="1"/>
      <c r="B124" s="46" t="s">
        <v>126</v>
      </c>
      <c r="C124" s="14">
        <f t="shared" si="46" ref="C124:G129">C125-C123</f>
        <v>89</v>
      </c>
      <c r="D124" s="14">
        <f t="shared" si="46"/>
        <v>-520</v>
      </c>
      <c r="E124" s="14">
        <f t="shared" si="46"/>
        <v>-30</v>
      </c>
      <c r="F124" s="14">
        <f t="shared" si="46"/>
        <v>210</v>
      </c>
      <c r="G124" s="14">
        <f t="shared" si="46"/>
        <v>-251</v>
      </c>
      <c r="H124" s="47" t="s">
        <v>127</v>
      </c>
      <c r="I124" s="37"/>
      <c r="J124" s="1"/>
      <c r="K124" s="1"/>
      <c r="L124" s="1"/>
    </row>
    <row r="125" ht="15" customHeight="1">
      <c r="A125" s="1"/>
      <c r="B125" s="46" t="s">
        <v>128</v>
      </c>
      <c r="C125" s="52">
        <v>2770</v>
      </c>
      <c r="D125" s="52">
        <v>2250</v>
      </c>
      <c r="E125" s="52">
        <v>2220</v>
      </c>
      <c r="F125" s="52">
        <v>2430</v>
      </c>
      <c r="G125" s="14">
        <f t="shared" si="50" ref="G125:G136">F125</f>
        <v>2430</v>
      </c>
      <c r="H125" s="47" t="s">
        <v>127</v>
      </c>
      <c r="I125" s="37" t="s">
        <v>129</v>
      </c>
      <c r="J125" s="1"/>
      <c r="K125" s="1"/>
      <c r="L125" s="1"/>
    </row>
    <row r="126" ht="15" customHeight="1">
      <c r="A126" s="1"/>
      <c r="B126" s="46" t="s">
        <v>130</v>
      </c>
      <c r="C126" s="14">
        <f t="shared" si="47" ref="C126:F131">(C123+C125)/2</f>
        <v>2725.5</v>
      </c>
      <c r="D126" s="14">
        <f t="shared" si="47"/>
        <v>2510</v>
      </c>
      <c r="E126" s="14">
        <f t="shared" si="47"/>
        <v>2235</v>
      </c>
      <c r="F126" s="14">
        <f t="shared" si="47"/>
        <v>2325</v>
      </c>
      <c r="G126" s="14">
        <f t="shared" si="51" ref="G126:G131">AVERAGE(C126:F126)</f>
        <v>2448.875</v>
      </c>
      <c r="H126" s="47" t="s">
        <v>127</v>
      </c>
      <c r="I126" s="37" t="s">
        <v>131</v>
      </c>
      <c r="J126" s="1"/>
      <c r="K126" s="1"/>
      <c r="L126" s="1"/>
    </row>
    <row r="127" ht="15" customHeight="1">
      <c r="A127" s="1"/>
      <c r="B127" s="38" t="s">
        <v>132</v>
      </c>
      <c r="C127" s="40" t="s">
        <v>40</v>
      </c>
      <c r="D127" s="40" t="s">
        <v>40</v>
      </c>
      <c r="E127" s="40" t="s">
        <v>40</v>
      </c>
      <c r="F127" s="40" t="s">
        <v>40</v>
      </c>
      <c r="G127" s="40" t="s">
        <v>40</v>
      </c>
      <c r="H127" s="41" t="s">
        <v>40</v>
      </c>
      <c r="I127" s="37" t="s">
        <v>133</v>
      </c>
      <c r="J127" s="1"/>
      <c r="K127" s="1"/>
      <c r="L127" s="1"/>
    </row>
    <row r="128" ht="15" customHeight="1">
      <c r="A128" s="1"/>
      <c r="B128" s="46" t="s">
        <v>134</v>
      </c>
      <c r="C128" s="52">
        <v>342</v>
      </c>
      <c r="D128" s="14">
        <f t="shared" si="45"/>
        <v>131</v>
      </c>
      <c r="E128" s="14">
        <f t="shared" si="45"/>
        <v>226</v>
      </c>
      <c r="F128" s="14">
        <f t="shared" si="45"/>
        <v>434.3</v>
      </c>
      <c r="G128" s="14">
        <f t="shared" si="48"/>
        <v>342</v>
      </c>
      <c r="H128" s="47">
        <f t="shared" si="49"/>
        <v>490.2</v>
      </c>
      <c r="I128" s="37" t="s">
        <v>135</v>
      </c>
      <c r="J128" s="1"/>
      <c r="K128" s="1"/>
      <c r="L128" s="1"/>
    </row>
    <row r="129" ht="15" customHeight="1">
      <c r="A129" s="1"/>
      <c r="B129" s="46" t="s">
        <v>126</v>
      </c>
      <c r="C129" s="14">
        <f t="shared" si="46"/>
        <v>-211</v>
      </c>
      <c r="D129" s="14">
        <f t="shared" si="46"/>
        <v>95</v>
      </c>
      <c r="E129" s="14">
        <f t="shared" si="46"/>
        <v>208.3</v>
      </c>
      <c r="F129" s="14">
        <f t="shared" si="46"/>
        <v>55.89999999999998</v>
      </c>
      <c r="G129" s="14">
        <f t="shared" si="46"/>
        <v>148.2</v>
      </c>
      <c r="H129" s="47" t="s">
        <v>127</v>
      </c>
      <c r="I129" s="37"/>
      <c r="J129" s="1"/>
      <c r="K129" s="1"/>
      <c r="L129" s="1"/>
    </row>
    <row r="130" ht="15" customHeight="1">
      <c r="A130" s="1"/>
      <c r="B130" s="46" t="s">
        <v>136</v>
      </c>
      <c r="C130" s="52">
        <v>131</v>
      </c>
      <c r="D130" s="52">
        <v>226</v>
      </c>
      <c r="E130" s="52">
        <v>434.3</v>
      </c>
      <c r="F130" s="52">
        <v>490.2</v>
      </c>
      <c r="G130" s="14">
        <f t="shared" si="50"/>
        <v>490.2</v>
      </c>
      <c r="H130" s="47" t="s">
        <v>127</v>
      </c>
      <c r="I130" s="37" t="s">
        <v>137</v>
      </c>
      <c r="J130" s="1"/>
      <c r="K130" s="1"/>
      <c r="L130" s="1"/>
    </row>
    <row r="131" ht="15" customHeight="1">
      <c r="A131" s="1"/>
      <c r="B131" s="46" t="s">
        <v>138</v>
      </c>
      <c r="C131" s="14">
        <f t="shared" si="47"/>
        <v>236.5</v>
      </c>
      <c r="D131" s="14">
        <f t="shared" si="47"/>
        <v>178.5</v>
      </c>
      <c r="E131" s="14">
        <f t="shared" si="47"/>
        <v>330.15</v>
      </c>
      <c r="F131" s="14">
        <f t="shared" si="47"/>
        <v>462.25</v>
      </c>
      <c r="G131" s="14">
        <f t="shared" si="51"/>
        <v>301.85</v>
      </c>
      <c r="H131" s="47" t="s">
        <v>127</v>
      </c>
      <c r="I131" s="37" t="s">
        <v>131</v>
      </c>
      <c r="J131" s="1"/>
      <c r="K131" s="1"/>
      <c r="L131" s="1"/>
    </row>
    <row r="132" ht="15" customHeight="1">
      <c r="A132" s="1"/>
      <c r="B132" s="38" t="s">
        <v>132</v>
      </c>
      <c r="C132" s="40" t="s">
        <v>40</v>
      </c>
      <c r="D132" s="40" t="s">
        <v>40</v>
      </c>
      <c r="E132" s="40" t="s">
        <v>40</v>
      </c>
      <c r="F132" s="40" t="s">
        <v>40</v>
      </c>
      <c r="G132" s="40" t="s">
        <v>40</v>
      </c>
      <c r="H132" s="41" t="s">
        <v>40</v>
      </c>
      <c r="I132" s="37" t="s">
        <v>139</v>
      </c>
      <c r="J132" s="1"/>
      <c r="K132" s="1"/>
      <c r="L132" s="1"/>
    </row>
    <row r="133" ht="15" customHeight="1">
      <c r="A133" s="1"/>
      <c r="B133" s="46" t="s">
        <v>140</v>
      </c>
      <c r="C133" s="14" t="s">
        <v>80</v>
      </c>
      <c r="D133" s="52">
        <v>135</v>
      </c>
      <c r="E133" s="52">
        <v>140</v>
      </c>
      <c r="F133" s="52">
        <v>150</v>
      </c>
      <c r="G133" s="14">
        <f t="shared" si="50"/>
        <v>150</v>
      </c>
      <c r="H133" s="53">
        <v>150</v>
      </c>
      <c r="I133" s="37" t="s">
        <v>141</v>
      </c>
      <c r="J133" s="1"/>
      <c r="K133" s="1"/>
      <c r="L133" s="1"/>
    </row>
    <row r="134" ht="15" customHeight="1">
      <c r="A134" s="1"/>
      <c r="B134" s="46" t="s">
        <v>142</v>
      </c>
      <c r="C134" s="14" t="s">
        <v>40</v>
      </c>
      <c r="D134" s="14" t="s">
        <v>40</v>
      </c>
      <c r="E134" s="14">
        <f t="shared" si="52" ref="E134:F137">E133-D133</f>
        <v>5</v>
      </c>
      <c r="F134" s="14">
        <f t="shared" si="52"/>
        <v>10</v>
      </c>
      <c r="G134" s="14" t="s">
        <v>40</v>
      </c>
      <c r="H134" s="47">
        <f>H133-F133</f>
        <v>0</v>
      </c>
      <c r="I134" s="37"/>
      <c r="J134" s="1"/>
      <c r="K134" s="1"/>
      <c r="L134" s="1"/>
    </row>
    <row r="135" ht="15" customHeight="1">
      <c r="A135" s="1"/>
      <c r="B135" s="38" t="s">
        <v>74</v>
      </c>
      <c r="C135" s="40" t="s">
        <v>40</v>
      </c>
      <c r="D135" s="40" t="s">
        <v>40</v>
      </c>
      <c r="E135" s="40" t="s">
        <v>40</v>
      </c>
      <c r="F135" s="40" t="s">
        <v>40</v>
      </c>
      <c r="G135" s="40" t="s">
        <v>40</v>
      </c>
      <c r="H135" s="41" t="s">
        <v>40</v>
      </c>
      <c r="I135" s="37"/>
      <c r="J135" s="1"/>
      <c r="K135" s="1"/>
      <c r="L135" s="1"/>
    </row>
    <row r="136" ht="15" customHeight="1">
      <c r="A136" s="1"/>
      <c r="B136" s="54" t="s">
        <v>143</v>
      </c>
      <c r="C136" s="55" t="s">
        <v>80</v>
      </c>
      <c r="D136" s="55" t="s">
        <v>80</v>
      </c>
      <c r="E136" s="56">
        <v>20600</v>
      </c>
      <c r="F136" s="56">
        <v>22400</v>
      </c>
      <c r="G136" s="55">
        <f t="shared" si="50"/>
        <v>22400</v>
      </c>
      <c r="H136" s="57" t="s">
        <v>127</v>
      </c>
      <c r="I136" s="37" t="s">
        <v>144</v>
      </c>
      <c r="J136" s="1"/>
      <c r="K136" s="1"/>
      <c r="L136" s="1"/>
    </row>
    <row r="137" ht="15" customHeight="1">
      <c r="A137" s="1"/>
      <c r="B137" s="54" t="s">
        <v>145</v>
      </c>
      <c r="C137" s="55" t="s">
        <v>40</v>
      </c>
      <c r="D137" s="55" t="s">
        <v>40</v>
      </c>
      <c r="E137" s="55" t="s">
        <v>40</v>
      </c>
      <c r="F137" s="55">
        <f t="shared" si="52"/>
        <v>1800</v>
      </c>
      <c r="G137" s="55" t="s">
        <v>40</v>
      </c>
      <c r="H137" s="57" t="s">
        <v>40</v>
      </c>
      <c r="I137" s="37"/>
      <c r="J137" s="1"/>
      <c r="K137" s="1"/>
      <c r="L137" s="1"/>
    </row>
    <row r="138" ht="15" customHeight="1">
      <c r="A138" s="1"/>
      <c r="B138" s="38" t="s">
        <v>74</v>
      </c>
      <c r="C138" s="40" t="s">
        <v>40</v>
      </c>
      <c r="D138" s="40" t="s">
        <v>40</v>
      </c>
      <c r="E138" s="40" t="s">
        <v>40</v>
      </c>
      <c r="F138" s="40" t="s">
        <v>40</v>
      </c>
      <c r="G138" s="40" t="s">
        <v>40</v>
      </c>
      <c r="H138" s="41" t="s">
        <v>40</v>
      </c>
      <c r="I138" s="37"/>
      <c r="J138" s="1"/>
      <c r="K138" s="1"/>
      <c r="L138" s="1"/>
    </row>
    <row r="139" ht="15" customHeight="1">
      <c r="A139" s="1"/>
      <c r="B139" s="1" t="s">
        <v>146</v>
      </c>
      <c r="C139" s="25"/>
      <c r="D139" s="25"/>
      <c r="E139" s="25"/>
      <c r="F139" s="25"/>
      <c r="G139" s="25"/>
      <c r="H139" s="36"/>
      <c r="I139" s="37"/>
      <c r="J139" s="1"/>
      <c r="K139" s="1"/>
      <c r="L139" s="1"/>
    </row>
    <row r="140" ht="1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ht="1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29E1F51-E2E6-B5C8-E1D8-EFF5822A4FD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147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29" t="s">
        <v>59</v>
      </c>
      <c r="C5" s="30" t="s">
        <v>60</v>
      </c>
      <c r="D5" s="30" t="s">
        <v>61</v>
      </c>
      <c r="E5" s="30" t="s">
        <v>62</v>
      </c>
      <c r="F5" s="30" t="s">
        <v>63</v>
      </c>
      <c r="G5" s="30" t="s">
        <v>64</v>
      </c>
      <c r="H5" s="31" t="s">
        <v>4</v>
      </c>
      <c r="I5" s="29" t="s">
        <v>65</v>
      </c>
      <c r="J5" s="1"/>
      <c r="K5" s="1"/>
      <c r="L5" s="1"/>
    </row>
    <row r="6" ht="15" customHeight="1">
      <c r="A6" s="1"/>
      <c r="B6" s="7" t="s">
        <v>5</v>
      </c>
      <c r="C6" s="8">
        <v>45928</v>
      </c>
      <c r="D6" s="8">
        <v>46019</v>
      </c>
      <c r="E6" s="8">
        <v>46110</v>
      </c>
      <c r="F6" s="8">
        <v>46201</v>
      </c>
      <c r="G6" s="8">
        <v>46201</v>
      </c>
      <c r="H6" s="32">
        <v>46292</v>
      </c>
      <c r="I6" s="7"/>
      <c r="J6" s="1"/>
      <c r="K6" s="1"/>
      <c r="L6" s="1"/>
    </row>
    <row r="7" ht="15" customHeight="1">
      <c r="A7" s="1"/>
      <c r="B7" s="33" t="s">
        <v>6</v>
      </c>
      <c r="C7" s="34">
        <v>91</v>
      </c>
      <c r="D7" s="34">
        <v>91</v>
      </c>
      <c r="E7" s="34">
        <v>91</v>
      </c>
      <c r="F7" s="34">
        <v>91</v>
      </c>
      <c r="G7" s="34">
        <v>364</v>
      </c>
      <c r="H7" s="35">
        <v>91</v>
      </c>
      <c r="I7" s="33"/>
      <c r="J7" s="1"/>
      <c r="K7" s="1"/>
      <c r="L7" s="1"/>
    </row>
    <row r="8" ht="15" customHeight="1">
      <c r="A8" s="1"/>
      <c r="B8" s="1"/>
      <c r="C8" s="25"/>
      <c r="D8" s="25"/>
      <c r="E8" s="25"/>
      <c r="F8" s="25"/>
      <c r="G8" s="25"/>
      <c r="H8" s="36"/>
      <c r="I8" s="37"/>
      <c r="J8" s="1"/>
      <c r="K8" s="1"/>
      <c r="L8" s="1"/>
    </row>
    <row r="9" ht="15" customHeight="1">
      <c r="A9" s="1"/>
      <c r="B9" s="3" t="s">
        <v>148</v>
      </c>
      <c r="C9" s="25"/>
      <c r="D9" s="25"/>
      <c r="E9" s="25"/>
      <c r="F9" s="25"/>
      <c r="G9" s="25"/>
      <c r="H9" s="36"/>
      <c r="I9" s="37"/>
      <c r="J9" s="1"/>
      <c r="K9" s="1"/>
      <c r="L9" s="1"/>
    </row>
    <row r="10" ht="15" customHeight="1">
      <c r="A10" s="1"/>
      <c r="B10" s="48" t="s">
        <v>34</v>
      </c>
      <c r="C10" s="58">
        <f>'Revenue summary'!C106</f>
        <v>5324.173</v>
      </c>
      <c r="D10" s="58">
        <f>'Revenue summary'!D106</f>
        <v>5344.791</v>
      </c>
      <c r="E10" s="58">
        <f>'Revenue summary'!E106</f>
        <v>5841.487999999999</v>
      </c>
      <c r="F10" s="58">
        <f>'Revenue summary'!F106</f>
        <v>6722.237999999999</v>
      </c>
      <c r="G10" s="58">
        <f>'Revenue summary'!G106</f>
        <v>23232.69</v>
      </c>
      <c r="H10" s="59">
        <f>'Revenue summary'!H106</f>
        <v>8249.3305776</v>
      </c>
      <c r="I10" s="37"/>
      <c r="J10" s="1"/>
      <c r="K10" s="1"/>
      <c r="L10" s="1"/>
    </row>
    <row r="11" ht="15" customHeight="1">
      <c r="A11" s="1"/>
      <c r="B11" s="38" t="s">
        <v>74</v>
      </c>
      <c r="C11" s="60">
        <f>C10/'Revenue summary'!C112-1</f>
        <v>0.2774001097894998</v>
      </c>
      <c r="D11" s="60">
        <f>D10/'Revenue summary'!D112-1</f>
        <v>0.22137422198619006</v>
      </c>
      <c r="E11" s="60">
        <f>E10/'Revenue summary'!E112-1</f>
        <v>0.23755750581281387</v>
      </c>
      <c r="F11" s="60">
        <f>F10/'Revenue summary'!F112-1</f>
        <v>0.2998892174700316</v>
      </c>
      <c r="G11" s="60">
        <f>G10/'Revenue summary'!G112-1</f>
        <v>0.2602085824099698</v>
      </c>
      <c r="H11" s="61">
        <f>H10/'Revenue summary'!H112-1</f>
        <v>0.5494106930034017</v>
      </c>
      <c r="I11" s="37"/>
      <c r="J11" s="1"/>
      <c r="K11" s="1"/>
      <c r="L11" s="1"/>
    </row>
    <row r="12" ht="15" customHeight="1">
      <c r="A12" s="1"/>
      <c r="B12" s="38" t="s">
        <v>76</v>
      </c>
      <c r="C12" s="40" t="s">
        <v>40</v>
      </c>
      <c r="D12" s="40">
        <f t="shared" si="0" ref="D12:F86">IF(AND(ISNUMBER(D10),ISNUMBER(C10)),D10/C10-1,"n.a.")</f>
        <v>0.003872526305963353</v>
      </c>
      <c r="E12" s="40">
        <f t="shared" si="0"/>
        <v>0.09293104257958817</v>
      </c>
      <c r="F12" s="40">
        <f t="shared" si="0"/>
        <v>0.1507749395359539</v>
      </c>
      <c r="G12" s="40" t="s">
        <v>40</v>
      </c>
      <c r="H12" s="41">
        <f t="shared" si="36" ref="H12:H86">IF(AND(ISNUMBER(H10),ISNUMBER(F10)),H10/F10-1,"n.a.")</f>
        <v>0.22717026347475366</v>
      </c>
      <c r="I12" s="37"/>
      <c r="J12" s="1"/>
      <c r="K12" s="1"/>
      <c r="L12" s="1"/>
    </row>
    <row r="13" ht="15" customHeight="1">
      <c r="A13" s="1"/>
      <c r="B13" s="46" t="s">
        <v>149</v>
      </c>
      <c r="C13" s="52">
        <v>2639.294</v>
      </c>
      <c r="D13" s="52">
        <v>2693.629</v>
      </c>
      <c r="E13" s="52">
        <v>2930.961</v>
      </c>
      <c r="F13" s="52">
        <v>3243.498</v>
      </c>
      <c r="G13" s="14">
        <f t="shared" si="5" ref="G13:G64">SUM(C13:F13)</f>
        <v>11507.382</v>
      </c>
      <c r="H13" s="47">
        <f>H10-H14</f>
        <v>3929.381354937599</v>
      </c>
      <c r="I13" s="37" t="s">
        <v>137</v>
      </c>
      <c r="J13" s="1"/>
      <c r="K13" s="1"/>
      <c r="L13" s="1"/>
    </row>
    <row r="14" ht="15" customHeight="1">
      <c r="A14" s="1"/>
      <c r="B14" s="48" t="s">
        <v>150</v>
      </c>
      <c r="C14" s="49">
        <f t="shared" si="1" ref="C14:G14">C10-C13</f>
        <v>2684.879</v>
      </c>
      <c r="D14" s="49">
        <f t="shared" si="1"/>
        <v>2651.1620000000003</v>
      </c>
      <c r="E14" s="49">
        <f t="shared" si="1"/>
        <v>2910.5269999999996</v>
      </c>
      <c r="F14" s="49">
        <f t="shared" si="1"/>
        <v>3478.7399999999993</v>
      </c>
      <c r="G14" s="49">
        <f t="shared" si="1"/>
        <v>11725.307999999999</v>
      </c>
      <c r="H14" s="50">
        <f>H79-H52-H53-H54</f>
        <v>4319.949222662401</v>
      </c>
      <c r="I14" s="37"/>
      <c r="J14" s="1"/>
      <c r="K14" s="1"/>
      <c r="L14" s="1"/>
    </row>
    <row r="15" ht="15" customHeight="1">
      <c r="A15" s="1"/>
      <c r="B15" s="38" t="s">
        <v>151</v>
      </c>
      <c r="C15" s="40">
        <f t="shared" si="2" ref="C15:H15">C14/C10</f>
        <v>0.5042809465432472</v>
      </c>
      <c r="D15" s="40">
        <f t="shared" si="2"/>
        <v>0.4960272534510704</v>
      </c>
      <c r="E15" s="40">
        <f t="shared" si="2"/>
        <v>0.49825095934460534</v>
      </c>
      <c r="F15" s="40">
        <f t="shared" si="2"/>
        <v>0.5174972977749374</v>
      </c>
      <c r="G15" s="40">
        <f t="shared" si="2"/>
        <v>0.5046900724797688</v>
      </c>
      <c r="H15" s="41">
        <f t="shared" si="2"/>
        <v>0.5236727007149731</v>
      </c>
      <c r="I15" s="37"/>
      <c r="J15" s="1"/>
      <c r="K15" s="1"/>
      <c r="L15" s="1"/>
    </row>
    <row r="16" ht="15" customHeight="1">
      <c r="A16" s="1"/>
      <c r="B16" s="42" t="s">
        <v>95</v>
      </c>
      <c r="C16" s="43" t="s">
        <v>40</v>
      </c>
      <c r="D16" s="43">
        <f t="shared" si="3" ref="D16:F107">IF(AND(ISNUMBER(D15),ISNUMBER(C15)),(D15-C15)*10000,"n.a.")</f>
        <v>-82.53693092176772</v>
      </c>
      <c r="E16" s="43">
        <f t="shared" si="3"/>
        <v>22.23705893534933</v>
      </c>
      <c r="F16" s="43">
        <f t="shared" si="3"/>
        <v>192.46338430332023</v>
      </c>
      <c r="G16" s="43" t="s">
        <v>40</v>
      </c>
      <c r="H16" s="44">
        <f t="shared" si="8" ref="H16:H107">IF(AND(ISNUMBER(H15),ISNUMBER(F15)),(H15-F15)*10000,"n.a.")</f>
        <v>61.754029400357126</v>
      </c>
      <c r="I16" s="37"/>
      <c r="J16" s="1"/>
      <c r="K16" s="1"/>
      <c r="L16" s="1"/>
    </row>
    <row r="17" ht="15" customHeight="1">
      <c r="A17" s="1"/>
      <c r="B17" s="38" t="s">
        <v>76</v>
      </c>
      <c r="C17" s="40" t="s">
        <v>40</v>
      </c>
      <c r="D17" s="40">
        <f t="shared" si="4" ref="D17:F35">IF(AND(ISNUMBER(D14),ISNUMBER(C14)),D14/C14-1,"n.a.")</f>
        <v>-0.01255810783279232</v>
      </c>
      <c r="E17" s="40">
        <f t="shared" si="4"/>
        <v>0.09783068707231002</v>
      </c>
      <c r="F17" s="40">
        <f t="shared" si="4"/>
        <v>0.19522684379839106</v>
      </c>
      <c r="G17" s="40" t="s">
        <v>40</v>
      </c>
      <c r="H17" s="41">
        <f t="shared" si="11" ref="H17:H35">IF(AND(ISNUMBER(H14),ISNUMBER(F14)),H14/F14-1,"n.a.")</f>
        <v>0.24181434158988635</v>
      </c>
      <c r="I17" s="37"/>
      <c r="J17" s="1"/>
      <c r="K17" s="1"/>
      <c r="L17" s="1"/>
    </row>
    <row r="18" ht="15" customHeight="1">
      <c r="A18" s="1"/>
      <c r="B18" s="46" t="s">
        <v>152</v>
      </c>
      <c r="C18" s="52">
        <v>576.446</v>
      </c>
      <c r="D18" s="52">
        <v>573.305</v>
      </c>
      <c r="E18" s="52">
        <v>583.2</v>
      </c>
      <c r="F18" s="52">
        <v>642.922</v>
      </c>
      <c r="G18" s="14">
        <f t="shared" si="5"/>
        <v>2375.873</v>
      </c>
      <c r="H18" s="47">
        <f>H91+H55+H56</f>
        <v>676.7</v>
      </c>
      <c r="I18" s="37" t="s">
        <v>137</v>
      </c>
      <c r="J18" s="1"/>
      <c r="K18" s="1"/>
      <c r="L18" s="1"/>
    </row>
    <row r="19" ht="15" customHeight="1">
      <c r="A19" s="1"/>
      <c r="B19" s="46" t="s">
        <v>153</v>
      </c>
      <c r="C19" s="52">
        <v>279.345</v>
      </c>
      <c r="D19" s="52">
        <v>267.654</v>
      </c>
      <c r="E19" s="52">
        <v>280.311</v>
      </c>
      <c r="F19" s="52">
        <v>322.33</v>
      </c>
      <c r="G19" s="14">
        <f t="shared" si="5"/>
        <v>1149.6399999999999</v>
      </c>
      <c r="H19" s="47">
        <f>H92+H57+H58+H59+H60</f>
        <v>333.59999999999997</v>
      </c>
      <c r="I19" s="37" t="s">
        <v>137</v>
      </c>
      <c r="J19" s="1"/>
      <c r="K19" s="1"/>
      <c r="L19" s="1"/>
    </row>
    <row r="20" ht="15" customHeight="1">
      <c r="A20" s="1"/>
      <c r="B20" s="48" t="s">
        <v>154</v>
      </c>
      <c r="C20" s="49">
        <f t="shared" si="6" ref="C20:H20">C18+C19</f>
        <v>855.791</v>
      </c>
      <c r="D20" s="49">
        <f t="shared" si="6"/>
        <v>840.959</v>
      </c>
      <c r="E20" s="49">
        <f t="shared" si="6"/>
        <v>863.511</v>
      </c>
      <c r="F20" s="49">
        <f t="shared" si="6"/>
        <v>965.252</v>
      </c>
      <c r="G20" s="49">
        <f t="shared" si="6"/>
        <v>3525.513</v>
      </c>
      <c r="H20" s="50">
        <f t="shared" si="6"/>
        <v>1010.3</v>
      </c>
      <c r="I20" s="37"/>
      <c r="J20" s="1"/>
      <c r="K20" s="1"/>
      <c r="L20" s="1"/>
    </row>
    <row r="21" ht="15" customHeight="1">
      <c r="A21" s="1"/>
      <c r="B21" s="38" t="s">
        <v>155</v>
      </c>
      <c r="C21" s="40">
        <f t="shared" si="7" ref="C21:H21">C20/C10</f>
        <v>0.16073688815145565</v>
      </c>
      <c r="D21" s="40">
        <f t="shared" si="7"/>
        <v>0.1573417931589841</v>
      </c>
      <c r="E21" s="40">
        <f t="shared" si="7"/>
        <v>0.14782380790647864</v>
      </c>
      <c r="F21" s="40">
        <f t="shared" si="7"/>
        <v>0.14359086958837222</v>
      </c>
      <c r="G21" s="40">
        <f t="shared" si="7"/>
        <v>0.15174794653567883</v>
      </c>
      <c r="H21" s="41">
        <f t="shared" si="7"/>
        <v>0.12247054357881355</v>
      </c>
      <c r="I21" s="37"/>
      <c r="J21" s="1"/>
      <c r="K21" s="1"/>
      <c r="L21" s="1"/>
    </row>
    <row r="22" ht="15" customHeight="1">
      <c r="A22" s="1"/>
      <c r="B22" s="42" t="s">
        <v>95</v>
      </c>
      <c r="C22" s="43" t="s">
        <v>40</v>
      </c>
      <c r="D22" s="43">
        <f t="shared" si="3"/>
        <v>-33.95094992471537</v>
      </c>
      <c r="E22" s="43">
        <f t="shared" si="3"/>
        <v>-95.17985252505467</v>
      </c>
      <c r="F22" s="43">
        <f t="shared" si="3"/>
        <v>-42.329383181064216</v>
      </c>
      <c r="G22" s="43" t="s">
        <v>40</v>
      </c>
      <c r="H22" s="44">
        <f t="shared" si="8"/>
        <v>-211.20326009558667</v>
      </c>
      <c r="I22" s="37"/>
      <c r="J22" s="1"/>
      <c r="K22" s="1"/>
      <c r="L22" s="1"/>
    </row>
    <row r="23" ht="15" customHeight="1">
      <c r="A23" s="1"/>
      <c r="B23" s="48" t="s">
        <v>156</v>
      </c>
      <c r="C23" s="49">
        <f t="shared" si="9" ref="C23:H23">C14-C20</f>
        <v>1829.0879999999997</v>
      </c>
      <c r="D23" s="49">
        <f t="shared" si="9"/>
        <v>1810.2030000000004</v>
      </c>
      <c r="E23" s="49">
        <f t="shared" si="9"/>
        <v>2047.0159999999996</v>
      </c>
      <c r="F23" s="49">
        <f t="shared" si="9"/>
        <v>2513.4879999999994</v>
      </c>
      <c r="G23" s="49">
        <f t="shared" si="9"/>
        <v>8199.794999999998</v>
      </c>
      <c r="H23" s="50">
        <f t="shared" si="9"/>
        <v>3309.6492226624005</v>
      </c>
      <c r="I23" s="37"/>
      <c r="J23" s="1"/>
      <c r="K23" s="1"/>
      <c r="L23" s="1"/>
    </row>
    <row r="24" ht="15" customHeight="1">
      <c r="A24" s="1"/>
      <c r="B24" s="38" t="s">
        <v>157</v>
      </c>
      <c r="C24" s="40">
        <f t="shared" si="10" ref="C24:H24">C23/C10</f>
        <v>0.34354405839179153</v>
      </c>
      <c r="D24" s="40">
        <f t="shared" si="10"/>
        <v>0.33868546029208635</v>
      </c>
      <c r="E24" s="40">
        <f t="shared" si="10"/>
        <v>0.3504271514381267</v>
      </c>
      <c r="F24" s="40">
        <f t="shared" si="10"/>
        <v>0.37390642818656517</v>
      </c>
      <c r="G24" s="40">
        <f t="shared" si="10"/>
        <v>0.3529421259440899</v>
      </c>
      <c r="H24" s="41">
        <f t="shared" si="10"/>
        <v>0.4012021571361595</v>
      </c>
      <c r="I24" s="37"/>
      <c r="J24" s="1"/>
      <c r="K24" s="1"/>
      <c r="L24" s="1"/>
    </row>
    <row r="25" ht="15" customHeight="1">
      <c r="A25" s="1"/>
      <c r="B25" s="42" t="s">
        <v>95</v>
      </c>
      <c r="C25" s="43" t="s">
        <v>40</v>
      </c>
      <c r="D25" s="43">
        <f t="shared" si="3"/>
        <v>-48.585980997051806</v>
      </c>
      <c r="E25" s="43">
        <f t="shared" si="3"/>
        <v>117.41691146040345</v>
      </c>
      <c r="F25" s="43">
        <f t="shared" si="3"/>
        <v>234.7927674843847</v>
      </c>
      <c r="G25" s="43" t="s">
        <v>40</v>
      </c>
      <c r="H25" s="44">
        <f t="shared" si="8"/>
        <v>272.9572894959431</v>
      </c>
      <c r="I25" s="37"/>
      <c r="J25" s="1"/>
      <c r="K25" s="1"/>
      <c r="L25" s="1"/>
    </row>
    <row r="26" ht="15" customHeight="1">
      <c r="A26" s="1"/>
      <c r="B26" s="38" t="s">
        <v>76</v>
      </c>
      <c r="C26" s="40" t="s">
        <v>40</v>
      </c>
      <c r="D26" s="40">
        <f t="shared" si="4"/>
        <v>-0.010324817614023707</v>
      </c>
      <c r="E26" s="40">
        <f t="shared" si="4"/>
        <v>0.13082123938585855</v>
      </c>
      <c r="F26" s="40">
        <f t="shared" si="4"/>
        <v>0.2278790199978895</v>
      </c>
      <c r="G26" s="40" t="s">
        <v>40</v>
      </c>
      <c r="H26" s="41">
        <f t="shared" si="11"/>
        <v>0.3167555296314928</v>
      </c>
      <c r="I26" s="37"/>
      <c r="J26" s="1"/>
      <c r="K26" s="1"/>
      <c r="L26" s="1"/>
    </row>
    <row r="27" ht="15" customHeight="1">
      <c r="A27" s="1"/>
      <c r="B27" s="46" t="s">
        <v>158</v>
      </c>
      <c r="C27" s="52">
        <v>30.074</v>
      </c>
      <c r="D27" s="52">
        <v>26.41</v>
      </c>
      <c r="E27" s="52">
        <v>-35.46</v>
      </c>
      <c r="F27" s="52">
        <v>41.654</v>
      </c>
      <c r="G27" s="14">
        <f t="shared" si="5"/>
        <v>62.678000000000004</v>
      </c>
      <c r="H27" s="47">
        <f>H98-H61-H62</f>
        <v>-2.6310000000000002</v>
      </c>
      <c r="I27" s="37" t="s">
        <v>137</v>
      </c>
      <c r="J27" s="1"/>
      <c r="K27" s="1"/>
      <c r="L27" s="1"/>
    </row>
    <row r="28" ht="15" customHeight="1">
      <c r="A28" s="1"/>
      <c r="B28" s="48" t="s">
        <v>159</v>
      </c>
      <c r="C28" s="49">
        <f t="shared" si="12" ref="C28:H28">C23+C27</f>
        <v>1859.1619999999998</v>
      </c>
      <c r="D28" s="49">
        <f t="shared" si="12"/>
        <v>1836.6130000000005</v>
      </c>
      <c r="E28" s="49">
        <f t="shared" si="12"/>
        <v>2011.5559999999996</v>
      </c>
      <c r="F28" s="49">
        <f t="shared" si="12"/>
        <v>2555.1419999999994</v>
      </c>
      <c r="G28" s="49">
        <f t="shared" si="12"/>
        <v>8262.472999999998</v>
      </c>
      <c r="H28" s="50">
        <f t="shared" si="12"/>
        <v>3307.0182226624006</v>
      </c>
      <c r="I28" s="37"/>
      <c r="J28" s="1"/>
      <c r="K28" s="1"/>
      <c r="L28" s="1"/>
    </row>
    <row r="29" ht="15" customHeight="1">
      <c r="A29" s="1"/>
      <c r="B29" s="46" t="s">
        <v>160</v>
      </c>
      <c r="C29" s="52">
        <v>-290.502</v>
      </c>
      <c r="D29" s="52">
        <v>-242.619</v>
      </c>
      <c r="E29" s="52">
        <v>-186.096</v>
      </c>
      <c r="F29" s="52">
        <v>-277.86</v>
      </c>
      <c r="G29" s="14">
        <f t="shared" si="5"/>
        <v>-997.077</v>
      </c>
      <c r="H29" s="47">
        <f>H101-H63-H64</f>
        <v>-496.37773339936007</v>
      </c>
      <c r="I29" s="37" t="s">
        <v>161</v>
      </c>
      <c r="J29" s="1"/>
      <c r="K29" s="1"/>
      <c r="L29" s="1"/>
    </row>
    <row r="30" ht="15" customHeight="1">
      <c r="A30" s="1"/>
      <c r="B30" s="38" t="s">
        <v>162</v>
      </c>
      <c r="C30" s="40">
        <f t="shared" si="13" ref="C30:H102">-C29/C28</f>
        <v>0.15625426939664216</v>
      </c>
      <c r="D30" s="40">
        <f t="shared" si="13"/>
        <v>0.13210131911295409</v>
      </c>
      <c r="E30" s="40">
        <f t="shared" si="13"/>
        <v>0.09251345724404393</v>
      </c>
      <c r="F30" s="40">
        <f t="shared" si="13"/>
        <v>0.10874542393338613</v>
      </c>
      <c r="G30" s="40">
        <f t="shared" si="13"/>
        <v>0.1206753716472054</v>
      </c>
      <c r="H30" s="41">
        <f t="shared" si="13"/>
        <v>0.15009827584189672</v>
      </c>
      <c r="I30" s="37"/>
      <c r="J30" s="1"/>
      <c r="K30" s="1"/>
      <c r="L30" s="1"/>
    </row>
    <row r="31" ht="15" customHeight="1">
      <c r="A31" s="1"/>
      <c r="B31" s="42" t="s">
        <v>95</v>
      </c>
      <c r="C31" s="43" t="s">
        <v>40</v>
      </c>
      <c r="D31" s="43">
        <f t="shared" si="3"/>
        <v>-241.5295028368808</v>
      </c>
      <c r="E31" s="43">
        <f t="shared" si="3"/>
        <v>-395.87861868910153</v>
      </c>
      <c r="F31" s="43">
        <f t="shared" si="3"/>
        <v>162.31966689342195</v>
      </c>
      <c r="G31" s="43" t="s">
        <v>40</v>
      </c>
      <c r="H31" s="44">
        <f t="shared" si="8"/>
        <v>413.528519085106</v>
      </c>
      <c r="I31" s="37"/>
      <c r="J31" s="1"/>
      <c r="K31" s="1"/>
      <c r="L31" s="1"/>
    </row>
    <row r="32" ht="15" customHeight="1">
      <c r="A32" s="1"/>
      <c r="B32" s="48" t="s">
        <v>163</v>
      </c>
      <c r="C32" s="49">
        <f t="shared" si="14" ref="C32:H104">C28+C29</f>
        <v>1568.6599999999999</v>
      </c>
      <c r="D32" s="49">
        <f t="shared" si="14"/>
        <v>1593.9940000000006</v>
      </c>
      <c r="E32" s="49">
        <f t="shared" si="14"/>
        <v>1825.4599999999996</v>
      </c>
      <c r="F32" s="49">
        <f t="shared" si="14"/>
        <v>2277.2819999999992</v>
      </c>
      <c r="G32" s="49">
        <f t="shared" si="14"/>
        <v>7265.395999999998</v>
      </c>
      <c r="H32" s="50">
        <f t="shared" si="14"/>
        <v>2810.6404892630408</v>
      </c>
      <c r="I32" s="37"/>
      <c r="J32" s="1"/>
      <c r="K32" s="1"/>
      <c r="L32" s="1"/>
    </row>
    <row r="33" ht="15" customHeight="1">
      <c r="A33" s="1"/>
      <c r="B33" s="46" t="s">
        <v>164</v>
      </c>
      <c r="C33" s="52">
        <v>1116.444</v>
      </c>
      <c r="D33" s="52">
        <v>1191.018</v>
      </c>
      <c r="E33" s="52">
        <v>1330.667</v>
      </c>
      <c r="F33" s="52">
        <v>1720.088</v>
      </c>
      <c r="G33" s="52">
        <v>5358.217</v>
      </c>
      <c r="H33" s="47">
        <f>C32</f>
        <v>1568.6599999999999</v>
      </c>
      <c r="I33" s="37" t="s">
        <v>165</v>
      </c>
      <c r="J33" s="1"/>
      <c r="K33" s="1"/>
      <c r="L33" s="1"/>
    </row>
    <row r="34" ht="15" customHeight="1">
      <c r="A34" s="1"/>
      <c r="B34" s="38" t="s">
        <v>74</v>
      </c>
      <c r="C34" s="40">
        <f t="shared" si="15" ref="C34:H34">IF(ISNUMBER(C33),C32/C33-1,"n.a.")</f>
        <v>0.40505032048181544</v>
      </c>
      <c r="D34" s="40">
        <f t="shared" si="15"/>
        <v>0.338345852035822</v>
      </c>
      <c r="E34" s="40">
        <f t="shared" si="15"/>
        <v>0.3718383337078319</v>
      </c>
      <c r="F34" s="40">
        <f t="shared" si="15"/>
        <v>0.3239334266618914</v>
      </c>
      <c r="G34" s="40">
        <f t="shared" si="15"/>
        <v>0.3559353792502242</v>
      </c>
      <c r="H34" s="41">
        <f t="shared" si="15"/>
        <v>0.7917461331729254</v>
      </c>
      <c r="I34" s="37"/>
      <c r="J34" s="1"/>
      <c r="K34" s="1"/>
      <c r="L34" s="1"/>
    </row>
    <row r="35" ht="15" customHeight="1">
      <c r="A35" s="1"/>
      <c r="B35" s="38" t="s">
        <v>76</v>
      </c>
      <c r="C35" s="40" t="s">
        <v>40</v>
      </c>
      <c r="D35" s="40">
        <f t="shared" si="4"/>
        <v>0.016150089885635266</v>
      </c>
      <c r="E35" s="40">
        <f t="shared" si="4"/>
        <v>0.14521133705647515</v>
      </c>
      <c r="F35" s="40">
        <f t="shared" si="4"/>
        <v>0.24751131221719436</v>
      </c>
      <c r="G35" s="40" t="s">
        <v>40</v>
      </c>
      <c r="H35" s="41">
        <f t="shared" si="11"/>
        <v>0.23420836297965808</v>
      </c>
      <c r="I35" s="37"/>
      <c r="J35" s="1"/>
      <c r="K35" s="1"/>
      <c r="L35" s="1"/>
    </row>
    <row r="36" ht="15" customHeight="1">
      <c r="A36" s="1"/>
      <c r="B36" s="38" t="s">
        <v>166</v>
      </c>
      <c r="C36" s="40">
        <f t="shared" si="16" ref="C36:H36">C32/C10</f>
        <v>0.2946297950874248</v>
      </c>
      <c r="D36" s="40">
        <f t="shared" si="16"/>
        <v>0.29823317693806933</v>
      </c>
      <c r="E36" s="40">
        <f t="shared" si="16"/>
        <v>0.3124991440537068</v>
      </c>
      <c r="F36" s="40">
        <f t="shared" si="16"/>
        <v>0.3387684280145986</v>
      </c>
      <c r="G36" s="40">
        <f t="shared" si="16"/>
        <v>0.31272297783855413</v>
      </c>
      <c r="H36" s="41">
        <f t="shared" si="16"/>
        <v>0.34071134170510453</v>
      </c>
      <c r="I36" s="37"/>
      <c r="J36" s="1"/>
      <c r="K36" s="1"/>
      <c r="L36" s="1"/>
    </row>
    <row r="37" ht="15" customHeight="1">
      <c r="A37" s="1"/>
      <c r="B37" s="42" t="s">
        <v>95</v>
      </c>
      <c r="C37" s="43" t="s">
        <v>40</v>
      </c>
      <c r="D37" s="43">
        <f t="shared" si="3"/>
        <v>36.03381850644516</v>
      </c>
      <c r="E37" s="43">
        <f t="shared" si="3"/>
        <v>142.6596711563749</v>
      </c>
      <c r="F37" s="43">
        <f t="shared" si="3"/>
        <v>262.6928396089179</v>
      </c>
      <c r="G37" s="43" t="s">
        <v>40</v>
      </c>
      <c r="H37" s="44">
        <f t="shared" si="8"/>
        <v>19.42913690505921</v>
      </c>
      <c r="I37" s="37"/>
      <c r="J37" s="1"/>
      <c r="K37" s="1"/>
      <c r="L37" s="1"/>
    </row>
    <row r="38" ht="15" customHeight="1">
      <c r="A38" s="1"/>
      <c r="B38" s="46" t="s">
        <v>167</v>
      </c>
      <c r="C38" s="13">
        <f>'Share Count'!C10</f>
        <v>1264.446</v>
      </c>
      <c r="D38" s="13">
        <f>'Share Count'!D10</f>
        <v>1254.856</v>
      </c>
      <c r="E38" s="13">
        <f>'Share Count'!E10</f>
        <v>1249.728</v>
      </c>
      <c r="F38" s="13">
        <f>'Share Count'!F10</f>
        <v>1251.286</v>
      </c>
      <c r="G38" s="13">
        <f>'Share Count'!G10</f>
        <v>1255.079</v>
      </c>
      <c r="H38" s="62">
        <f>'Share Count'!H10</f>
        <v>1250.2540000000001</v>
      </c>
      <c r="I38" s="37"/>
      <c r="J38" s="1"/>
      <c r="K38" s="1"/>
      <c r="L38" s="1"/>
    </row>
    <row r="39" ht="15" customHeight="1">
      <c r="A39" s="1"/>
      <c r="B39" s="46" t="s">
        <v>168</v>
      </c>
      <c r="C39" s="13">
        <f>'Share Count'!C16</f>
        <v>1269.313</v>
      </c>
      <c r="D39" s="13">
        <f>'Share Count'!D16</f>
        <v>1261.739</v>
      </c>
      <c r="E39" s="13">
        <f>'Share Count'!E16</f>
        <v>1257.325</v>
      </c>
      <c r="F39" s="13">
        <f>'Share Count'!F16</f>
        <v>1256.032</v>
      </c>
      <c r="G39" s="13">
        <f>'Share Count'!G16</f>
        <v>1261.102</v>
      </c>
      <c r="H39" s="62">
        <f>'Share Count'!H16</f>
        <v>1255</v>
      </c>
      <c r="I39" s="37"/>
      <c r="J39" s="1"/>
      <c r="K39" s="1"/>
      <c r="L39" s="1"/>
    </row>
    <row r="40" ht="15" customHeight="1">
      <c r="A40" s="1"/>
      <c r="B40" s="63" t="s">
        <v>169</v>
      </c>
      <c r="C40" s="17">
        <f t="shared" si="17" ref="C40:H40">C32/C38</f>
        <v>1.2405907409252748</v>
      </c>
      <c r="D40" s="17">
        <f t="shared" si="17"/>
        <v>1.2702604920405214</v>
      </c>
      <c r="E40" s="17">
        <f t="shared" si="17"/>
        <v>1.4606858452399238</v>
      </c>
      <c r="F40" s="17">
        <f t="shared" si="17"/>
        <v>1.8199532321147995</v>
      </c>
      <c r="G40" s="17">
        <f t="shared" si="17"/>
        <v>5.788795765047458</v>
      </c>
      <c r="H40" s="64">
        <f t="shared" si="17"/>
        <v>2.2480555865152523</v>
      </c>
      <c r="I40" s="37"/>
      <c r="J40" s="1"/>
      <c r="K40" s="1"/>
      <c r="L40" s="1"/>
    </row>
    <row r="41" ht="15" customHeight="1">
      <c r="A41" s="1"/>
      <c r="B41" s="65" t="s">
        <v>170</v>
      </c>
      <c r="C41" s="66">
        <f t="shared" si="18" ref="C41:H41">C32/C39</f>
        <v>1.235833872338816</v>
      </c>
      <c r="D41" s="66">
        <f t="shared" si="18"/>
        <v>1.2633310058577887</v>
      </c>
      <c r="E41" s="66">
        <f t="shared" si="18"/>
        <v>1.4518600998150832</v>
      </c>
      <c r="F41" s="66">
        <f t="shared" si="18"/>
        <v>1.8130764184351986</v>
      </c>
      <c r="G41" s="66">
        <f t="shared" si="18"/>
        <v>5.761148582747468</v>
      </c>
      <c r="H41" s="67">
        <f t="shared" si="18"/>
        <v>2.239554174711586</v>
      </c>
      <c r="I41" s="37"/>
      <c r="J41" s="1"/>
      <c r="K41" s="1"/>
      <c r="L41" s="1"/>
    </row>
    <row r="42" ht="15" customHeight="1">
      <c r="A42" s="1"/>
      <c r="B42" s="63" t="s">
        <v>171</v>
      </c>
      <c r="C42" s="68">
        <v>1.24</v>
      </c>
      <c r="D42" s="68">
        <v>1.26</v>
      </c>
      <c r="E42" s="68">
        <v>1.45</v>
      </c>
      <c r="F42" s="68">
        <v>1.81</v>
      </c>
      <c r="G42" s="68">
        <v>5.76</v>
      </c>
      <c r="H42" s="64" t="s">
        <v>40</v>
      </c>
      <c r="I42" s="37" t="s">
        <v>137</v>
      </c>
      <c r="J42" s="1"/>
      <c r="K42" s="1"/>
      <c r="L42" s="1"/>
    </row>
    <row r="43" ht="15" customHeight="1">
      <c r="A43" s="1"/>
      <c r="B43" s="1" t="s">
        <v>172</v>
      </c>
      <c r="C43" s="17" t="b">
        <f t="shared" si="19" ref="C43:G70">ABS(C41-C42)&lt;0.006</f>
        <v>1</v>
      </c>
      <c r="D43" s="17" t="b">
        <f t="shared" si="19"/>
        <v>1</v>
      </c>
      <c r="E43" s="17" t="b">
        <f t="shared" si="19"/>
        <v>1</v>
      </c>
      <c r="F43" s="17" t="b">
        <f t="shared" si="19"/>
        <v>1</v>
      </c>
      <c r="G43" s="17" t="b">
        <f t="shared" si="19"/>
        <v>1</v>
      </c>
      <c r="H43" s="36" t="s">
        <v>40</v>
      </c>
      <c r="I43" s="37"/>
      <c r="J43" s="1"/>
      <c r="K43" s="1"/>
      <c r="L43" s="1"/>
    </row>
    <row r="44" ht="15" customHeight="1">
      <c r="A44" s="1"/>
      <c r="B44" s="1" t="s">
        <v>173</v>
      </c>
      <c r="C44" s="25" t="b">
        <f t="shared" si="20" ref="C44:H44">ABS(C41-C32/C39)&lt;0.000001</f>
        <v>1</v>
      </c>
      <c r="D44" s="25" t="b">
        <f t="shared" si="20"/>
        <v>1</v>
      </c>
      <c r="E44" s="25" t="b">
        <f t="shared" si="20"/>
        <v>1</v>
      </c>
      <c r="F44" s="25" t="b">
        <f t="shared" si="20"/>
        <v>1</v>
      </c>
      <c r="G44" s="25" t="b">
        <f t="shared" si="20"/>
        <v>1</v>
      </c>
      <c r="H44" s="36" t="b">
        <f t="shared" si="20"/>
        <v>1</v>
      </c>
      <c r="I44" s="37"/>
      <c r="J44" s="1"/>
      <c r="K44" s="1"/>
      <c r="L44" s="1"/>
    </row>
    <row r="45" ht="15" customHeight="1">
      <c r="A45" s="1"/>
      <c r="B45" s="63" t="s">
        <v>174</v>
      </c>
      <c r="C45" s="68">
        <v>0.86</v>
      </c>
      <c r="D45" s="68">
        <v>0.92</v>
      </c>
      <c r="E45" s="68">
        <v>1.03</v>
      </c>
      <c r="F45" s="68">
        <v>1.35</v>
      </c>
      <c r="G45" s="68">
        <v>4.15</v>
      </c>
      <c r="H45" s="64">
        <f>C42</f>
        <v>1.24</v>
      </c>
      <c r="I45" s="37" t="s">
        <v>175</v>
      </c>
      <c r="J45" s="1"/>
      <c r="K45" s="1"/>
      <c r="L45" s="1"/>
    </row>
    <row r="46" ht="15" customHeight="1">
      <c r="A46" s="1"/>
      <c r="B46" s="38" t="s">
        <v>74</v>
      </c>
      <c r="C46" s="40">
        <f t="shared" si="21" ref="C46:H46">IF(ISNUMBER(C45),C41/C45-1,"n.a.")</f>
        <v>0.43701613062653033</v>
      </c>
      <c r="D46" s="40">
        <f t="shared" si="21"/>
        <v>0.37318587593237895</v>
      </c>
      <c r="E46" s="40">
        <f t="shared" si="21"/>
        <v>0.40957291244182836</v>
      </c>
      <c r="F46" s="40">
        <f t="shared" si="21"/>
        <v>0.3430195692112581</v>
      </c>
      <c r="G46" s="40">
        <f t="shared" si="21"/>
        <v>0.3882285741560163</v>
      </c>
      <c r="H46" s="41">
        <f t="shared" si="21"/>
        <v>0.8060920763803114</v>
      </c>
      <c r="I46" s="37"/>
      <c r="J46" s="1"/>
      <c r="K46" s="1"/>
      <c r="L46" s="1"/>
    </row>
    <row r="47" ht="15" customHeight="1">
      <c r="A47" s="1"/>
      <c r="B47" s="38" t="s">
        <v>76</v>
      </c>
      <c r="C47" s="40" t="s">
        <v>40</v>
      </c>
      <c r="D47" s="40">
        <f t="shared" si="22" ref="D47:F47">IF(AND(ISNUMBER(D41),ISNUMBER(C41)),D41/C41-1,"n.a.")</f>
        <v>0.022249862327316183</v>
      </c>
      <c r="E47" s="40">
        <f t="shared" si="22"/>
        <v>0.14923174772338088</v>
      </c>
      <c r="F47" s="40">
        <f t="shared" si="22"/>
        <v>0.24879554074536658</v>
      </c>
      <c r="G47" s="40" t="s">
        <v>40</v>
      </c>
      <c r="H47" s="41">
        <f>IF(AND(ISNUMBER(H41),ISNUMBER(F41)),H41/F41-1,"n.a.")</f>
        <v>0.235223265792881</v>
      </c>
      <c r="I47" s="37"/>
      <c r="J47" s="1"/>
      <c r="K47" s="1"/>
      <c r="L47" s="1"/>
    </row>
    <row r="48" ht="15" customHeight="1">
      <c r="A48" s="1"/>
      <c r="B48" s="63" t="s">
        <v>176</v>
      </c>
      <c r="C48" s="68">
        <v>0.26</v>
      </c>
      <c r="D48" s="68">
        <v>0.26</v>
      </c>
      <c r="E48" s="68">
        <v>0.26</v>
      </c>
      <c r="F48" s="68">
        <v>0.26</v>
      </c>
      <c r="G48" s="17">
        <f t="shared" si="5"/>
        <v>1.04</v>
      </c>
      <c r="H48" s="69">
        <v>0.33</v>
      </c>
      <c r="I48" s="37" t="s">
        <v>177</v>
      </c>
      <c r="J48" s="1"/>
      <c r="K48" s="1"/>
      <c r="L48" s="1"/>
    </row>
    <row r="49" ht="15" customHeight="1">
      <c r="A49" s="1"/>
      <c r="B49" s="1"/>
      <c r="C49" s="25"/>
      <c r="D49" s="25"/>
      <c r="E49" s="25"/>
      <c r="F49" s="25"/>
      <c r="G49" s="25"/>
      <c r="H49" s="36"/>
      <c r="I49" s="37"/>
      <c r="J49" s="1"/>
      <c r="K49" s="1"/>
      <c r="L49" s="1"/>
    </row>
    <row r="50" ht="15" customHeight="1">
      <c r="A50" s="1"/>
      <c r="B50" s="3" t="s">
        <v>178</v>
      </c>
      <c r="C50" s="25"/>
      <c r="D50" s="25"/>
      <c r="E50" s="25"/>
      <c r="F50" s="25"/>
      <c r="G50" s="25"/>
      <c r="H50" s="36"/>
      <c r="I50" s="37"/>
      <c r="J50" s="1"/>
      <c r="K50" s="1"/>
      <c r="L50" s="1"/>
    </row>
    <row r="51" ht="15" customHeight="1">
      <c r="A51" s="1"/>
      <c r="B51" s="46" t="s">
        <v>179</v>
      </c>
      <c r="C51" s="14">
        <f t="shared" si="23" ref="C51:H51">C32</f>
        <v>1568.6599999999999</v>
      </c>
      <c r="D51" s="14">
        <f t="shared" si="23"/>
        <v>1593.9940000000006</v>
      </c>
      <c r="E51" s="14">
        <f t="shared" si="23"/>
        <v>1825.4599999999996</v>
      </c>
      <c r="F51" s="14">
        <f t="shared" si="23"/>
        <v>2277.2819999999992</v>
      </c>
      <c r="G51" s="14">
        <f t="shared" si="23"/>
        <v>7265.395999999998</v>
      </c>
      <c r="H51" s="47">
        <f t="shared" si="23"/>
        <v>2810.6404892630408</v>
      </c>
      <c r="I51" s="37"/>
      <c r="J51" s="1"/>
      <c r="K51" s="1"/>
      <c r="L51" s="1"/>
    </row>
    <row r="52" ht="15" customHeight="1">
      <c r="A52" s="1"/>
      <c r="B52" s="46" t="s">
        <v>180</v>
      </c>
      <c r="C52" s="52">
        <v>2.687</v>
      </c>
      <c r="D52" s="52">
        <v>2.668</v>
      </c>
      <c r="E52" s="52">
        <v>2.668</v>
      </c>
      <c r="F52" s="52">
        <v>2.668</v>
      </c>
      <c r="G52" s="14">
        <f t="shared" si="5"/>
        <v>10.691</v>
      </c>
      <c r="H52" s="53">
        <v>2.7</v>
      </c>
      <c r="I52" s="37" t="s">
        <v>181</v>
      </c>
      <c r="J52" s="1"/>
      <c r="K52" s="1"/>
      <c r="L52" s="1"/>
    </row>
    <row r="53" ht="15" customHeight="1">
      <c r="A53" s="1"/>
      <c r="B53" s="46" t="s">
        <v>182</v>
      </c>
      <c r="C53" s="52">
        <v>6.016</v>
      </c>
      <c r="D53" s="52">
        <v>4.426</v>
      </c>
      <c r="E53" s="52">
        <v>-6.476</v>
      </c>
      <c r="F53" s="52">
        <v>15.379</v>
      </c>
      <c r="G53" s="14">
        <f t="shared" si="5"/>
        <v>19.345</v>
      </c>
      <c r="H53" s="53">
        <v>0</v>
      </c>
      <c r="I53" s="37" t="s">
        <v>183</v>
      </c>
      <c r="J53" s="1"/>
      <c r="K53" s="1"/>
      <c r="L53" s="1"/>
    </row>
    <row r="54" ht="15" customHeight="1">
      <c r="A54" s="1"/>
      <c r="B54" s="46" t="s">
        <v>184</v>
      </c>
      <c r="C54" s="52">
        <v>0</v>
      </c>
      <c r="D54" s="52">
        <v>0</v>
      </c>
      <c r="E54" s="52">
        <v>6.404</v>
      </c>
      <c r="F54" s="52">
        <v>0.549</v>
      </c>
      <c r="G54" s="14">
        <f t="shared" si="5"/>
        <v>6.953</v>
      </c>
      <c r="H54" s="53">
        <v>0</v>
      </c>
      <c r="I54" s="37" t="s">
        <v>185</v>
      </c>
      <c r="J54" s="1"/>
      <c r="K54" s="1"/>
      <c r="L54" s="1"/>
    </row>
    <row r="55" ht="15" customHeight="1">
      <c r="A55" s="1"/>
      <c r="B55" s="46" t="s">
        <v>186</v>
      </c>
      <c r="C55" s="52">
        <v>10.828</v>
      </c>
      <c r="D55" s="52">
        <v>7.968</v>
      </c>
      <c r="E55" s="52">
        <v>-11.656</v>
      </c>
      <c r="F55" s="52">
        <v>27.682</v>
      </c>
      <c r="G55" s="14">
        <f t="shared" si="5"/>
        <v>34.821999999999996</v>
      </c>
      <c r="H55" s="53">
        <v>0</v>
      </c>
      <c r="I55" s="37" t="s">
        <v>187</v>
      </c>
      <c r="J55" s="1"/>
      <c r="K55" s="1"/>
      <c r="L55" s="1"/>
    </row>
    <row r="56" ht="15" customHeight="1">
      <c r="A56" s="1"/>
      <c r="B56" s="46" t="s">
        <v>188</v>
      </c>
      <c r="C56" s="52">
        <v>0</v>
      </c>
      <c r="D56" s="52">
        <v>0</v>
      </c>
      <c r="E56" s="52">
        <v>9.437</v>
      </c>
      <c r="F56" s="52">
        <v>0.96</v>
      </c>
      <c r="G56" s="14">
        <f t="shared" si="5"/>
        <v>10.396999999999998</v>
      </c>
      <c r="H56" s="53">
        <v>0</v>
      </c>
      <c r="I56" s="37" t="s">
        <v>189</v>
      </c>
      <c r="J56" s="1"/>
      <c r="K56" s="1"/>
      <c r="L56" s="1"/>
    </row>
    <row r="57" ht="15" customHeight="1">
      <c r="A57" s="1"/>
      <c r="B57" s="46" t="s">
        <v>190</v>
      </c>
      <c r="C57" s="52">
        <v>0.538</v>
      </c>
      <c r="D57" s="52">
        <v>0.193</v>
      </c>
      <c r="E57" s="52">
        <v>0.348</v>
      </c>
      <c r="F57" s="52">
        <v>0.348</v>
      </c>
      <c r="G57" s="14">
        <f t="shared" si="5"/>
        <v>1.427</v>
      </c>
      <c r="H57" s="53">
        <v>0.3</v>
      </c>
      <c r="I57" s="37" t="s">
        <v>191</v>
      </c>
      <c r="J57" s="1"/>
      <c r="K57" s="1"/>
      <c r="L57" s="1"/>
    </row>
    <row r="58" ht="15" customHeight="1">
      <c r="A58" s="1"/>
      <c r="B58" s="46" t="s">
        <v>192</v>
      </c>
      <c r="C58" s="52">
        <v>7.219</v>
      </c>
      <c r="D58" s="52">
        <v>5.312</v>
      </c>
      <c r="E58" s="52">
        <v>-7.771</v>
      </c>
      <c r="F58" s="52">
        <v>18.454</v>
      </c>
      <c r="G58" s="14">
        <f t="shared" si="5"/>
        <v>23.214000000000002</v>
      </c>
      <c r="H58" s="53">
        <v>0</v>
      </c>
      <c r="I58" s="37" t="s">
        <v>187</v>
      </c>
      <c r="J58" s="1"/>
      <c r="K58" s="1"/>
      <c r="L58" s="1"/>
    </row>
    <row r="59" ht="15" customHeight="1">
      <c r="A59" s="1"/>
      <c r="B59" s="46" t="s">
        <v>193</v>
      </c>
      <c r="C59" s="52">
        <v>0</v>
      </c>
      <c r="D59" s="52">
        <v>0</v>
      </c>
      <c r="E59" s="52">
        <v>6.987</v>
      </c>
      <c r="F59" s="52">
        <v>1.388</v>
      </c>
      <c r="G59" s="14">
        <f t="shared" si="5"/>
        <v>8.375</v>
      </c>
      <c r="H59" s="53">
        <v>0</v>
      </c>
      <c r="I59" s="37" t="s">
        <v>189</v>
      </c>
      <c r="J59" s="1"/>
      <c r="K59" s="1"/>
      <c r="L59" s="1"/>
    </row>
    <row r="60" ht="15" customHeight="1">
      <c r="A60" s="1"/>
      <c r="B60" s="46" t="s">
        <v>194</v>
      </c>
      <c r="C60" s="52">
        <v>5.29</v>
      </c>
      <c r="D60" s="52">
        <v>0</v>
      </c>
      <c r="E60" s="52">
        <v>0</v>
      </c>
      <c r="F60" s="52">
        <v>0</v>
      </c>
      <c r="G60" s="14">
        <f t="shared" si="5"/>
        <v>5.29</v>
      </c>
      <c r="H60" s="53">
        <v>0</v>
      </c>
      <c r="I60" s="37" t="s">
        <v>195</v>
      </c>
      <c r="J60" s="1"/>
      <c r="K60" s="1"/>
      <c r="L60" s="1"/>
    </row>
    <row r="61" ht="15" customHeight="1">
      <c r="A61" s="1"/>
      <c r="B61" s="46" t="s">
        <v>196</v>
      </c>
      <c r="C61" s="52">
        <v>0.695</v>
      </c>
      <c r="D61" s="52">
        <v>0.701</v>
      </c>
      <c r="E61" s="52">
        <v>0.674</v>
      </c>
      <c r="F61" s="52">
        <v>0.504</v>
      </c>
      <c r="G61" s="14">
        <f t="shared" si="5"/>
        <v>2.574</v>
      </c>
      <c r="H61" s="53">
        <v>0.5</v>
      </c>
      <c r="I61" s="37" t="s">
        <v>197</v>
      </c>
      <c r="J61" s="1"/>
      <c r="K61" s="1"/>
      <c r="L61" s="1"/>
    </row>
    <row r="62" ht="15" customHeight="1">
      <c r="A62" s="1"/>
      <c r="B62" s="46" t="s">
        <v>198</v>
      </c>
      <c r="C62" s="52">
        <v>-23.088</v>
      </c>
      <c r="D62" s="52">
        <v>-16.628</v>
      </c>
      <c r="E62" s="52">
        <v>27.265</v>
      </c>
      <c r="F62" s="52">
        <v>-61.325</v>
      </c>
      <c r="G62" s="14">
        <f t="shared" si="5"/>
        <v>-73.77600000000001</v>
      </c>
      <c r="H62" s="53">
        <v>0</v>
      </c>
      <c r="I62" s="37" t="s">
        <v>187</v>
      </c>
      <c r="J62" s="1"/>
      <c r="K62" s="1"/>
      <c r="L62" s="1"/>
    </row>
    <row r="63" ht="15" customHeight="1">
      <c r="A63" s="1"/>
      <c r="B63" s="46" t="s">
        <v>199</v>
      </c>
      <c r="C63" s="52">
        <v>-1.698</v>
      </c>
      <c r="D63" s="52">
        <v>-1.008</v>
      </c>
      <c r="E63" s="52">
        <v>-1.898</v>
      </c>
      <c r="F63" s="52">
        <v>-3.921</v>
      </c>
      <c r="G63" s="14">
        <f t="shared" si="5"/>
        <v>-8.524999999999999</v>
      </c>
      <c r="H63" s="53">
        <v>-0.2</v>
      </c>
      <c r="I63" s="37" t="s">
        <v>200</v>
      </c>
      <c r="J63" s="1"/>
      <c r="K63" s="1"/>
      <c r="L63" s="1"/>
    </row>
    <row r="64" ht="15" customHeight="1">
      <c r="A64" s="1"/>
      <c r="B64" s="46" t="s">
        <v>201</v>
      </c>
      <c r="C64" s="52">
        <v>27.45</v>
      </c>
      <c r="D64" s="52">
        <v>0</v>
      </c>
      <c r="E64" s="52">
        <v>0</v>
      </c>
      <c r="F64" s="52">
        <v>0</v>
      </c>
      <c r="G64" s="14">
        <f t="shared" si="5"/>
        <v>27.45</v>
      </c>
      <c r="H64" s="53">
        <v>0</v>
      </c>
      <c r="I64" s="37" t="s">
        <v>195</v>
      </c>
      <c r="J64" s="1"/>
      <c r="K64" s="1"/>
      <c r="L64" s="1"/>
    </row>
    <row r="65" ht="15" customHeight="1">
      <c r="A65" s="1"/>
      <c r="B65" s="48" t="s">
        <v>202</v>
      </c>
      <c r="C65" s="49">
        <f t="shared" si="24" ref="C65:H65">C51+SUM(C52:C64)</f>
        <v>1604.5969999999998</v>
      </c>
      <c r="D65" s="49">
        <f t="shared" si="24"/>
        <v>1597.6260000000007</v>
      </c>
      <c r="E65" s="49">
        <f t="shared" si="24"/>
        <v>1851.4419999999996</v>
      </c>
      <c r="F65" s="49">
        <f t="shared" si="24"/>
        <v>2279.9679999999994</v>
      </c>
      <c r="G65" s="49">
        <f t="shared" si="24"/>
        <v>7333.632999999998</v>
      </c>
      <c r="H65" s="50">
        <f t="shared" si="24"/>
        <v>2813.940489263041</v>
      </c>
      <c r="I65" s="37"/>
      <c r="J65" s="1"/>
      <c r="K65" s="1"/>
      <c r="L65" s="1"/>
    </row>
    <row r="66" ht="15" customHeight="1">
      <c r="A66" s="1"/>
      <c r="B66" s="46" t="s">
        <v>203</v>
      </c>
      <c r="C66" s="52">
        <v>1604.597</v>
      </c>
      <c r="D66" s="52">
        <v>1597.626</v>
      </c>
      <c r="E66" s="52">
        <v>1851.442</v>
      </c>
      <c r="F66" s="52">
        <v>2279.968</v>
      </c>
      <c r="G66" s="14" t="s">
        <v>40</v>
      </c>
      <c r="H66" s="47" t="s">
        <v>40</v>
      </c>
      <c r="I66" s="37" t="s">
        <v>137</v>
      </c>
      <c r="J66" s="1"/>
      <c r="K66" s="1"/>
      <c r="L66" s="1"/>
    </row>
    <row r="67" ht="15" customHeight="1">
      <c r="A67" s="1"/>
      <c r="B67" s="1" t="s">
        <v>204</v>
      </c>
      <c r="C67" s="14" t="b">
        <f t="shared" si="25" ref="C67:F67">ABS(C65-C66)&lt;0.001</f>
        <v>1</v>
      </c>
      <c r="D67" s="14" t="b">
        <f t="shared" si="25"/>
        <v>1</v>
      </c>
      <c r="E67" s="14" t="b">
        <f t="shared" si="25"/>
        <v>1</v>
      </c>
      <c r="F67" s="14" t="b">
        <f t="shared" si="25"/>
        <v>1</v>
      </c>
      <c r="G67" s="25" t="s">
        <v>40</v>
      </c>
      <c r="H67" s="36" t="s">
        <v>40</v>
      </c>
      <c r="I67" s="37"/>
      <c r="J67" s="1"/>
      <c r="K67" s="1"/>
      <c r="L67" s="1"/>
    </row>
    <row r="68" ht="15" customHeight="1">
      <c r="A68" s="1"/>
      <c r="B68" s="65" t="s">
        <v>205</v>
      </c>
      <c r="C68" s="66">
        <f t="shared" si="26" ref="C68:H68">C65/C39</f>
        <v>1.2641460380536556</v>
      </c>
      <c r="D68" s="66">
        <f t="shared" si="26"/>
        <v>1.2662095726612244</v>
      </c>
      <c r="E68" s="66">
        <f t="shared" si="26"/>
        <v>1.4725246058099533</v>
      </c>
      <c r="F68" s="66">
        <f t="shared" si="26"/>
        <v>1.815214898983465</v>
      </c>
      <c r="G68" s="66">
        <f t="shared" si="26"/>
        <v>5.815257608028531</v>
      </c>
      <c r="H68" s="67">
        <f t="shared" si="26"/>
        <v>2.2421836567832996</v>
      </c>
      <c r="I68" s="37"/>
      <c r="J68" s="1"/>
      <c r="K68" s="1"/>
      <c r="L68" s="1"/>
    </row>
    <row r="69" ht="15" customHeight="1">
      <c r="A69" s="1"/>
      <c r="B69" s="63" t="s">
        <v>206</v>
      </c>
      <c r="C69" s="68">
        <v>1.26</v>
      </c>
      <c r="D69" s="68">
        <v>1.27</v>
      </c>
      <c r="E69" s="68">
        <v>1.47</v>
      </c>
      <c r="F69" s="68">
        <v>1.82</v>
      </c>
      <c r="G69" s="68">
        <v>5.82</v>
      </c>
      <c r="H69" s="64" t="s">
        <v>40</v>
      </c>
      <c r="I69" s="37" t="s">
        <v>207</v>
      </c>
      <c r="J69" s="1"/>
      <c r="K69" s="1"/>
      <c r="L69" s="1"/>
    </row>
    <row r="70" ht="15" customHeight="1">
      <c r="A70" s="1"/>
      <c r="B70" s="1" t="s">
        <v>208</v>
      </c>
      <c r="C70" s="17" t="b">
        <f t="shared" si="19"/>
        <v>1</v>
      </c>
      <c r="D70" s="17" t="b">
        <f t="shared" si="19"/>
        <v>1</v>
      </c>
      <c r="E70" s="17" t="b">
        <f t="shared" si="19"/>
        <v>1</v>
      </c>
      <c r="F70" s="17" t="b">
        <f t="shared" si="19"/>
        <v>1</v>
      </c>
      <c r="G70" s="17" t="b">
        <f t="shared" si="19"/>
        <v>1</v>
      </c>
      <c r="H70" s="36" t="s">
        <v>40</v>
      </c>
      <c r="I70" s="37"/>
      <c r="J70" s="1"/>
      <c r="K70" s="1"/>
      <c r="L70" s="1"/>
    </row>
    <row r="71" ht="15" customHeight="1">
      <c r="A71" s="1"/>
      <c r="B71" s="63" t="s">
        <v>209</v>
      </c>
      <c r="C71" s="16">
        <f>Inputs!E105</f>
        <v>1.26</v>
      </c>
      <c r="D71" s="16">
        <f>Inputs!E106</f>
        <v>1.27</v>
      </c>
      <c r="E71" s="16">
        <f>Inputs!E107</f>
        <v>1.47</v>
      </c>
      <c r="F71" s="16">
        <f>Inputs!E108</f>
        <v>1.82</v>
      </c>
      <c r="G71" s="17" t="s">
        <v>40</v>
      </c>
      <c r="H71" s="64" t="s">
        <v>40</v>
      </c>
      <c r="I71" s="37" t="s">
        <v>210</v>
      </c>
      <c r="J71" s="1"/>
      <c r="K71" s="1"/>
      <c r="L71" s="1"/>
    </row>
    <row r="72" ht="15" customHeight="1">
      <c r="A72" s="1"/>
      <c r="B72" s="1" t="s">
        <v>211</v>
      </c>
      <c r="C72" s="17" t="b">
        <f t="shared" si="27" ref="C72:F72">ABS(C68-C71)&lt;0.006</f>
        <v>1</v>
      </c>
      <c r="D72" s="17" t="b">
        <f t="shared" si="27"/>
        <v>1</v>
      </c>
      <c r="E72" s="17" t="b">
        <f t="shared" si="27"/>
        <v>1</v>
      </c>
      <c r="F72" s="17" t="b">
        <f t="shared" si="27"/>
        <v>1</v>
      </c>
      <c r="G72" s="25" t="s">
        <v>40</v>
      </c>
      <c r="H72" s="36" t="s">
        <v>40</v>
      </c>
      <c r="I72" s="37"/>
      <c r="J72" s="1"/>
      <c r="K72" s="1"/>
      <c r="L72" s="1"/>
    </row>
    <row r="73" ht="15" customHeight="1">
      <c r="A73" s="1"/>
      <c r="B73" s="1" t="s">
        <v>212</v>
      </c>
      <c r="C73" s="25" t="b">
        <f t="shared" si="28" ref="C73:H73">ABS(C68-C65/C39)&lt;0.000001</f>
        <v>1</v>
      </c>
      <c r="D73" s="25" t="b">
        <f t="shared" si="28"/>
        <v>1</v>
      </c>
      <c r="E73" s="25" t="b">
        <f t="shared" si="28"/>
        <v>1</v>
      </c>
      <c r="F73" s="25" t="b">
        <f t="shared" si="28"/>
        <v>1</v>
      </c>
      <c r="G73" s="25" t="b">
        <f t="shared" si="28"/>
        <v>1</v>
      </c>
      <c r="H73" s="36" t="b">
        <f t="shared" si="28"/>
        <v>1</v>
      </c>
      <c r="I73" s="37"/>
      <c r="J73" s="1"/>
      <c r="K73" s="1"/>
      <c r="L73" s="1"/>
    </row>
    <row r="74" ht="15" customHeight="1">
      <c r="A74" s="1"/>
      <c r="B74" s="63" t="s">
        <v>213</v>
      </c>
      <c r="C74" s="17" t="s">
        <v>40</v>
      </c>
      <c r="D74" s="17" t="s">
        <v>40</v>
      </c>
      <c r="E74" s="16">
        <f>Inputs!E103</f>
        <v>1.04</v>
      </c>
      <c r="F74" s="16">
        <f>Inputs!E104</f>
        <v>1.33</v>
      </c>
      <c r="G74" s="17" t="s">
        <v>40</v>
      </c>
      <c r="H74" s="64">
        <f>C69</f>
        <v>1.26</v>
      </c>
      <c r="I74" s="37" t="s">
        <v>214</v>
      </c>
      <c r="J74" s="1"/>
      <c r="K74" s="1"/>
      <c r="L74" s="1"/>
    </row>
    <row r="75" ht="15" customHeight="1">
      <c r="A75" s="1"/>
      <c r="B75" s="38" t="s">
        <v>74</v>
      </c>
      <c r="C75" s="40" t="str">
        <f t="shared" si="29" ref="C75:H75">IF(ISNUMBER(C74),C68/C74-1,"n.a.")</f>
        <v>n.a.</v>
      </c>
      <c r="D75" s="40" t="str">
        <f t="shared" si="29"/>
        <v>n.a.</v>
      </c>
      <c r="E75" s="40">
        <f t="shared" si="29"/>
        <v>0.41588904404803184</v>
      </c>
      <c r="F75" s="40">
        <f t="shared" si="29"/>
        <v>0.36482323231839464</v>
      </c>
      <c r="G75" s="40" t="str">
        <f t="shared" si="29"/>
        <v>n.a.</v>
      </c>
      <c r="H75" s="41">
        <f t="shared" si="29"/>
        <v>0.7795108387169043</v>
      </c>
      <c r="I75" s="37"/>
      <c r="J75" s="1"/>
      <c r="K75" s="1"/>
      <c r="L75" s="1"/>
    </row>
    <row r="76" ht="15" customHeight="1">
      <c r="A76" s="1"/>
      <c r="B76" s="38" t="s">
        <v>76</v>
      </c>
      <c r="C76" s="40" t="s">
        <v>40</v>
      </c>
      <c r="D76" s="40">
        <f t="shared" si="30" ref="D76:F76">IF(AND(ISNUMBER(D68),ISNUMBER(C68)),D68/C68-1,"n.a.")</f>
        <v>0.0016323546057588345</v>
      </c>
      <c r="E76" s="40">
        <f t="shared" si="30"/>
        <v>0.16293908812828772</v>
      </c>
      <c r="F76" s="40">
        <f t="shared" si="30"/>
        <v>0.23272296559351346</v>
      </c>
      <c r="G76" s="40" t="s">
        <v>40</v>
      </c>
      <c r="H76" s="41">
        <f>IF(AND(ISNUMBER(H68),ISNUMBER(F68)),H68/F68-1,"n.a.")</f>
        <v>0.23521664461818848</v>
      </c>
      <c r="I76" s="37"/>
      <c r="J76" s="1"/>
      <c r="K76" s="1"/>
      <c r="L76" s="1"/>
    </row>
    <row r="77" ht="15" customHeight="1">
      <c r="A77" s="1"/>
      <c r="B77" s="1"/>
      <c r="C77" s="25"/>
      <c r="D77" s="25"/>
      <c r="E77" s="25"/>
      <c r="F77" s="25"/>
      <c r="G77" s="25"/>
      <c r="H77" s="36"/>
      <c r="I77" s="37"/>
      <c r="J77" s="1"/>
      <c r="K77" s="1"/>
      <c r="L77" s="1"/>
    </row>
    <row r="78" ht="15" customHeight="1">
      <c r="A78" s="1"/>
      <c r="B78" s="3" t="s">
        <v>215</v>
      </c>
      <c r="C78" s="25"/>
      <c r="D78" s="25"/>
      <c r="E78" s="25"/>
      <c r="F78" s="25"/>
      <c r="G78" s="25"/>
      <c r="H78" s="36"/>
      <c r="I78" s="37"/>
      <c r="J78" s="1"/>
      <c r="K78" s="1"/>
      <c r="L78" s="1"/>
    </row>
    <row r="79" ht="15" customHeight="1">
      <c r="A79" s="1"/>
      <c r="B79" s="46" t="s">
        <v>216</v>
      </c>
      <c r="C79" s="14">
        <f t="shared" si="31" ref="C79:G79">C14+C52+C53+C54</f>
        <v>2693.582</v>
      </c>
      <c r="D79" s="14">
        <f t="shared" si="31"/>
        <v>2658.2560000000003</v>
      </c>
      <c r="E79" s="14">
        <f t="shared" si="31"/>
        <v>2913.1229999999996</v>
      </c>
      <c r="F79" s="14">
        <f t="shared" si="31"/>
        <v>3497.3359999999993</v>
      </c>
      <c r="G79" s="14">
        <f t="shared" si="31"/>
        <v>11762.296999999999</v>
      </c>
      <c r="H79" s="47">
        <f>H10*H80</f>
        <v>4322.6492226624005</v>
      </c>
      <c r="I79" s="37"/>
      <c r="J79" s="1"/>
      <c r="K79" s="1"/>
      <c r="L79" s="1"/>
    </row>
    <row r="80" ht="15" customHeight="1">
      <c r="A80" s="1"/>
      <c r="B80" s="38" t="s">
        <v>217</v>
      </c>
      <c r="C80" s="40">
        <f t="shared" si="32" ref="C80:G80">C79/C10</f>
        <v>0.5059155666053676</v>
      </c>
      <c r="D80" s="40">
        <f t="shared" si="32"/>
        <v>0.49735452705260136</v>
      </c>
      <c r="E80" s="40">
        <f t="shared" si="32"/>
        <v>0.4986953666600017</v>
      </c>
      <c r="F80" s="40">
        <f t="shared" si="32"/>
        <v>0.5202636383894768</v>
      </c>
      <c r="G80" s="40">
        <f t="shared" si="32"/>
        <v>0.5062821825625874</v>
      </c>
      <c r="H80" s="45">
        <v>0.524</v>
      </c>
      <c r="I80" s="37" t="s">
        <v>218</v>
      </c>
      <c r="J80" s="1"/>
      <c r="K80" s="1"/>
      <c r="L80" s="1"/>
    </row>
    <row r="81" ht="15" customHeight="1">
      <c r="A81" s="1"/>
      <c r="B81" s="42" t="s">
        <v>95</v>
      </c>
      <c r="C81" s="43" t="s">
        <v>40</v>
      </c>
      <c r="D81" s="43">
        <f t="shared" si="3"/>
        <v>-85.6103955276627</v>
      </c>
      <c r="E81" s="43">
        <f t="shared" si="3"/>
        <v>13.408396074003349</v>
      </c>
      <c r="F81" s="43">
        <f t="shared" si="3"/>
        <v>215.68271729475063</v>
      </c>
      <c r="G81" s="43" t="s">
        <v>40</v>
      </c>
      <c r="H81" s="44">
        <f t="shared" si="8"/>
        <v>37.363616105232644</v>
      </c>
      <c r="I81" s="37"/>
      <c r="J81" s="1"/>
      <c r="K81" s="1"/>
      <c r="L81" s="1"/>
    </row>
    <row r="82" ht="15" customHeight="1">
      <c r="A82" s="1"/>
      <c r="B82" s="46" t="s">
        <v>219</v>
      </c>
      <c r="C82" s="52">
        <v>2693.582</v>
      </c>
      <c r="D82" s="52">
        <v>2658.256</v>
      </c>
      <c r="E82" s="52">
        <v>2913.123</v>
      </c>
      <c r="F82" s="52">
        <v>3497.336</v>
      </c>
      <c r="G82" s="14" t="s">
        <v>40</v>
      </c>
      <c r="H82" s="47" t="s">
        <v>40</v>
      </c>
      <c r="I82" s="37" t="s">
        <v>137</v>
      </c>
      <c r="J82" s="1"/>
      <c r="K82" s="1"/>
      <c r="L82" s="1"/>
    </row>
    <row r="83" ht="15" customHeight="1">
      <c r="A83" s="1"/>
      <c r="B83" s="1" t="s">
        <v>220</v>
      </c>
      <c r="C83" s="14" t="b">
        <f t="shared" si="33" ref="C83:F97">ABS(C79-C82)&lt;0.001</f>
        <v>1</v>
      </c>
      <c r="D83" s="14" t="b">
        <f t="shared" si="33"/>
        <v>1</v>
      </c>
      <c r="E83" s="14" t="b">
        <f t="shared" si="33"/>
        <v>1</v>
      </c>
      <c r="F83" s="14" t="b">
        <f t="shared" si="33"/>
        <v>1</v>
      </c>
      <c r="G83" s="25" t="s">
        <v>40</v>
      </c>
      <c r="H83" s="36" t="s">
        <v>40</v>
      </c>
      <c r="I83" s="37"/>
      <c r="J83" s="1"/>
      <c r="K83" s="1"/>
      <c r="L83" s="1"/>
    </row>
    <row r="84" ht="15" customHeight="1">
      <c r="A84" s="1"/>
      <c r="B84" s="46" t="s">
        <v>221</v>
      </c>
      <c r="C84" s="14">
        <f t="shared" si="34" ref="C84:G84">C20-C55-C56-C57-C58-C59-C60</f>
        <v>831.916</v>
      </c>
      <c r="D84" s="14">
        <f t="shared" si="34"/>
        <v>827.486</v>
      </c>
      <c r="E84" s="14">
        <f t="shared" si="34"/>
        <v>866.1659999999999</v>
      </c>
      <c r="F84" s="14">
        <f t="shared" si="34"/>
        <v>916.42</v>
      </c>
      <c r="G84" s="14">
        <f t="shared" si="34"/>
        <v>3441.988</v>
      </c>
      <c r="H84" s="53">
        <v>1010</v>
      </c>
      <c r="I84" s="37" t="s">
        <v>222</v>
      </c>
      <c r="J84" s="1"/>
      <c r="K84" s="1"/>
      <c r="L84" s="1"/>
    </row>
    <row r="85" ht="15" customHeight="1">
      <c r="A85" s="1"/>
      <c r="B85" s="46" t="s">
        <v>75</v>
      </c>
      <c r="C85" s="14" t="s">
        <v>40</v>
      </c>
      <c r="D85" s="14">
        <f t="shared" si="35" ref="D85:F99">IF(AND(ISNUMBER(D84),ISNUMBER(C84)),D84-C84,"n.a.")</f>
        <v>-4.430000000000064</v>
      </c>
      <c r="E85" s="14">
        <f t="shared" si="35"/>
        <v>38.67999999999995</v>
      </c>
      <c r="F85" s="14">
        <f t="shared" si="35"/>
        <v>50.25400000000002</v>
      </c>
      <c r="G85" s="14" t="s">
        <v>40</v>
      </c>
      <c r="H85" s="47">
        <f t="shared" si="44" ref="H85:H99">IF(AND(ISNUMBER(H84),ISNUMBER(F84)),H84-F84,"n.a.")</f>
        <v>93.58000000000004</v>
      </c>
      <c r="I85" s="37"/>
      <c r="J85" s="1"/>
      <c r="K85" s="1"/>
      <c r="L85" s="1"/>
    </row>
    <row r="86" ht="15" customHeight="1">
      <c r="A86" s="1"/>
      <c r="B86" s="38" t="s">
        <v>76</v>
      </c>
      <c r="C86" s="40" t="s">
        <v>40</v>
      </c>
      <c r="D86" s="40">
        <f t="shared" si="0"/>
        <v>-0.005325056856701926</v>
      </c>
      <c r="E86" s="40">
        <f t="shared" si="0"/>
        <v>0.046743993251849414</v>
      </c>
      <c r="F86" s="40">
        <f t="shared" si="0"/>
        <v>0.05801890168859081</v>
      </c>
      <c r="G86" s="40" t="s">
        <v>40</v>
      </c>
      <c r="H86" s="41">
        <f t="shared" si="36"/>
        <v>0.10211475087841815</v>
      </c>
      <c r="I86" s="37"/>
      <c r="J86" s="1"/>
      <c r="K86" s="1"/>
      <c r="L86" s="1"/>
    </row>
    <row r="87" ht="15" customHeight="1">
      <c r="A87" s="1"/>
      <c r="B87" s="38" t="s">
        <v>223</v>
      </c>
      <c r="C87" s="40">
        <f t="shared" si="37" ref="C87:H87">C84/C10</f>
        <v>0.15625262364690254</v>
      </c>
      <c r="D87" s="40">
        <f t="shared" si="37"/>
        <v>0.1548210210651829</v>
      </c>
      <c r="E87" s="40">
        <f t="shared" si="37"/>
        <v>0.148278315388134</v>
      </c>
      <c r="F87" s="40">
        <f t="shared" si="37"/>
        <v>0.13632662217553143</v>
      </c>
      <c r="G87" s="40">
        <f t="shared" si="37"/>
        <v>0.14815279677041274</v>
      </c>
      <c r="H87" s="41">
        <f t="shared" si="37"/>
        <v>0.12243417699158833</v>
      </c>
      <c r="I87" s="37"/>
      <c r="J87" s="1"/>
      <c r="K87" s="1"/>
      <c r="L87" s="1"/>
    </row>
    <row r="88" ht="15" customHeight="1">
      <c r="A88" s="1"/>
      <c r="B88" s="42" t="s">
        <v>95</v>
      </c>
      <c r="C88" s="43" t="s">
        <v>40</v>
      </c>
      <c r="D88" s="43">
        <f t="shared" si="3"/>
        <v>-14.316025817196486</v>
      </c>
      <c r="E88" s="43">
        <f t="shared" si="3"/>
        <v>-65.42705677048899</v>
      </c>
      <c r="F88" s="43">
        <f t="shared" si="3"/>
        <v>-119.5169321260256</v>
      </c>
      <c r="G88" s="43" t="s">
        <v>40</v>
      </c>
      <c r="H88" s="44">
        <f t="shared" si="8"/>
        <v>-138.92445183943101</v>
      </c>
      <c r="I88" s="37"/>
      <c r="J88" s="1"/>
      <c r="K88" s="1"/>
      <c r="L88" s="1"/>
    </row>
    <row r="89" ht="15" customHeight="1">
      <c r="A89" s="1"/>
      <c r="B89" s="38" t="s">
        <v>224</v>
      </c>
      <c r="C89" s="40">
        <f t="shared" si="38" ref="C89:G89">C91/C84</f>
        <v>0.6798979704681722</v>
      </c>
      <c r="D89" s="40">
        <f t="shared" si="38"/>
        <v>0.6831982655899919</v>
      </c>
      <c r="E89" s="40">
        <f t="shared" si="38"/>
        <v>0.6758739086964854</v>
      </c>
      <c r="F89" s="40">
        <f t="shared" si="38"/>
        <v>0.6703040090788066</v>
      </c>
      <c r="G89" s="40">
        <f t="shared" si="38"/>
        <v>0.6771243827694925</v>
      </c>
      <c r="H89" s="45">
        <v>0.67</v>
      </c>
      <c r="I89" s="37" t="s">
        <v>225</v>
      </c>
      <c r="J89" s="1"/>
      <c r="K89" s="1"/>
      <c r="L89" s="1"/>
    </row>
    <row r="90" ht="15" customHeight="1">
      <c r="A90" s="1"/>
      <c r="B90" s="42" t="s">
        <v>95</v>
      </c>
      <c r="C90" s="43" t="s">
        <v>40</v>
      </c>
      <c r="D90" s="43">
        <f t="shared" si="3"/>
        <v>33.00295121819619</v>
      </c>
      <c r="E90" s="43">
        <f t="shared" si="3"/>
        <v>-73.24356893506412</v>
      </c>
      <c r="F90" s="43">
        <f t="shared" si="3"/>
        <v>-55.69899617678842</v>
      </c>
      <c r="G90" s="43" t="s">
        <v>40</v>
      </c>
      <c r="H90" s="44">
        <f t="shared" si="8"/>
        <v>-3.0400907880656636</v>
      </c>
      <c r="I90" s="37"/>
      <c r="J90" s="1"/>
      <c r="K90" s="1"/>
      <c r="L90" s="1"/>
    </row>
    <row r="91" ht="15" customHeight="1">
      <c r="A91" s="1"/>
      <c r="B91" s="46" t="s">
        <v>226</v>
      </c>
      <c r="C91" s="14">
        <f t="shared" si="39" ref="C91:G91">C18-C55-C56</f>
        <v>565.618</v>
      </c>
      <c r="D91" s="14">
        <f t="shared" si="39"/>
        <v>565.337</v>
      </c>
      <c r="E91" s="14">
        <f t="shared" si="39"/>
        <v>585.419</v>
      </c>
      <c r="F91" s="14">
        <f t="shared" si="39"/>
        <v>614.28</v>
      </c>
      <c r="G91" s="14">
        <f t="shared" si="39"/>
        <v>2330.654</v>
      </c>
      <c r="H91" s="47">
        <f>H84*H89</f>
        <v>676.7</v>
      </c>
      <c r="I91" s="37"/>
      <c r="J91" s="1"/>
      <c r="K91" s="1"/>
      <c r="L91" s="1"/>
    </row>
    <row r="92" ht="15" customHeight="1">
      <c r="A92" s="1"/>
      <c r="B92" s="46" t="s">
        <v>227</v>
      </c>
      <c r="C92" s="14">
        <f t="shared" si="40" ref="C92:H92">C84-C91</f>
        <v>266.298</v>
      </c>
      <c r="D92" s="14">
        <f t="shared" si="40"/>
        <v>262.149</v>
      </c>
      <c r="E92" s="14">
        <f t="shared" si="40"/>
        <v>280.74699999999996</v>
      </c>
      <c r="F92" s="14">
        <f t="shared" si="40"/>
        <v>302.14</v>
      </c>
      <c r="G92" s="14">
        <f t="shared" si="40"/>
        <v>1111.3339999999998</v>
      </c>
      <c r="H92" s="47">
        <f t="shared" si="40"/>
        <v>333.29999999999995</v>
      </c>
      <c r="I92" s="37"/>
      <c r="J92" s="1"/>
      <c r="K92" s="1"/>
      <c r="L92" s="1"/>
    </row>
    <row r="93" ht="15" customHeight="1">
      <c r="A93" s="1"/>
      <c r="B93" s="48" t="s">
        <v>228</v>
      </c>
      <c r="C93" s="49">
        <f t="shared" si="41" ref="C93:H93">C79-C84</f>
        <v>1861.6659999999997</v>
      </c>
      <c r="D93" s="49">
        <f t="shared" si="41"/>
        <v>1830.7700000000004</v>
      </c>
      <c r="E93" s="49">
        <f t="shared" si="41"/>
        <v>2046.9569999999997</v>
      </c>
      <c r="F93" s="49">
        <f t="shared" si="41"/>
        <v>2580.9159999999993</v>
      </c>
      <c r="G93" s="49">
        <f t="shared" si="41"/>
        <v>8320.309</v>
      </c>
      <c r="H93" s="50">
        <f t="shared" si="41"/>
        <v>3312.6492226624005</v>
      </c>
      <c r="I93" s="37"/>
      <c r="J93" s="1"/>
      <c r="K93" s="1"/>
      <c r="L93" s="1"/>
    </row>
    <row r="94" ht="15" customHeight="1">
      <c r="A94" s="1"/>
      <c r="B94" s="38" t="s">
        <v>229</v>
      </c>
      <c r="C94" s="40">
        <f t="shared" si="42" ref="C94:H94">C93/C10</f>
        <v>0.34966294295846506</v>
      </c>
      <c r="D94" s="40">
        <f t="shared" si="42"/>
        <v>0.3425335059874185</v>
      </c>
      <c r="E94" s="40">
        <f t="shared" si="42"/>
        <v>0.3504170512718677</v>
      </c>
      <c r="F94" s="40">
        <f t="shared" si="42"/>
        <v>0.3839370162139453</v>
      </c>
      <c r="G94" s="40">
        <f t="shared" si="42"/>
        <v>0.35812938579217474</v>
      </c>
      <c r="H94" s="41">
        <f t="shared" si="42"/>
        <v>0.40156582300841176</v>
      </c>
      <c r="I94" s="37"/>
      <c r="J94" s="1"/>
      <c r="K94" s="1"/>
      <c r="L94" s="1"/>
    </row>
    <row r="95" ht="15" customHeight="1">
      <c r="A95" s="1"/>
      <c r="B95" s="42" t="s">
        <v>95</v>
      </c>
      <c r="C95" s="43" t="s">
        <v>40</v>
      </c>
      <c r="D95" s="43">
        <f t="shared" si="3"/>
        <v>-71.29436971046566</v>
      </c>
      <c r="E95" s="43">
        <f t="shared" si="3"/>
        <v>78.83545284449178</v>
      </c>
      <c r="F95" s="43">
        <f t="shared" si="3"/>
        <v>335.1996494207765</v>
      </c>
      <c r="G95" s="43" t="s">
        <v>40</v>
      </c>
      <c r="H95" s="44">
        <f t="shared" si="8"/>
        <v>176.28806794466433</v>
      </c>
      <c r="I95" s="37"/>
      <c r="J95" s="1"/>
      <c r="K95" s="1"/>
      <c r="L95" s="1"/>
    </row>
    <row r="96" ht="15" customHeight="1">
      <c r="A96" s="1"/>
      <c r="B96" s="46" t="s">
        <v>230</v>
      </c>
      <c r="C96" s="52">
        <v>1861.666</v>
      </c>
      <c r="D96" s="52">
        <v>1830.77</v>
      </c>
      <c r="E96" s="52">
        <v>2046.957</v>
      </c>
      <c r="F96" s="52">
        <v>2580.916</v>
      </c>
      <c r="G96" s="14" t="s">
        <v>40</v>
      </c>
      <c r="H96" s="47" t="s">
        <v>40</v>
      </c>
      <c r="I96" s="37" t="s">
        <v>137</v>
      </c>
      <c r="J96" s="1"/>
      <c r="K96" s="1"/>
      <c r="L96" s="1"/>
    </row>
    <row r="97" ht="15" customHeight="1">
      <c r="A97" s="1"/>
      <c r="B97" s="1" t="s">
        <v>231</v>
      </c>
      <c r="C97" s="14" t="b">
        <f t="shared" si="33"/>
        <v>1</v>
      </c>
      <c r="D97" s="14" t="b">
        <f t="shared" si="33"/>
        <v>1</v>
      </c>
      <c r="E97" s="14" t="b">
        <f t="shared" si="33"/>
        <v>1</v>
      </c>
      <c r="F97" s="14" t="b">
        <f t="shared" si="33"/>
        <v>1</v>
      </c>
      <c r="G97" s="25" t="s">
        <v>40</v>
      </c>
      <c r="H97" s="36" t="s">
        <v>40</v>
      </c>
      <c r="I97" s="37"/>
      <c r="J97" s="1"/>
      <c r="K97" s="1"/>
      <c r="L97" s="1"/>
    </row>
    <row r="98" ht="15" customHeight="1">
      <c r="A98" s="1"/>
      <c r="B98" s="46" t="s">
        <v>232</v>
      </c>
      <c r="C98" s="14">
        <f t="shared" si="43" ref="C98:G98">C27+C61+C62</f>
        <v>7.681000000000001</v>
      </c>
      <c r="D98" s="14">
        <f t="shared" si="43"/>
        <v>10.483</v>
      </c>
      <c r="E98" s="14">
        <f t="shared" si="43"/>
        <v>-7.521000000000001</v>
      </c>
      <c r="F98" s="14">
        <f t="shared" si="43"/>
        <v>-19.167</v>
      </c>
      <c r="G98" s="14">
        <f t="shared" si="43"/>
        <v>-8.524000000000001</v>
      </c>
      <c r="H98" s="47">
        <f>AVERAGE(C98:F98)</f>
        <v>-2.1310000000000002</v>
      </c>
      <c r="I98" s="37" t="s">
        <v>233</v>
      </c>
      <c r="J98" s="1"/>
      <c r="K98" s="1"/>
      <c r="L98" s="1"/>
    </row>
    <row r="99" ht="15" customHeight="1">
      <c r="A99" s="1"/>
      <c r="B99" s="46" t="s">
        <v>75</v>
      </c>
      <c r="C99" s="14" t="s">
        <v>40</v>
      </c>
      <c r="D99" s="14">
        <f t="shared" si="35"/>
        <v>2.8019999999999996</v>
      </c>
      <c r="E99" s="14">
        <f t="shared" si="35"/>
        <v>-18.004</v>
      </c>
      <c r="F99" s="14">
        <f t="shared" si="35"/>
        <v>-11.646</v>
      </c>
      <c r="G99" s="14" t="s">
        <v>40</v>
      </c>
      <c r="H99" s="47">
        <f t="shared" si="44"/>
        <v>17.036</v>
      </c>
      <c r="I99" s="37"/>
      <c r="J99" s="1"/>
      <c r="K99" s="1"/>
      <c r="L99" s="1"/>
    </row>
    <row r="100" ht="15" customHeight="1">
      <c r="A100" s="1"/>
      <c r="B100" s="48" t="s">
        <v>234</v>
      </c>
      <c r="C100" s="49">
        <f t="shared" si="45" ref="C100:H100">C93+C98</f>
        <v>1869.3469999999998</v>
      </c>
      <c r="D100" s="49">
        <f t="shared" si="45"/>
        <v>1841.2530000000004</v>
      </c>
      <c r="E100" s="49">
        <f t="shared" si="45"/>
        <v>2039.4359999999997</v>
      </c>
      <c r="F100" s="49">
        <f t="shared" si="45"/>
        <v>2561.7489999999993</v>
      </c>
      <c r="G100" s="49">
        <f t="shared" si="45"/>
        <v>8311.785</v>
      </c>
      <c r="H100" s="50">
        <f t="shared" si="45"/>
        <v>3310.5182226624006</v>
      </c>
      <c r="I100" s="37"/>
      <c r="J100" s="1"/>
      <c r="K100" s="1"/>
      <c r="L100" s="1"/>
    </row>
    <row r="101" ht="15" customHeight="1">
      <c r="A101" s="1"/>
      <c r="B101" s="46" t="s">
        <v>235</v>
      </c>
      <c r="C101" s="14">
        <f t="shared" si="46" ref="C101:G101">C65-C100</f>
        <v>-264.75</v>
      </c>
      <c r="D101" s="14">
        <f t="shared" si="46"/>
        <v>-243.62699999999973</v>
      </c>
      <c r="E101" s="14">
        <f t="shared" si="46"/>
        <v>-187.99400000000014</v>
      </c>
      <c r="F101" s="14">
        <f t="shared" si="46"/>
        <v>-281.78099999999995</v>
      </c>
      <c r="G101" s="14">
        <f t="shared" si="46"/>
        <v>-978.1520000000019</v>
      </c>
      <c r="H101" s="47">
        <f>-H100*H102</f>
        <v>-496.57773339936006</v>
      </c>
      <c r="I101" s="37"/>
      <c r="J101" s="1"/>
      <c r="K101" s="1"/>
      <c r="L101" s="1"/>
    </row>
    <row r="102" ht="15" customHeight="1">
      <c r="A102" s="1"/>
      <c r="B102" s="38" t="s">
        <v>236</v>
      </c>
      <c r="C102" s="40">
        <f t="shared" si="13"/>
        <v>0.14162699595099254</v>
      </c>
      <c r="D102" s="40">
        <f t="shared" si="13"/>
        <v>0.132315874027089</v>
      </c>
      <c r="E102" s="40">
        <f t="shared" si="13"/>
        <v>0.09217940646335564</v>
      </c>
      <c r="F102" s="40">
        <f t="shared" si="13"/>
        <v>0.10999555381889484</v>
      </c>
      <c r="G102" s="40">
        <f t="shared" si="13"/>
        <v>0.11768254352103692</v>
      </c>
      <c r="H102" s="45">
        <v>0.15</v>
      </c>
      <c r="I102" s="37" t="s">
        <v>237</v>
      </c>
      <c r="J102" s="1"/>
      <c r="K102" s="1"/>
      <c r="L102" s="1"/>
    </row>
    <row r="103" ht="15" customHeight="1">
      <c r="A103" s="1"/>
      <c r="B103" s="42" t="s">
        <v>95</v>
      </c>
      <c r="C103" s="43" t="s">
        <v>40</v>
      </c>
      <c r="D103" s="43">
        <f t="shared" si="3"/>
        <v>-93.11121923903542</v>
      </c>
      <c r="E103" s="43">
        <f t="shared" si="3"/>
        <v>-401.3646756373336</v>
      </c>
      <c r="F103" s="43">
        <f t="shared" si="3"/>
        <v>178.161473555392</v>
      </c>
      <c r="G103" s="43" t="s">
        <v>40</v>
      </c>
      <c r="H103" s="44">
        <f t="shared" si="8"/>
        <v>400.0444618110516</v>
      </c>
      <c r="I103" s="37"/>
      <c r="J103" s="1"/>
      <c r="K103" s="1"/>
      <c r="L103" s="1"/>
    </row>
    <row r="104" ht="15" customHeight="1">
      <c r="A104" s="1"/>
      <c r="B104" s="48" t="s">
        <v>238</v>
      </c>
      <c r="C104" s="49">
        <f t="shared" si="14"/>
        <v>1604.5969999999998</v>
      </c>
      <c r="D104" s="49">
        <f t="shared" si="14"/>
        <v>1597.6260000000007</v>
      </c>
      <c r="E104" s="49">
        <f t="shared" si="14"/>
        <v>1851.4419999999996</v>
      </c>
      <c r="F104" s="49">
        <f t="shared" si="14"/>
        <v>2279.9679999999994</v>
      </c>
      <c r="G104" s="49">
        <f t="shared" si="14"/>
        <v>7333.632999999998</v>
      </c>
      <c r="H104" s="50">
        <f t="shared" si="14"/>
        <v>2813.9404892630405</v>
      </c>
      <c r="I104" s="37"/>
      <c r="J104" s="1"/>
      <c r="K104" s="1"/>
      <c r="L104" s="1"/>
    </row>
    <row r="105" ht="15" customHeight="1">
      <c r="A105" s="1"/>
      <c r="B105" s="1" t="s">
        <v>239</v>
      </c>
      <c r="C105" s="14" t="b">
        <f t="shared" si="47" ref="C105:H105">ABS(C104-C65)&lt;0.001</f>
        <v>1</v>
      </c>
      <c r="D105" s="14" t="b">
        <f t="shared" si="47"/>
        <v>1</v>
      </c>
      <c r="E105" s="14" t="b">
        <f t="shared" si="47"/>
        <v>1</v>
      </c>
      <c r="F105" s="14" t="b">
        <f t="shared" si="47"/>
        <v>1</v>
      </c>
      <c r="G105" s="14" t="b">
        <f t="shared" si="47"/>
        <v>1</v>
      </c>
      <c r="H105" s="47" t="b">
        <f t="shared" si="47"/>
        <v>1</v>
      </c>
      <c r="I105" s="37"/>
      <c r="J105" s="1"/>
      <c r="K105" s="1"/>
      <c r="L105" s="1"/>
    </row>
    <row r="106" ht="15" customHeight="1">
      <c r="A106" s="1"/>
      <c r="B106" s="38" t="s">
        <v>240</v>
      </c>
      <c r="C106" s="40">
        <f t="shared" si="48" ref="C106:H106">C65/C10</f>
        <v>0.3013795757575871</v>
      </c>
      <c r="D106" s="40">
        <f t="shared" si="48"/>
        <v>0.29891271707350214</v>
      </c>
      <c r="E106" s="40">
        <f t="shared" si="48"/>
        <v>0.3169469833713601</v>
      </c>
      <c r="F106" s="40">
        <f t="shared" si="48"/>
        <v>0.33916799732470043</v>
      </c>
      <c r="G106" s="40">
        <f t="shared" si="48"/>
        <v>0.31566008929659023</v>
      </c>
      <c r="H106" s="41">
        <f t="shared" si="48"/>
        <v>0.34111137416458204</v>
      </c>
      <c r="I106" s="37"/>
      <c r="J106" s="1"/>
      <c r="K106" s="1"/>
      <c r="L106" s="1"/>
    </row>
    <row r="107" ht="15" customHeight="1">
      <c r="A107" s="1"/>
      <c r="B107" s="42" t="s">
        <v>95</v>
      </c>
      <c r="C107" s="43" t="s">
        <v>40</v>
      </c>
      <c r="D107" s="43">
        <f t="shared" si="3"/>
        <v>-24.668586840849716</v>
      </c>
      <c r="E107" s="43">
        <f t="shared" si="3"/>
        <v>180.34266297857982</v>
      </c>
      <c r="F107" s="43">
        <f t="shared" si="3"/>
        <v>222.21013953340307</v>
      </c>
      <c r="G107" s="43" t="s">
        <v>40</v>
      </c>
      <c r="H107" s="44">
        <f t="shared" si="8"/>
        <v>19.433768398816053</v>
      </c>
      <c r="I107" s="37"/>
      <c r="J107" s="1"/>
      <c r="K107" s="1"/>
      <c r="L107" s="1"/>
    </row>
    <row r="108" ht="15" customHeight="1">
      <c r="A108" s="1"/>
      <c r="B108" s="46" t="s">
        <v>241</v>
      </c>
      <c r="C108" s="14" t="s">
        <v>40</v>
      </c>
      <c r="D108" s="14" t="s">
        <v>40</v>
      </c>
      <c r="E108" s="14" t="s">
        <v>40</v>
      </c>
      <c r="F108" s="14" t="s">
        <v>40</v>
      </c>
      <c r="G108" s="52">
        <v>7265.396</v>
      </c>
      <c r="H108" s="47" t="s">
        <v>40</v>
      </c>
      <c r="I108" s="37" t="s">
        <v>242</v>
      </c>
      <c r="J108" s="1"/>
      <c r="K108" s="1"/>
      <c r="L108" s="1"/>
    </row>
    <row r="109" ht="15" customHeight="1">
      <c r="A109" s="1"/>
      <c r="B109" s="1" t="s">
        <v>243</v>
      </c>
      <c r="C109" s="25" t="s">
        <v>40</v>
      </c>
      <c r="D109" s="25" t="s">
        <v>40</v>
      </c>
      <c r="E109" s="25" t="s">
        <v>40</v>
      </c>
      <c r="F109" s="25" t="s">
        <v>40</v>
      </c>
      <c r="G109" s="14" t="b">
        <f>AND(ABS(G32-SUM(C32:F32))&lt;0.001,ABS(G32-G108)&lt;0.001)</f>
        <v>1</v>
      </c>
      <c r="H109" s="36" t="s">
        <v>40</v>
      </c>
      <c r="I109" s="37"/>
      <c r="J109" s="1"/>
      <c r="K109" s="1"/>
      <c r="L109" s="1"/>
    </row>
    <row r="110" ht="1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ht="1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A858E18-24B8-E1D8-F54A-B70F44C9F345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244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29" t="s">
        <v>59</v>
      </c>
      <c r="C5" s="30" t="s">
        <v>60</v>
      </c>
      <c r="D5" s="30" t="s">
        <v>61</v>
      </c>
      <c r="E5" s="30" t="s">
        <v>62</v>
      </c>
      <c r="F5" s="30" t="s">
        <v>63</v>
      </c>
      <c r="G5" s="30" t="s">
        <v>64</v>
      </c>
      <c r="H5" s="31" t="s">
        <v>4</v>
      </c>
      <c r="I5" s="29" t="s">
        <v>65</v>
      </c>
      <c r="J5" s="1"/>
      <c r="K5" s="1"/>
      <c r="L5" s="1"/>
    </row>
    <row r="6" ht="15" customHeight="1">
      <c r="A6" s="1"/>
      <c r="B6" s="7" t="s">
        <v>5</v>
      </c>
      <c r="C6" s="8">
        <v>45928</v>
      </c>
      <c r="D6" s="8">
        <v>46019</v>
      </c>
      <c r="E6" s="8">
        <v>46110</v>
      </c>
      <c r="F6" s="8">
        <v>46201</v>
      </c>
      <c r="G6" s="8">
        <v>46201</v>
      </c>
      <c r="H6" s="32">
        <v>46292</v>
      </c>
      <c r="I6" s="7"/>
      <c r="J6" s="1"/>
      <c r="K6" s="1"/>
      <c r="L6" s="1"/>
    </row>
    <row r="7" ht="15" customHeight="1">
      <c r="A7" s="1"/>
      <c r="B7" s="33" t="s">
        <v>6</v>
      </c>
      <c r="C7" s="34">
        <v>91</v>
      </c>
      <c r="D7" s="34">
        <v>91</v>
      </c>
      <c r="E7" s="34">
        <v>91</v>
      </c>
      <c r="F7" s="34">
        <v>91</v>
      </c>
      <c r="G7" s="34">
        <v>364</v>
      </c>
      <c r="H7" s="35">
        <v>91</v>
      </c>
      <c r="I7" s="33"/>
      <c r="J7" s="1"/>
      <c r="K7" s="1"/>
      <c r="L7" s="1"/>
    </row>
    <row r="8" ht="15" customHeight="1">
      <c r="A8" s="1"/>
      <c r="B8" s="1"/>
      <c r="C8" s="25"/>
      <c r="D8" s="25"/>
      <c r="E8" s="25"/>
      <c r="F8" s="25"/>
      <c r="G8" s="25"/>
      <c r="H8" s="36"/>
      <c r="I8" s="37"/>
      <c r="J8" s="1"/>
      <c r="K8" s="1"/>
      <c r="L8" s="1"/>
    </row>
    <row r="9" ht="15" customHeight="1">
      <c r="A9" s="1"/>
      <c r="B9" s="3" t="s">
        <v>245</v>
      </c>
      <c r="C9" s="25"/>
      <c r="D9" s="25"/>
      <c r="E9" s="25"/>
      <c r="F9" s="25"/>
      <c r="G9" s="25"/>
      <c r="H9" s="36"/>
      <c r="I9" s="37"/>
      <c r="J9" s="1"/>
      <c r="K9" s="1"/>
      <c r="L9" s="1"/>
    </row>
    <row r="10" ht="15" customHeight="1">
      <c r="A10" s="1"/>
      <c r="B10" s="46" t="s">
        <v>246</v>
      </c>
      <c r="C10" s="52">
        <v>6693.046</v>
      </c>
      <c r="D10" s="52">
        <v>6180.44</v>
      </c>
      <c r="E10" s="52">
        <v>4750.936</v>
      </c>
      <c r="F10" s="52">
        <v>5579.171</v>
      </c>
      <c r="G10" s="14">
        <f t="shared" si="0" ref="G10:G35">F10</f>
        <v>5579.171</v>
      </c>
      <c r="H10" s="62">
        <f>'Cash Flow Statement'!H48</f>
        <v>6524.666864678426</v>
      </c>
      <c r="I10" s="37" t="s">
        <v>247</v>
      </c>
      <c r="J10" s="1"/>
      <c r="K10" s="1"/>
      <c r="L10" s="1"/>
    </row>
    <row r="11" ht="15" customHeight="1">
      <c r="A11" s="1"/>
      <c r="B11" s="46" t="s">
        <v>248</v>
      </c>
      <c r="C11" s="52">
        <v>3633.034</v>
      </c>
      <c r="D11" s="52">
        <v>3491.987</v>
      </c>
      <c r="E11" s="52">
        <v>4132.89</v>
      </c>
      <c r="F11" s="52">
        <v>5339.682</v>
      </c>
      <c r="G11" s="14">
        <f t="shared" si="0"/>
        <v>5339.682</v>
      </c>
      <c r="H11" s="62">
        <f>H12*'Income Statement'!H10/H$7</f>
        <v>6526.942874584615</v>
      </c>
      <c r="I11" s="37" t="s">
        <v>137</v>
      </c>
      <c r="J11" s="1"/>
      <c r="K11" s="1"/>
      <c r="L11" s="1"/>
    </row>
    <row r="12" ht="15" customHeight="1">
      <c r="A12" s="1"/>
      <c r="B12" s="70" t="s">
        <v>249</v>
      </c>
      <c r="C12" s="71">
        <f>C11/'Income Statement'!C10*C$7</f>
        <v>62.095295175419736</v>
      </c>
      <c r="D12" s="71">
        <f>D11/'Income Statement'!D10*D$7</f>
        <v>59.454301767833385</v>
      </c>
      <c r="E12" s="71">
        <f>E11/'Income Statement'!E10*E$7</f>
        <v>64.38308013300721</v>
      </c>
      <c r="F12" s="71">
        <f>F11/'Income Statement'!F10*F$7</f>
        <v>72.28412055627902</v>
      </c>
      <c r="G12" s="71">
        <f>G11/'Income Statement'!G10*G$7</f>
        <v>83.65988820063454</v>
      </c>
      <c r="H12" s="72">
        <v>72</v>
      </c>
      <c r="I12" s="37" t="s">
        <v>250</v>
      </c>
      <c r="J12" s="1"/>
      <c r="K12" s="1"/>
      <c r="L12" s="1"/>
    </row>
    <row r="13" ht="15" customHeight="1">
      <c r="A13" s="1"/>
      <c r="B13" s="70" t="s">
        <v>251</v>
      </c>
      <c r="C13" s="73" t="s">
        <v>40</v>
      </c>
      <c r="D13" s="73">
        <f t="shared" si="1" ref="D13:F13">D12-C12</f>
        <v>-2.6409934075863504</v>
      </c>
      <c r="E13" s="73">
        <f t="shared" si="1"/>
        <v>4.928778365173827</v>
      </c>
      <c r="F13" s="73">
        <f t="shared" si="1"/>
        <v>7.901040423271809</v>
      </c>
      <c r="G13" s="73" t="s">
        <v>40</v>
      </c>
      <c r="H13" s="74">
        <f>H12-F12</f>
        <v>-0.2841205562790208</v>
      </c>
      <c r="I13" s="37"/>
      <c r="J13" s="1"/>
      <c r="K13" s="1"/>
      <c r="L13" s="1"/>
    </row>
    <row r="14" ht="15" customHeight="1">
      <c r="A14" s="1"/>
      <c r="B14" s="46" t="s">
        <v>252</v>
      </c>
      <c r="C14" s="52">
        <v>4095.054</v>
      </c>
      <c r="D14" s="52">
        <v>4037.682</v>
      </c>
      <c r="E14" s="52">
        <v>3999.992</v>
      </c>
      <c r="F14" s="52">
        <v>4276.111</v>
      </c>
      <c r="G14" s="14">
        <f t="shared" si="0"/>
        <v>4276.111</v>
      </c>
      <c r="H14" s="47">
        <f t="shared" si="8" ref="H14:H27">F14*(1+H15)</f>
        <v>4489.91655</v>
      </c>
      <c r="I14" s="37" t="s">
        <v>137</v>
      </c>
      <c r="J14" s="1"/>
      <c r="K14" s="1"/>
      <c r="L14" s="1"/>
    </row>
    <row r="15" ht="15" customHeight="1">
      <c r="A15" s="1"/>
      <c r="B15" s="38" t="s">
        <v>253</v>
      </c>
      <c r="C15" s="40" t="s">
        <v>40</v>
      </c>
      <c r="D15" s="40">
        <f t="shared" si="2" ref="D15:F28">D14/C14-1</f>
        <v>-0.014010071662058698</v>
      </c>
      <c r="E15" s="40">
        <f t="shared" si="2"/>
        <v>-0.009334563742265933</v>
      </c>
      <c r="F15" s="40">
        <f t="shared" si="2"/>
        <v>0.06902988805977595</v>
      </c>
      <c r="G15" s="40" t="s">
        <v>40</v>
      </c>
      <c r="H15" s="45">
        <v>0.05</v>
      </c>
      <c r="I15" s="37" t="s">
        <v>254</v>
      </c>
      <c r="J15" s="1"/>
      <c r="K15" s="1"/>
      <c r="L15" s="1"/>
    </row>
    <row r="16" ht="15" customHeight="1">
      <c r="A16" s="1"/>
      <c r="B16" s="42" t="s">
        <v>95</v>
      </c>
      <c r="C16" s="43" t="s">
        <v>40</v>
      </c>
      <c r="D16" s="43" t="str">
        <f t="shared" si="3" ref="D16:F29">IF(AND(ISNUMBER(D15),ISNUMBER(C15)),(D15-C15)*10000,"n.a.")</f>
        <v>n.a.</v>
      </c>
      <c r="E16" s="43">
        <f t="shared" si="3"/>
        <v>46.75507919792765</v>
      </c>
      <c r="F16" s="43">
        <f t="shared" si="3"/>
        <v>783.6445180204188</v>
      </c>
      <c r="G16" s="43" t="s">
        <v>40</v>
      </c>
      <c r="H16" s="44">
        <f t="shared" si="9" ref="H16:H29">IF(AND(ISNUMBER(H15),ISNUMBER(F15)),(H15-F15)*10000,"n.a.")</f>
        <v>-190.29888059775942</v>
      </c>
      <c r="I16" s="37"/>
      <c r="J16" s="1"/>
      <c r="K16" s="1"/>
      <c r="L16" s="1"/>
    </row>
    <row r="17" ht="15" customHeight="1">
      <c r="A17" s="1"/>
      <c r="B17" s="46" t="s">
        <v>255</v>
      </c>
      <c r="C17" s="52">
        <v>385.58</v>
      </c>
      <c r="D17" s="52">
        <v>307.914</v>
      </c>
      <c r="E17" s="52">
        <v>413.099</v>
      </c>
      <c r="F17" s="52">
        <v>415.741</v>
      </c>
      <c r="G17" s="14">
        <f t="shared" si="0"/>
        <v>415.741</v>
      </c>
      <c r="H17" s="47">
        <f t="shared" si="5" ref="H17:H33">F17</f>
        <v>415.741</v>
      </c>
      <c r="I17" s="37" t="s">
        <v>256</v>
      </c>
      <c r="J17" s="1"/>
      <c r="K17" s="1"/>
      <c r="L17" s="1"/>
    </row>
    <row r="18" ht="15" customHeight="1">
      <c r="A18" s="1"/>
      <c r="B18" s="48" t="s">
        <v>257</v>
      </c>
      <c r="C18" s="49">
        <f t="shared" si="4" ref="C18:H18">C10+C11+C14+C17</f>
        <v>14806.714</v>
      </c>
      <c r="D18" s="49">
        <f t="shared" si="4"/>
        <v>14018.023000000001</v>
      </c>
      <c r="E18" s="49">
        <f t="shared" si="4"/>
        <v>13296.917000000001</v>
      </c>
      <c r="F18" s="49">
        <f t="shared" si="4"/>
        <v>15610.705</v>
      </c>
      <c r="G18" s="49">
        <f t="shared" si="4"/>
        <v>15610.705</v>
      </c>
      <c r="H18" s="50">
        <f t="shared" si="4"/>
        <v>17957.267289263043</v>
      </c>
      <c r="I18" s="37"/>
      <c r="J18" s="1"/>
      <c r="K18" s="1"/>
      <c r="L18" s="1"/>
    </row>
    <row r="19" ht="15" customHeight="1">
      <c r="A19" s="1"/>
      <c r="B19" s="46" t="s">
        <v>258</v>
      </c>
      <c r="C19" s="52">
        <v>2510.531</v>
      </c>
      <c r="D19" s="52">
        <v>2710.989</v>
      </c>
      <c r="E19" s="52">
        <v>2853.614</v>
      </c>
      <c r="F19" s="52">
        <v>2956.472</v>
      </c>
      <c r="G19" s="14">
        <f t="shared" si="0"/>
        <v>2956.472</v>
      </c>
      <c r="H19" s="62">
        <f>F19-'Cash Flow Statement'!H28-('Cash Flow Statement'!H11-'Income Statement'!H52-'Income Statement'!H57)</f>
        <v>3084.472</v>
      </c>
      <c r="I19" s="37" t="s">
        <v>259</v>
      </c>
      <c r="J19" s="1"/>
      <c r="K19" s="1"/>
      <c r="L19" s="1"/>
    </row>
    <row r="20" ht="15" customHeight="1">
      <c r="A20" s="1"/>
      <c r="B20" s="46" t="s">
        <v>260</v>
      </c>
      <c r="C20" s="52">
        <v>1826.95</v>
      </c>
      <c r="D20" s="52">
        <v>1864.037</v>
      </c>
      <c r="E20" s="52">
        <v>1882.017</v>
      </c>
      <c r="F20" s="52">
        <v>1895.859</v>
      </c>
      <c r="G20" s="14">
        <f t="shared" si="0"/>
        <v>1895.859</v>
      </c>
      <c r="H20" s="62">
        <f>F20-'Income Statement'!H52-'Income Statement'!H57</f>
        <v>1892.859</v>
      </c>
      <c r="I20" s="37" t="s">
        <v>261</v>
      </c>
      <c r="J20" s="1"/>
      <c r="K20" s="1"/>
      <c r="L20" s="1"/>
    </row>
    <row r="21" ht="15" customHeight="1">
      <c r="A21" s="1"/>
      <c r="B21" s="46" t="s">
        <v>262</v>
      </c>
      <c r="C21" s="52">
        <v>2756.016</v>
      </c>
      <c r="D21" s="52">
        <v>2798.122</v>
      </c>
      <c r="E21" s="52">
        <v>2759.362</v>
      </c>
      <c r="F21" s="52">
        <v>3066.707</v>
      </c>
      <c r="G21" s="14">
        <f t="shared" si="0"/>
        <v>3066.707</v>
      </c>
      <c r="H21" s="47">
        <f t="shared" si="5"/>
        <v>3066.707</v>
      </c>
      <c r="I21" s="37" t="s">
        <v>256</v>
      </c>
      <c r="J21" s="1"/>
      <c r="K21" s="1"/>
      <c r="L21" s="1"/>
    </row>
    <row r="22" ht="15" customHeight="1">
      <c r="A22" s="1"/>
      <c r="B22" s="48" t="s">
        <v>263</v>
      </c>
      <c r="C22" s="49">
        <f t="shared" si="6" ref="C22:H34">C18+C19+C20+C21</f>
        <v>21900.211</v>
      </c>
      <c r="D22" s="49">
        <f t="shared" si="6"/>
        <v>21391.171000000002</v>
      </c>
      <c r="E22" s="49">
        <f t="shared" si="6"/>
        <v>20791.910000000003</v>
      </c>
      <c r="F22" s="49">
        <f t="shared" si="6"/>
        <v>23529.743</v>
      </c>
      <c r="G22" s="49">
        <f t="shared" si="6"/>
        <v>23529.743</v>
      </c>
      <c r="H22" s="50">
        <f t="shared" si="6"/>
        <v>26001.305289263044</v>
      </c>
      <c r="I22" s="37"/>
      <c r="J22" s="1"/>
      <c r="K22" s="1"/>
      <c r="L22" s="1"/>
    </row>
    <row r="23" ht="15" customHeight="1">
      <c r="A23" s="1"/>
      <c r="B23" s="46" t="s">
        <v>264</v>
      </c>
      <c r="C23" s="52">
        <v>21900.211</v>
      </c>
      <c r="D23" s="52">
        <v>21391.171</v>
      </c>
      <c r="E23" s="52">
        <v>20791.91</v>
      </c>
      <c r="F23" s="52">
        <v>23529.743</v>
      </c>
      <c r="G23" s="52">
        <v>23529.743</v>
      </c>
      <c r="H23" s="47" t="s">
        <v>40</v>
      </c>
      <c r="I23" s="37" t="s">
        <v>137</v>
      </c>
      <c r="J23" s="1"/>
      <c r="K23" s="1"/>
      <c r="L23" s="1"/>
    </row>
    <row r="24" ht="15" customHeight="1">
      <c r="A24" s="1"/>
      <c r="B24" s="1" t="s">
        <v>265</v>
      </c>
      <c r="C24" s="14" t="b">
        <f t="shared" si="7" ref="C24:G24">ABS(C22-C23)&lt;0.001</f>
        <v>1</v>
      </c>
      <c r="D24" s="14" t="b">
        <f t="shared" si="7"/>
        <v>1</v>
      </c>
      <c r="E24" s="14" t="b">
        <f t="shared" si="7"/>
        <v>1</v>
      </c>
      <c r="F24" s="14" t="b">
        <f t="shared" si="7"/>
        <v>1</v>
      </c>
      <c r="G24" s="14" t="b">
        <f t="shared" si="7"/>
        <v>1</v>
      </c>
      <c r="H24" s="36" t="s">
        <v>40</v>
      </c>
      <c r="I24" s="37"/>
      <c r="J24" s="1"/>
      <c r="K24" s="1"/>
      <c r="L24" s="1"/>
    </row>
    <row r="25" ht="15" customHeight="1">
      <c r="A25" s="1"/>
      <c r="B25" s="3" t="s">
        <v>266</v>
      </c>
      <c r="C25" s="25"/>
      <c r="D25" s="25"/>
      <c r="E25" s="25"/>
      <c r="F25" s="25"/>
      <c r="G25" s="25"/>
      <c r="H25" s="36"/>
      <c r="I25" s="37"/>
      <c r="J25" s="1"/>
      <c r="K25" s="1"/>
      <c r="L25" s="1"/>
    </row>
    <row r="26" ht="15" customHeight="1">
      <c r="A26" s="1"/>
      <c r="B26" s="46" t="s">
        <v>267</v>
      </c>
      <c r="C26" s="52">
        <v>754.363</v>
      </c>
      <c r="D26" s="52">
        <v>754.006</v>
      </c>
      <c r="E26" s="52">
        <v>4.095</v>
      </c>
      <c r="F26" s="52">
        <v>4.073</v>
      </c>
      <c r="G26" s="14">
        <f t="shared" si="0"/>
        <v>4.073</v>
      </c>
      <c r="H26" s="62">
        <f>F26+'Cash Flow Statement'!H32</f>
        <v>2.6730000000000005</v>
      </c>
      <c r="I26" s="37" t="s">
        <v>137</v>
      </c>
      <c r="J26" s="1"/>
      <c r="K26" s="1"/>
      <c r="L26" s="1"/>
    </row>
    <row r="27" ht="15" customHeight="1">
      <c r="A27" s="1"/>
      <c r="B27" s="46" t="s">
        <v>268</v>
      </c>
      <c r="C27" s="52">
        <v>5953.547</v>
      </c>
      <c r="D27" s="52">
        <v>5459.147</v>
      </c>
      <c r="E27" s="52">
        <v>5238.303</v>
      </c>
      <c r="F27" s="52">
        <v>5933.176</v>
      </c>
      <c r="G27" s="14">
        <f t="shared" si="0"/>
        <v>5933.176</v>
      </c>
      <c r="H27" s="47">
        <f t="shared" si="8"/>
        <v>6407.830080000001</v>
      </c>
      <c r="I27" s="37" t="s">
        <v>269</v>
      </c>
      <c r="J27" s="1"/>
      <c r="K27" s="1"/>
      <c r="L27" s="1"/>
    </row>
    <row r="28" ht="15" customHeight="1">
      <c r="A28" s="1"/>
      <c r="B28" s="38" t="s">
        <v>270</v>
      </c>
      <c r="C28" s="40" t="s">
        <v>40</v>
      </c>
      <c r="D28" s="40">
        <f t="shared" si="2"/>
        <v>-0.08304293222174941</v>
      </c>
      <c r="E28" s="40">
        <f t="shared" si="2"/>
        <v>-0.04045393904945227</v>
      </c>
      <c r="F28" s="40">
        <f t="shared" si="2"/>
        <v>0.13265231125423638</v>
      </c>
      <c r="G28" s="40" t="s">
        <v>40</v>
      </c>
      <c r="H28" s="45">
        <v>0.08</v>
      </c>
      <c r="I28" s="37" t="s">
        <v>271</v>
      </c>
      <c r="J28" s="1"/>
      <c r="K28" s="1"/>
      <c r="L28" s="1"/>
    </row>
    <row r="29" ht="15" customHeight="1">
      <c r="A29" s="1"/>
      <c r="B29" s="42" t="s">
        <v>95</v>
      </c>
      <c r="C29" s="43" t="s">
        <v>40</v>
      </c>
      <c r="D29" s="43" t="str">
        <f t="shared" si="3"/>
        <v>n.a.</v>
      </c>
      <c r="E29" s="43">
        <f t="shared" si="3"/>
        <v>425.8899317229714</v>
      </c>
      <c r="F29" s="43">
        <f t="shared" si="3"/>
        <v>1731.0625030368865</v>
      </c>
      <c r="G29" s="43" t="s">
        <v>40</v>
      </c>
      <c r="H29" s="44">
        <f t="shared" si="9"/>
        <v>-526.5231125423637</v>
      </c>
      <c r="I29" s="37"/>
      <c r="J29" s="1"/>
      <c r="K29" s="1"/>
      <c r="L29" s="1"/>
    </row>
    <row r="30" ht="15" customHeight="1">
      <c r="A30" s="1"/>
      <c r="B30" s="48" t="s">
        <v>272</v>
      </c>
      <c r="C30" s="49">
        <f t="shared" si="10" ref="C30:H30">C26+C27</f>
        <v>6707.91</v>
      </c>
      <c r="D30" s="49">
        <f t="shared" si="10"/>
        <v>6213.153</v>
      </c>
      <c r="E30" s="49">
        <f t="shared" si="10"/>
        <v>5242.398</v>
      </c>
      <c r="F30" s="49">
        <f t="shared" si="10"/>
        <v>5937.249000000001</v>
      </c>
      <c r="G30" s="49">
        <f t="shared" si="10"/>
        <v>5937.249000000001</v>
      </c>
      <c r="H30" s="50">
        <f t="shared" si="10"/>
        <v>6410.50308</v>
      </c>
      <c r="I30" s="37"/>
      <c r="J30" s="1"/>
      <c r="K30" s="1"/>
      <c r="L30" s="1"/>
    </row>
    <row r="31" ht="15" customHeight="1">
      <c r="A31" s="1"/>
      <c r="B31" s="46" t="s">
        <v>273</v>
      </c>
      <c r="C31" s="52">
        <v>3729.58</v>
      </c>
      <c r="D31" s="52">
        <v>3729.742</v>
      </c>
      <c r="E31" s="52">
        <v>3730.384</v>
      </c>
      <c r="F31" s="52">
        <v>3730.49</v>
      </c>
      <c r="G31" s="14">
        <f t="shared" si="0"/>
        <v>3730.49</v>
      </c>
      <c r="H31" s="47">
        <f t="shared" si="5"/>
        <v>3730.49</v>
      </c>
      <c r="I31" s="37" t="s">
        <v>137</v>
      </c>
      <c r="J31" s="1"/>
      <c r="K31" s="1"/>
      <c r="L31" s="1"/>
    </row>
    <row r="32" ht="15" customHeight="1">
      <c r="A32" s="1"/>
      <c r="B32" s="46" t="s">
        <v>274</v>
      </c>
      <c r="C32" s="52">
        <v>646.044</v>
      </c>
      <c r="D32" s="52">
        <v>667.639</v>
      </c>
      <c r="E32" s="52">
        <v>621.572</v>
      </c>
      <c r="F32" s="52">
        <v>681.197</v>
      </c>
      <c r="G32" s="14">
        <f t="shared" si="0"/>
        <v>681.197</v>
      </c>
      <c r="H32" s="47">
        <f t="shared" si="5"/>
        <v>681.197</v>
      </c>
      <c r="I32" s="37" t="s">
        <v>137</v>
      </c>
      <c r="J32" s="1"/>
      <c r="K32" s="1"/>
      <c r="L32" s="1"/>
    </row>
    <row r="33" ht="15" customHeight="1">
      <c r="A33" s="1"/>
      <c r="B33" s="46" t="s">
        <v>275</v>
      </c>
      <c r="C33" s="52">
        <v>623.925</v>
      </c>
      <c r="D33" s="52">
        <v>635.211</v>
      </c>
      <c r="E33" s="52">
        <v>612.777</v>
      </c>
      <c r="F33" s="52">
        <v>709.886</v>
      </c>
      <c r="G33" s="14">
        <f t="shared" si="0"/>
        <v>709.886</v>
      </c>
      <c r="H33" s="47">
        <f t="shared" si="5"/>
        <v>709.886</v>
      </c>
      <c r="I33" s="37" t="s">
        <v>137</v>
      </c>
      <c r="J33" s="1"/>
      <c r="K33" s="1"/>
      <c r="L33" s="1"/>
    </row>
    <row r="34" ht="15" customHeight="1">
      <c r="A34" s="1"/>
      <c r="B34" s="48" t="s">
        <v>276</v>
      </c>
      <c r="C34" s="49">
        <f t="shared" si="6"/>
        <v>11707.458999999999</v>
      </c>
      <c r="D34" s="49">
        <f t="shared" si="6"/>
        <v>11245.744999999999</v>
      </c>
      <c r="E34" s="49">
        <f t="shared" si="6"/>
        <v>10207.131</v>
      </c>
      <c r="F34" s="49">
        <f t="shared" si="6"/>
        <v>11058.822000000002</v>
      </c>
      <c r="G34" s="49">
        <f t="shared" si="6"/>
        <v>11058.822000000002</v>
      </c>
      <c r="H34" s="50">
        <f t="shared" si="6"/>
        <v>11532.07608</v>
      </c>
      <c r="I34" s="37"/>
      <c r="J34" s="1"/>
      <c r="K34" s="1"/>
      <c r="L34" s="1"/>
    </row>
    <row r="35" ht="15" customHeight="1">
      <c r="A35" s="1"/>
      <c r="B35" s="46" t="s">
        <v>277</v>
      </c>
      <c r="C35" s="52">
        <v>10192.752</v>
      </c>
      <c r="D35" s="52">
        <v>10145.426</v>
      </c>
      <c r="E35" s="52">
        <v>10584.779</v>
      </c>
      <c r="F35" s="52">
        <v>12470.921</v>
      </c>
      <c r="G35" s="14">
        <f t="shared" si="0"/>
        <v>12470.921</v>
      </c>
      <c r="H35" s="62">
        <f>F35+'Income Statement'!H32+'Cash Flow Statement'!H13+'Cash Flow Statement'!H33+'Cash Flow Statement'!H34+'Cash Flow Statement'!H35+'Cash Flow Statement'!H36+'Cash Flow Statement'!H37</f>
        <v>14469.22920926304</v>
      </c>
      <c r="I35" s="37" t="s">
        <v>278</v>
      </c>
      <c r="J35" s="1"/>
      <c r="K35" s="1"/>
      <c r="L35" s="1"/>
    </row>
    <row r="36" ht="15" customHeight="1">
      <c r="A36" s="1"/>
      <c r="B36" s="48" t="s">
        <v>279</v>
      </c>
      <c r="C36" s="49">
        <f t="shared" si="11" ref="C36:H36">C34+C35</f>
        <v>21900.211</v>
      </c>
      <c r="D36" s="49">
        <f t="shared" si="11"/>
        <v>21391.171</v>
      </c>
      <c r="E36" s="49">
        <f t="shared" si="11"/>
        <v>20791.91</v>
      </c>
      <c r="F36" s="49">
        <f t="shared" si="11"/>
        <v>23529.743000000002</v>
      </c>
      <c r="G36" s="49">
        <f t="shared" si="11"/>
        <v>23529.743000000002</v>
      </c>
      <c r="H36" s="50">
        <f t="shared" si="11"/>
        <v>26001.30528926304</v>
      </c>
      <c r="I36" s="37"/>
      <c r="J36" s="1"/>
      <c r="K36" s="1"/>
      <c r="L36" s="1"/>
    </row>
    <row r="37" ht="15" customHeight="1">
      <c r="A37" s="1"/>
      <c r="B37" s="46" t="s">
        <v>280</v>
      </c>
      <c r="C37" s="52">
        <v>21900.211</v>
      </c>
      <c r="D37" s="52">
        <v>21391.171</v>
      </c>
      <c r="E37" s="52">
        <v>20791.91</v>
      </c>
      <c r="F37" s="52">
        <v>23529.743</v>
      </c>
      <c r="G37" s="52">
        <v>23529.743</v>
      </c>
      <c r="H37" s="47" t="s">
        <v>40</v>
      </c>
      <c r="I37" s="37" t="s">
        <v>137</v>
      </c>
      <c r="J37" s="1"/>
      <c r="K37" s="1"/>
      <c r="L37" s="1"/>
    </row>
    <row r="38" ht="15" customHeight="1">
      <c r="A38" s="1"/>
      <c r="B38" s="46" t="s">
        <v>281</v>
      </c>
      <c r="C38" s="14">
        <f t="shared" si="12" ref="C38:H38">C22-C34-C35</f>
        <v>0</v>
      </c>
      <c r="D38" s="14">
        <f t="shared" si="12"/>
        <v>0</v>
      </c>
      <c r="E38" s="14">
        <f t="shared" si="12"/>
        <v>0</v>
      </c>
      <c r="F38" s="14">
        <f t="shared" si="12"/>
        <v>0</v>
      </c>
      <c r="G38" s="14">
        <f t="shared" si="12"/>
        <v>0</v>
      </c>
      <c r="H38" s="47">
        <f t="shared" si="12"/>
        <v>0</v>
      </c>
      <c r="I38" s="37"/>
      <c r="J38" s="1"/>
      <c r="K38" s="1"/>
      <c r="L38" s="1"/>
    </row>
    <row r="39" ht="15" customHeight="1">
      <c r="A39" s="1"/>
      <c r="B39" s="1" t="s">
        <v>282</v>
      </c>
      <c r="C39" s="14" t="b">
        <f t="shared" si="13" ref="C39:H39">ABS(C38)&lt;0.001</f>
        <v>1</v>
      </c>
      <c r="D39" s="14" t="b">
        <f t="shared" si="13"/>
        <v>1</v>
      </c>
      <c r="E39" s="14" t="b">
        <f t="shared" si="13"/>
        <v>1</v>
      </c>
      <c r="F39" s="14" t="b">
        <f t="shared" si="13"/>
        <v>1</v>
      </c>
      <c r="G39" s="14" t="b">
        <f t="shared" si="13"/>
        <v>1</v>
      </c>
      <c r="H39" s="47" t="b">
        <f t="shared" si="13"/>
        <v>1</v>
      </c>
      <c r="I39" s="37"/>
      <c r="J39" s="1"/>
      <c r="K39" s="1"/>
      <c r="L39" s="1"/>
    </row>
    <row r="40" ht="15" customHeight="1">
      <c r="A40" s="1"/>
      <c r="B40" s="1" t="s">
        <v>283</v>
      </c>
      <c r="C40" s="14" t="b">
        <f t="shared" si="14" ref="C40:G40">ABS(C36-C37)&lt;0.001</f>
        <v>1</v>
      </c>
      <c r="D40" s="14" t="b">
        <f t="shared" si="14"/>
        <v>1</v>
      </c>
      <c r="E40" s="14" t="b">
        <f t="shared" si="14"/>
        <v>1</v>
      </c>
      <c r="F40" s="14" t="b">
        <f t="shared" si="14"/>
        <v>1</v>
      </c>
      <c r="G40" s="14" t="b">
        <f t="shared" si="14"/>
        <v>1</v>
      </c>
      <c r="H40" s="36" t="s">
        <v>40</v>
      </c>
      <c r="I40" s="37"/>
      <c r="J40" s="1"/>
      <c r="K40" s="1"/>
      <c r="L40" s="1"/>
    </row>
    <row r="41" ht="15" customHeight="1">
      <c r="A41" s="1"/>
      <c r="B41" s="1"/>
      <c r="C41" s="25"/>
      <c r="D41" s="25"/>
      <c r="E41" s="25"/>
      <c r="F41" s="25"/>
      <c r="G41" s="25"/>
      <c r="H41" s="36"/>
      <c r="I41" s="37"/>
      <c r="J41" s="1"/>
      <c r="K41" s="1"/>
      <c r="L41" s="1"/>
    </row>
    <row r="42" ht="15" customHeight="1">
      <c r="A42" s="1"/>
      <c r="B42" s="3" t="s">
        <v>284</v>
      </c>
      <c r="C42" s="25"/>
      <c r="D42" s="25"/>
      <c r="E42" s="25"/>
      <c r="F42" s="25"/>
      <c r="G42" s="25"/>
      <c r="H42" s="36"/>
      <c r="I42" s="37"/>
      <c r="J42" s="1"/>
      <c r="K42" s="1"/>
      <c r="L42" s="1"/>
    </row>
    <row r="43" ht="15" customHeight="1">
      <c r="A43" s="1"/>
      <c r="B43" s="46" t="s">
        <v>285</v>
      </c>
      <c r="C43" s="14">
        <f t="shared" si="15" ref="C43:H43">C10-C26-C31</f>
        <v>2209.103</v>
      </c>
      <c r="D43" s="14">
        <f t="shared" si="15"/>
        <v>1696.691999999999</v>
      </c>
      <c r="E43" s="14">
        <f t="shared" si="15"/>
        <v>1016.4569999999994</v>
      </c>
      <c r="F43" s="14">
        <f t="shared" si="15"/>
        <v>1844.6080000000002</v>
      </c>
      <c r="G43" s="14">
        <f t="shared" si="15"/>
        <v>1844.6080000000002</v>
      </c>
      <c r="H43" s="47">
        <f t="shared" si="15"/>
        <v>2791.503864678426</v>
      </c>
      <c r="I43" s="37"/>
      <c r="J43" s="1"/>
      <c r="K43" s="1"/>
      <c r="L43" s="1"/>
    </row>
    <row r="44" ht="15" customHeight="1">
      <c r="A44" s="1"/>
      <c r="B44" s="46" t="s">
        <v>75</v>
      </c>
      <c r="C44" s="14" t="s">
        <v>40</v>
      </c>
      <c r="D44" s="14">
        <f t="shared" si="16" ref="D44:F44">IF(AND(ISNUMBER(D43),ISNUMBER(C43)),D43-C43,"n.a.")</f>
        <v>-512.411000000001</v>
      </c>
      <c r="E44" s="14">
        <f t="shared" si="16"/>
        <v>-680.2349999999997</v>
      </c>
      <c r="F44" s="14">
        <f t="shared" si="16"/>
        <v>828.1510000000007</v>
      </c>
      <c r="G44" s="14" t="s">
        <v>40</v>
      </c>
      <c r="H44" s="47">
        <f>IF(AND(ISNUMBER(H43),ISNUMBER(F43)),H43-F43,"n.a.")</f>
        <v>946.8958646784258</v>
      </c>
      <c r="I44" s="37"/>
      <c r="J44" s="1"/>
      <c r="K44" s="1"/>
      <c r="L44" s="1"/>
    </row>
    <row r="45" ht="15" customHeight="1">
      <c r="A45" s="1"/>
      <c r="B45" s="46" t="s">
        <v>286</v>
      </c>
      <c r="C45" s="13">
        <f>'Cash Flow Statement'!C47</f>
        <v>18.828999999998814</v>
      </c>
      <c r="D45" s="13">
        <f>'Cash Flow Statement'!D47</f>
        <v>15.158000000000357</v>
      </c>
      <c r="E45" s="13">
        <f>'Cash Flow Statement'!E47</f>
        <v>15.884999999999309</v>
      </c>
      <c r="F45" s="13">
        <f>'Cash Flow Statement'!F47</f>
        <v>18.771999999998116</v>
      </c>
      <c r="G45" s="13">
        <f>'Cash Flow Statement'!G47</f>
        <v>18.771999999998116</v>
      </c>
      <c r="H45" s="62">
        <f>'Cash Flow Statement'!H47</f>
        <v>18.771999999998116</v>
      </c>
      <c r="I45" s="37"/>
      <c r="J45" s="1"/>
      <c r="K45" s="1"/>
      <c r="L45" s="1"/>
    </row>
    <row r="46" ht="1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88F2458-3412-BDC8-7EB1-F04D7343CC76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287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29" t="s">
        <v>59</v>
      </c>
      <c r="C5" s="30" t="s">
        <v>60</v>
      </c>
      <c r="D5" s="30" t="s">
        <v>61</v>
      </c>
      <c r="E5" s="30" t="s">
        <v>62</v>
      </c>
      <c r="F5" s="30" t="s">
        <v>63</v>
      </c>
      <c r="G5" s="30" t="s">
        <v>64</v>
      </c>
      <c r="H5" s="31" t="s">
        <v>4</v>
      </c>
      <c r="I5" s="29" t="s">
        <v>65</v>
      </c>
      <c r="J5" s="1"/>
      <c r="K5" s="1"/>
      <c r="L5" s="1"/>
    </row>
    <row r="6" ht="15" customHeight="1">
      <c r="A6" s="1"/>
      <c r="B6" s="7" t="s">
        <v>5</v>
      </c>
      <c r="C6" s="8">
        <v>45928</v>
      </c>
      <c r="D6" s="8">
        <v>46019</v>
      </c>
      <c r="E6" s="8">
        <v>46110</v>
      </c>
      <c r="F6" s="8">
        <v>46201</v>
      </c>
      <c r="G6" s="8">
        <v>46201</v>
      </c>
      <c r="H6" s="32">
        <v>46292</v>
      </c>
      <c r="I6" s="7"/>
      <c r="J6" s="1"/>
      <c r="K6" s="1"/>
      <c r="L6" s="1"/>
    </row>
    <row r="7" ht="15" customHeight="1">
      <c r="A7" s="1"/>
      <c r="B7" s="33" t="s">
        <v>6</v>
      </c>
      <c r="C7" s="34">
        <v>91</v>
      </c>
      <c r="D7" s="34">
        <v>91</v>
      </c>
      <c r="E7" s="34">
        <v>91</v>
      </c>
      <c r="F7" s="34">
        <v>91</v>
      </c>
      <c r="G7" s="34">
        <v>364</v>
      </c>
      <c r="H7" s="35">
        <v>91</v>
      </c>
      <c r="I7" s="33"/>
      <c r="J7" s="1"/>
      <c r="K7" s="1"/>
      <c r="L7" s="1"/>
    </row>
    <row r="8" ht="15" customHeight="1">
      <c r="A8" s="1"/>
      <c r="B8" s="1"/>
      <c r="C8" s="25"/>
      <c r="D8" s="25"/>
      <c r="E8" s="25"/>
      <c r="F8" s="25"/>
      <c r="G8" s="25"/>
      <c r="H8" s="36"/>
      <c r="I8" s="37"/>
      <c r="J8" s="1"/>
      <c r="K8" s="1"/>
      <c r="L8" s="1"/>
    </row>
    <row r="9" ht="15" customHeight="1">
      <c r="A9" s="1"/>
      <c r="B9" s="3" t="s">
        <v>288</v>
      </c>
      <c r="C9" s="25"/>
      <c r="D9" s="25"/>
      <c r="E9" s="25"/>
      <c r="F9" s="25"/>
      <c r="G9" s="25"/>
      <c r="H9" s="36"/>
      <c r="I9" s="37"/>
      <c r="J9" s="1"/>
      <c r="K9" s="1"/>
      <c r="L9" s="1"/>
    </row>
    <row r="10" ht="15" customHeight="1">
      <c r="A10" s="1"/>
      <c r="B10" s="46" t="s">
        <v>289</v>
      </c>
      <c r="C10" s="13">
        <f>'Income Statement'!C32</f>
        <v>1568.6599999999999</v>
      </c>
      <c r="D10" s="13">
        <f>'Income Statement'!D32</f>
        <v>1593.9940000000006</v>
      </c>
      <c r="E10" s="13">
        <f>'Income Statement'!E32</f>
        <v>1825.4599999999996</v>
      </c>
      <c r="F10" s="13">
        <f>'Income Statement'!F32</f>
        <v>2277.2819999999992</v>
      </c>
      <c r="G10" s="13">
        <f>'Income Statement'!G32</f>
        <v>7265.395999999998</v>
      </c>
      <c r="H10" s="62">
        <f>'Income Statement'!H32</f>
        <v>2810.6404892630408</v>
      </c>
      <c r="I10" s="37"/>
      <c r="J10" s="1"/>
      <c r="K10" s="1"/>
      <c r="L10" s="1"/>
    </row>
    <row r="11" ht="15" customHeight="1">
      <c r="A11" s="1"/>
      <c r="B11" s="46" t="s">
        <v>290</v>
      </c>
      <c r="C11" s="52">
        <v>101.644</v>
      </c>
      <c r="D11" s="52">
        <v>103.925</v>
      </c>
      <c r="E11" s="52">
        <v>116.322</v>
      </c>
      <c r="F11" s="52">
        <v>119.642</v>
      </c>
      <c r="G11" s="14">
        <f t="shared" si="0" ref="G11:G39">SUM(C11:F11)</f>
        <v>441.533</v>
      </c>
      <c r="H11" s="53">
        <v>125</v>
      </c>
      <c r="I11" s="37" t="s">
        <v>291</v>
      </c>
      <c r="J11" s="1"/>
      <c r="K11" s="1"/>
      <c r="L11" s="1"/>
    </row>
    <row r="12" ht="15" customHeight="1">
      <c r="A12" s="1"/>
      <c r="B12" s="46" t="s">
        <v>292</v>
      </c>
      <c r="C12" s="52">
        <v>-62.875</v>
      </c>
      <c r="D12" s="52">
        <v>-30.957</v>
      </c>
      <c r="E12" s="52">
        <v>-19.478</v>
      </c>
      <c r="F12" s="52">
        <v>-175.752</v>
      </c>
      <c r="G12" s="14">
        <f t="shared" si="0"/>
        <v>-289.062</v>
      </c>
      <c r="H12" s="53">
        <v>0</v>
      </c>
      <c r="I12" s="37" t="s">
        <v>293</v>
      </c>
      <c r="J12" s="1"/>
      <c r="K12" s="1"/>
      <c r="L12" s="1"/>
    </row>
    <row r="13" ht="15" customHeight="1">
      <c r="A13" s="1"/>
      <c r="B13" s="46" t="s">
        <v>294</v>
      </c>
      <c r="C13" s="52">
        <v>97.241</v>
      </c>
      <c r="D13" s="52">
        <v>88.539</v>
      </c>
      <c r="E13" s="52">
        <v>96.616</v>
      </c>
      <c r="F13" s="52">
        <v>103.985</v>
      </c>
      <c r="G13" s="14">
        <f t="shared" si="0"/>
        <v>386.381</v>
      </c>
      <c r="H13" s="53">
        <v>108</v>
      </c>
      <c r="I13" s="37" t="s">
        <v>295</v>
      </c>
      <c r="J13" s="1"/>
      <c r="K13" s="1"/>
      <c r="L13" s="1"/>
    </row>
    <row r="14" ht="15" customHeight="1">
      <c r="A14" s="1"/>
      <c r="B14" s="46" t="s">
        <v>296</v>
      </c>
      <c r="C14" s="52">
        <v>-1.89</v>
      </c>
      <c r="D14" s="52">
        <v>-19.961</v>
      </c>
      <c r="E14" s="52">
        <v>-2.855</v>
      </c>
      <c r="F14" s="52">
        <v>-8.006</v>
      </c>
      <c r="G14" s="14">
        <f t="shared" si="0"/>
        <v>-32.712</v>
      </c>
      <c r="H14" s="53">
        <v>0</v>
      </c>
      <c r="I14" s="37"/>
      <c r="J14" s="1"/>
      <c r="K14" s="1"/>
      <c r="L14" s="1"/>
    </row>
    <row r="15" ht="15" customHeight="1">
      <c r="A15" s="1"/>
      <c r="B15" s="46" t="s">
        <v>297</v>
      </c>
      <c r="C15" s="52">
        <v>76.184</v>
      </c>
      <c r="D15" s="52">
        <v>-255.495</v>
      </c>
      <c r="E15" s="52">
        <v>-874.645</v>
      </c>
      <c r="F15" s="52">
        <v>-859.923</v>
      </c>
      <c r="G15" s="14">
        <f t="shared" si="0"/>
        <v>-1913.879</v>
      </c>
      <c r="H15" s="47">
        <f>SUM(H16:H22)</f>
        <v>-926.4123445846153</v>
      </c>
      <c r="I15" s="37" t="s">
        <v>298</v>
      </c>
      <c r="J15" s="1"/>
      <c r="K15" s="1"/>
      <c r="L15" s="1"/>
    </row>
    <row r="16" ht="15" customHeight="1">
      <c r="A16" s="1"/>
      <c r="B16" s="46" t="s">
        <v>299</v>
      </c>
      <c r="C16" s="14" t="s">
        <v>40</v>
      </c>
      <c r="D16" s="14" t="s">
        <v>40</v>
      </c>
      <c r="E16" s="14" t="s">
        <v>40</v>
      </c>
      <c r="F16" s="14" t="s">
        <v>40</v>
      </c>
      <c r="G16" s="14" t="s">
        <v>40</v>
      </c>
      <c r="H16" s="62">
        <f>-('Balance Sheet'!H11-'Balance Sheet'!F11)</f>
        <v>-1187.2608745846155</v>
      </c>
      <c r="I16" s="37" t="s">
        <v>300</v>
      </c>
      <c r="J16" s="1"/>
      <c r="K16" s="1"/>
      <c r="L16" s="1"/>
    </row>
    <row r="17" ht="15" customHeight="1">
      <c r="A17" s="1"/>
      <c r="B17" s="46" t="s">
        <v>301</v>
      </c>
      <c r="C17" s="14" t="s">
        <v>40</v>
      </c>
      <c r="D17" s="14" t="s">
        <v>40</v>
      </c>
      <c r="E17" s="14" t="s">
        <v>40</v>
      </c>
      <c r="F17" s="14" t="s">
        <v>40</v>
      </c>
      <c r="G17" s="14" t="s">
        <v>40</v>
      </c>
      <c r="H17" s="62">
        <f>-('Balance Sheet'!H14-'Balance Sheet'!F14)</f>
        <v>-213.80555000000004</v>
      </c>
      <c r="I17" s="37"/>
      <c r="J17" s="1"/>
      <c r="K17" s="1"/>
      <c r="L17" s="1"/>
    </row>
    <row r="18" ht="15" customHeight="1">
      <c r="A18" s="1"/>
      <c r="B18" s="46" t="s">
        <v>302</v>
      </c>
      <c r="C18" s="14" t="s">
        <v>40</v>
      </c>
      <c r="D18" s="14" t="s">
        <v>40</v>
      </c>
      <c r="E18" s="14" t="s">
        <v>40</v>
      </c>
      <c r="F18" s="14" t="s">
        <v>40</v>
      </c>
      <c r="G18" s="14" t="s">
        <v>40</v>
      </c>
      <c r="H18" s="62">
        <f>-('Balance Sheet'!H17-'Balance Sheet'!F17)</f>
        <v>0</v>
      </c>
      <c r="I18" s="37"/>
      <c r="J18" s="1"/>
      <c r="K18" s="1"/>
      <c r="L18" s="1"/>
    </row>
    <row r="19" ht="15" customHeight="1">
      <c r="A19" s="1"/>
      <c r="B19" s="46" t="s">
        <v>303</v>
      </c>
      <c r="C19" s="14" t="s">
        <v>40</v>
      </c>
      <c r="D19" s="14" t="s">
        <v>40</v>
      </c>
      <c r="E19" s="14" t="s">
        <v>40</v>
      </c>
      <c r="F19" s="14" t="s">
        <v>40</v>
      </c>
      <c r="G19" s="14" t="s">
        <v>40</v>
      </c>
      <c r="H19" s="62">
        <f>-('Balance Sheet'!H21-'Balance Sheet'!F21)</f>
        <v>0</v>
      </c>
      <c r="I19" s="37"/>
      <c r="J19" s="1"/>
      <c r="K19" s="1"/>
      <c r="L19" s="1"/>
    </row>
    <row r="20" ht="15" customHeight="1">
      <c r="A20" s="1"/>
      <c r="B20" s="46" t="s">
        <v>304</v>
      </c>
      <c r="C20" s="14" t="s">
        <v>40</v>
      </c>
      <c r="D20" s="14" t="s">
        <v>40</v>
      </c>
      <c r="E20" s="14" t="s">
        <v>40</v>
      </c>
      <c r="F20" s="14" t="s">
        <v>40</v>
      </c>
      <c r="G20" s="14" t="s">
        <v>40</v>
      </c>
      <c r="H20" s="62">
        <f>('Balance Sheet'!H27-'Balance Sheet'!F27)</f>
        <v>474.65408000000025</v>
      </c>
      <c r="I20" s="37"/>
      <c r="J20" s="1"/>
      <c r="K20" s="1"/>
      <c r="L20" s="1"/>
    </row>
    <row r="21" ht="15" customHeight="1">
      <c r="A21" s="1"/>
      <c r="B21" s="46" t="s">
        <v>305</v>
      </c>
      <c r="C21" s="14" t="s">
        <v>40</v>
      </c>
      <c r="D21" s="14" t="s">
        <v>40</v>
      </c>
      <c r="E21" s="14" t="s">
        <v>40</v>
      </c>
      <c r="F21" s="14" t="s">
        <v>40</v>
      </c>
      <c r="G21" s="14" t="s">
        <v>40</v>
      </c>
      <c r="H21" s="62">
        <f>('Balance Sheet'!H32-'Balance Sheet'!F32)</f>
        <v>0</v>
      </c>
      <c r="I21" s="37"/>
      <c r="J21" s="1"/>
      <c r="K21" s="1"/>
      <c r="L21" s="1"/>
    </row>
    <row r="22" ht="15" customHeight="1">
      <c r="A22" s="1"/>
      <c r="B22" s="46" t="s">
        <v>306</v>
      </c>
      <c r="C22" s="14" t="s">
        <v>40</v>
      </c>
      <c r="D22" s="14" t="s">
        <v>40</v>
      </c>
      <c r="E22" s="14" t="s">
        <v>40</v>
      </c>
      <c r="F22" s="14" t="s">
        <v>40</v>
      </c>
      <c r="G22" s="14" t="s">
        <v>40</v>
      </c>
      <c r="H22" s="62">
        <f>('Balance Sheet'!H33-'Balance Sheet'!F33)</f>
        <v>0</v>
      </c>
      <c r="I22" s="37"/>
      <c r="J22" s="1"/>
      <c r="K22" s="1"/>
      <c r="L22" s="1"/>
    </row>
    <row r="23" ht="15" customHeight="1">
      <c r="A23" s="1"/>
      <c r="B23" s="48" t="s">
        <v>307</v>
      </c>
      <c r="C23" s="49">
        <f t="shared" si="1" ref="C23:H23">C10+C11+C12+C13+C14+C15</f>
        <v>1778.9639999999997</v>
      </c>
      <c r="D23" s="49">
        <f t="shared" si="1"/>
        <v>1480.0450000000005</v>
      </c>
      <c r="E23" s="49">
        <f t="shared" si="1"/>
        <v>1141.4199999999996</v>
      </c>
      <c r="F23" s="49">
        <f t="shared" si="1"/>
        <v>1457.2279999999994</v>
      </c>
      <c r="G23" s="49">
        <f t="shared" si="1"/>
        <v>5857.656999999998</v>
      </c>
      <c r="H23" s="50">
        <f t="shared" si="1"/>
        <v>2117.2281446784255</v>
      </c>
      <c r="I23" s="37"/>
      <c r="J23" s="1"/>
      <c r="K23" s="1"/>
      <c r="L23" s="1"/>
    </row>
    <row r="24" ht="15" customHeight="1">
      <c r="A24" s="1"/>
      <c r="B24" s="46" t="s">
        <v>308</v>
      </c>
      <c r="C24" s="52">
        <v>1778.964</v>
      </c>
      <c r="D24" s="52">
        <v>1480.045</v>
      </c>
      <c r="E24" s="52">
        <v>1141.42</v>
      </c>
      <c r="F24" s="52">
        <v>1457.228</v>
      </c>
      <c r="G24" s="52">
        <v>5857.657</v>
      </c>
      <c r="H24" s="47" t="s">
        <v>40</v>
      </c>
      <c r="I24" s="37" t="s">
        <v>137</v>
      </c>
      <c r="J24" s="1"/>
      <c r="K24" s="1"/>
      <c r="L24" s="1"/>
    </row>
    <row r="25" ht="15" customHeight="1">
      <c r="A25" s="1"/>
      <c r="B25" s="1" t="s">
        <v>309</v>
      </c>
      <c r="C25" s="14" t="b">
        <f t="shared" si="2" ref="C25:G46">ABS(C23-C24)&lt;0.001</f>
        <v>1</v>
      </c>
      <c r="D25" s="14" t="b">
        <f t="shared" si="2"/>
        <v>1</v>
      </c>
      <c r="E25" s="14" t="b">
        <f t="shared" si="2"/>
        <v>1</v>
      </c>
      <c r="F25" s="14" t="b">
        <f t="shared" si="2"/>
        <v>1</v>
      </c>
      <c r="G25" s="14" t="b">
        <f t="shared" si="2"/>
        <v>1</v>
      </c>
      <c r="H25" s="36" t="s">
        <v>40</v>
      </c>
      <c r="I25" s="37"/>
      <c r="J25" s="1"/>
      <c r="K25" s="1"/>
      <c r="L25" s="1"/>
    </row>
    <row r="26" ht="15" customHeight="1">
      <c r="A26" s="1"/>
      <c r="B26" s="46" t="s">
        <v>75</v>
      </c>
      <c r="C26" s="14" t="s">
        <v>40</v>
      </c>
      <c r="D26" s="14">
        <f t="shared" si="3" ref="D26:F55">IF(AND(ISNUMBER(D23),ISNUMBER(C23)),D23-C23,"n.a.")</f>
        <v>-298.9189999999992</v>
      </c>
      <c r="E26" s="14">
        <f t="shared" si="3"/>
        <v>-338.6250000000009</v>
      </c>
      <c r="F26" s="14">
        <f t="shared" si="3"/>
        <v>315.80799999999977</v>
      </c>
      <c r="G26" s="14" t="s">
        <v>40</v>
      </c>
      <c r="H26" s="47">
        <f t="shared" si="12" ref="H26:H55">IF(AND(ISNUMBER(H23),ISNUMBER(F23)),H23-F23,"n.a.")</f>
        <v>660.0001446784261</v>
      </c>
      <c r="I26" s="37"/>
      <c r="J26" s="1"/>
      <c r="K26" s="1"/>
      <c r="L26" s="1"/>
    </row>
    <row r="27" ht="15" customHeight="1">
      <c r="A27" s="1"/>
      <c r="B27" s="3" t="s">
        <v>310</v>
      </c>
      <c r="C27" s="25"/>
      <c r="D27" s="25"/>
      <c r="E27" s="25"/>
      <c r="F27" s="25"/>
      <c r="G27" s="25"/>
      <c r="H27" s="36"/>
      <c r="I27" s="37"/>
      <c r="J27" s="1"/>
      <c r="K27" s="1"/>
      <c r="L27" s="1"/>
    </row>
    <row r="28" ht="15" customHeight="1">
      <c r="A28" s="1"/>
      <c r="B28" s="46" t="s">
        <v>311</v>
      </c>
      <c r="C28" s="52">
        <v>-185.121</v>
      </c>
      <c r="D28" s="52">
        <v>-260.879</v>
      </c>
      <c r="E28" s="52">
        <v>-331.604</v>
      </c>
      <c r="F28" s="52">
        <v>-188.801</v>
      </c>
      <c r="G28" s="14">
        <f t="shared" si="0"/>
        <v>-966.405</v>
      </c>
      <c r="H28" s="53">
        <v>-250</v>
      </c>
      <c r="I28" s="37" t="s">
        <v>312</v>
      </c>
      <c r="J28" s="1"/>
      <c r="K28" s="1"/>
      <c r="L28" s="1"/>
    </row>
    <row r="29" ht="15" customHeight="1">
      <c r="A29" s="1"/>
      <c r="B29" s="46" t="s">
        <v>296</v>
      </c>
      <c r="C29" s="52">
        <v>-0.927</v>
      </c>
      <c r="D29" s="52">
        <v>3.096</v>
      </c>
      <c r="E29" s="52">
        <v>-2.976</v>
      </c>
      <c r="F29" s="52">
        <v>45.06</v>
      </c>
      <c r="G29" s="14">
        <f t="shared" si="0"/>
        <v>44.253</v>
      </c>
      <c r="H29" s="53">
        <v>0</v>
      </c>
      <c r="I29" s="37"/>
      <c r="J29" s="1"/>
      <c r="K29" s="1"/>
      <c r="L29" s="1"/>
    </row>
    <row r="30" ht="15" customHeight="1">
      <c r="A30" s="1"/>
      <c r="B30" s="48" t="s">
        <v>313</v>
      </c>
      <c r="C30" s="49">
        <f t="shared" si="4" ref="C30:H30">C28+C29</f>
        <v>-186.048</v>
      </c>
      <c r="D30" s="49">
        <f t="shared" si="4"/>
        <v>-257.783</v>
      </c>
      <c r="E30" s="49">
        <f t="shared" si="4"/>
        <v>-334.58</v>
      </c>
      <c r="F30" s="49">
        <f t="shared" si="4"/>
        <v>-143.74099999999999</v>
      </c>
      <c r="G30" s="49">
        <f t="shared" si="4"/>
        <v>-922.1519999999999</v>
      </c>
      <c r="H30" s="50">
        <f t="shared" si="4"/>
        <v>-250</v>
      </c>
      <c r="I30" s="37"/>
      <c r="J30" s="1"/>
      <c r="K30" s="1"/>
      <c r="L30" s="1"/>
    </row>
    <row r="31" ht="15" customHeight="1">
      <c r="A31" s="1"/>
      <c r="B31" s="3" t="s">
        <v>314</v>
      </c>
      <c r="C31" s="25"/>
      <c r="D31" s="25"/>
      <c r="E31" s="25"/>
      <c r="F31" s="25"/>
      <c r="G31" s="25"/>
      <c r="H31" s="36"/>
      <c r="I31" s="37"/>
      <c r="J31" s="1"/>
      <c r="K31" s="1"/>
      <c r="L31" s="1"/>
    </row>
    <row r="32" ht="15" customHeight="1">
      <c r="A32" s="1"/>
      <c r="B32" s="46" t="s">
        <v>315</v>
      </c>
      <c r="C32" s="52">
        <v>-1.417</v>
      </c>
      <c r="D32" s="52">
        <v>-1.462</v>
      </c>
      <c r="E32" s="52">
        <v>-751.194</v>
      </c>
      <c r="F32" s="52">
        <v>-1.355</v>
      </c>
      <c r="G32" s="14">
        <f t="shared" si="0"/>
        <v>-755.428</v>
      </c>
      <c r="H32" s="53">
        <v>-1.4</v>
      </c>
      <c r="I32" s="37"/>
      <c r="J32" s="1"/>
      <c r="K32" s="1"/>
      <c r="L32" s="1"/>
    </row>
    <row r="33" ht="15" customHeight="1">
      <c r="A33" s="1"/>
      <c r="B33" s="46" t="s">
        <v>316</v>
      </c>
      <c r="C33" s="52">
        <v>-975.791</v>
      </c>
      <c r="D33" s="52">
        <v>-1466.155</v>
      </c>
      <c r="E33" s="52">
        <v>-1162.837</v>
      </c>
      <c r="F33" s="52">
        <v>-246.56</v>
      </c>
      <c r="G33" s="14">
        <f t="shared" si="0"/>
        <v>-3851.3430000000003</v>
      </c>
      <c r="H33" s="53">
        <v>-600</v>
      </c>
      <c r="I33" s="37" t="s">
        <v>317</v>
      </c>
      <c r="J33" s="1"/>
      <c r="K33" s="1"/>
      <c r="L33" s="1"/>
    </row>
    <row r="34" ht="15" customHeight="1">
      <c r="A34" s="1"/>
      <c r="B34" s="46" t="s">
        <v>318</v>
      </c>
      <c r="C34" s="52">
        <v>-291.981</v>
      </c>
      <c r="D34" s="52">
        <v>-327.507</v>
      </c>
      <c r="E34" s="52">
        <v>-325.829</v>
      </c>
      <c r="F34" s="52">
        <v>-325.318</v>
      </c>
      <c r="G34" s="14">
        <f t="shared" si="0"/>
        <v>-1270.635</v>
      </c>
      <c r="H34" s="62">
        <f>-'Income Statement'!F48*'Share Count'!H23</f>
        <v>-325.33228</v>
      </c>
      <c r="I34" s="37" t="s">
        <v>319</v>
      </c>
      <c r="J34" s="1"/>
      <c r="K34" s="1"/>
      <c r="L34" s="1"/>
    </row>
    <row r="35" ht="15" customHeight="1">
      <c r="A35" s="1"/>
      <c r="B35" s="46" t="s">
        <v>320</v>
      </c>
      <c r="C35" s="52">
        <v>0</v>
      </c>
      <c r="D35" s="52">
        <v>67.185</v>
      </c>
      <c r="E35" s="52">
        <v>0</v>
      </c>
      <c r="F35" s="52">
        <v>88.78</v>
      </c>
      <c r="G35" s="14">
        <f t="shared" si="0"/>
        <v>155.965</v>
      </c>
      <c r="H35" s="53">
        <v>0</v>
      </c>
      <c r="I35" s="37" t="s">
        <v>321</v>
      </c>
      <c r="J35" s="1"/>
      <c r="K35" s="1"/>
      <c r="L35" s="1"/>
    </row>
    <row r="36" ht="15" customHeight="1">
      <c r="A36" s="1"/>
      <c r="B36" s="46" t="s">
        <v>322</v>
      </c>
      <c r="C36" s="52">
        <v>0</v>
      </c>
      <c r="D36" s="52">
        <v>3.854</v>
      </c>
      <c r="E36" s="52">
        <v>9.167</v>
      </c>
      <c r="F36" s="52">
        <v>4.426</v>
      </c>
      <c r="G36" s="14">
        <f t="shared" si="0"/>
        <v>17.447</v>
      </c>
      <c r="H36" s="53">
        <v>5</v>
      </c>
      <c r="I36" s="37"/>
      <c r="J36" s="1"/>
      <c r="K36" s="1"/>
      <c r="L36" s="1"/>
    </row>
    <row r="37" ht="15" customHeight="1">
      <c r="A37" s="1"/>
      <c r="B37" s="46" t="s">
        <v>296</v>
      </c>
      <c r="C37" s="52">
        <v>-12.449</v>
      </c>
      <c r="D37" s="52">
        <v>-1.117</v>
      </c>
      <c r="E37" s="52">
        <v>0.055</v>
      </c>
      <c r="F37" s="52">
        <v>-0.282</v>
      </c>
      <c r="G37" s="14">
        <f t="shared" si="0"/>
        <v>-13.793</v>
      </c>
      <c r="H37" s="53">
        <v>0</v>
      </c>
      <c r="I37" s="37"/>
      <c r="J37" s="1"/>
      <c r="K37" s="1"/>
      <c r="L37" s="1"/>
    </row>
    <row r="38" ht="15" customHeight="1">
      <c r="A38" s="1"/>
      <c r="B38" s="48" t="s">
        <v>323</v>
      </c>
      <c r="C38" s="49">
        <f t="shared" si="5" ref="C38:H38">C32+C33+C34+C35+C36+C37</f>
        <v>-1281.6380000000001</v>
      </c>
      <c r="D38" s="49">
        <f t="shared" si="5"/>
        <v>-1725.202</v>
      </c>
      <c r="E38" s="49">
        <f t="shared" si="5"/>
        <v>-2230.6380000000004</v>
      </c>
      <c r="F38" s="49">
        <f t="shared" si="5"/>
        <v>-480.30899999999997</v>
      </c>
      <c r="G38" s="49">
        <f t="shared" si="5"/>
        <v>-5717.787</v>
      </c>
      <c r="H38" s="50">
        <f t="shared" si="5"/>
        <v>-921.73228</v>
      </c>
      <c r="I38" s="37"/>
      <c r="J38" s="1"/>
      <c r="K38" s="1"/>
      <c r="L38" s="1"/>
    </row>
    <row r="39" ht="15" customHeight="1">
      <c r="A39" s="1"/>
      <c r="B39" s="46" t="s">
        <v>324</v>
      </c>
      <c r="C39" s="52">
        <v>-7.059</v>
      </c>
      <c r="D39" s="52">
        <v>-13.337</v>
      </c>
      <c r="E39" s="52">
        <v>-4.979</v>
      </c>
      <c r="F39" s="52">
        <v>-2.056</v>
      </c>
      <c r="G39" s="14">
        <f t="shared" si="0"/>
        <v>-27.431</v>
      </c>
      <c r="H39" s="53">
        <v>0</v>
      </c>
      <c r="I39" s="37"/>
      <c r="J39" s="1"/>
      <c r="K39" s="1"/>
      <c r="L39" s="1"/>
    </row>
    <row r="40" ht="15" customHeight="1">
      <c r="A40" s="1"/>
      <c r="B40" s="48" t="s">
        <v>325</v>
      </c>
      <c r="C40" s="49">
        <f t="shared" si="6" ref="C40:H40">C23+C30+C38+C39</f>
        <v>304.21899999999954</v>
      </c>
      <c r="D40" s="49">
        <f t="shared" si="6"/>
        <v>-516.2769999999994</v>
      </c>
      <c r="E40" s="49">
        <f t="shared" si="6"/>
        <v>-1428.7770000000007</v>
      </c>
      <c r="F40" s="49">
        <f t="shared" si="6"/>
        <v>831.1219999999994</v>
      </c>
      <c r="G40" s="49">
        <f t="shared" si="6"/>
        <v>-809.713000000002</v>
      </c>
      <c r="H40" s="50">
        <f t="shared" si="6"/>
        <v>945.4958646784255</v>
      </c>
      <c r="I40" s="37"/>
      <c r="J40" s="1"/>
      <c r="K40" s="1"/>
      <c r="L40" s="1"/>
    </row>
    <row r="41" ht="15" customHeight="1">
      <c r="A41" s="1"/>
      <c r="B41" s="46" t="s">
        <v>326</v>
      </c>
      <c r="C41" s="52">
        <v>304.219</v>
      </c>
      <c r="D41" s="52">
        <v>-516.277</v>
      </c>
      <c r="E41" s="52">
        <v>-1428.777</v>
      </c>
      <c r="F41" s="52">
        <v>831.122</v>
      </c>
      <c r="G41" s="52">
        <v>-809.713</v>
      </c>
      <c r="H41" s="47" t="s">
        <v>40</v>
      </c>
      <c r="I41" s="37" t="s">
        <v>137</v>
      </c>
      <c r="J41" s="1"/>
      <c r="K41" s="1"/>
      <c r="L41" s="1"/>
    </row>
    <row r="42" ht="15" customHeight="1">
      <c r="A42" s="1"/>
      <c r="B42" s="1" t="s">
        <v>327</v>
      </c>
      <c r="C42" s="14" t="b">
        <f t="shared" si="2"/>
        <v>1</v>
      </c>
      <c r="D42" s="14" t="b">
        <f t="shared" si="2"/>
        <v>1</v>
      </c>
      <c r="E42" s="14" t="b">
        <f t="shared" si="2"/>
        <v>1</v>
      </c>
      <c r="F42" s="14" t="b">
        <f t="shared" si="2"/>
        <v>1</v>
      </c>
      <c r="G42" s="14" t="b">
        <f t="shared" si="2"/>
        <v>1</v>
      </c>
      <c r="H42" s="36" t="s">
        <v>40</v>
      </c>
      <c r="I42" s="37"/>
      <c r="J42" s="1"/>
      <c r="K42" s="1"/>
      <c r="L42" s="1"/>
    </row>
    <row r="43" ht="15" customHeight="1">
      <c r="A43" s="1"/>
      <c r="B43" s="46" t="s">
        <v>328</v>
      </c>
      <c r="C43" s="52">
        <v>6407.656</v>
      </c>
      <c r="D43" s="14">
        <f t="shared" si="7" ref="D43:F43">C44</f>
        <v>6711.874999999999</v>
      </c>
      <c r="E43" s="14">
        <f t="shared" si="7"/>
        <v>6195.598</v>
      </c>
      <c r="F43" s="14">
        <f t="shared" si="7"/>
        <v>4766.820999999999</v>
      </c>
      <c r="G43" s="14">
        <f>C43</f>
        <v>6407.656</v>
      </c>
      <c r="H43" s="47">
        <f>F44</f>
        <v>5597.942999999998</v>
      </c>
      <c r="I43" s="37" t="s">
        <v>329</v>
      </c>
      <c r="J43" s="1"/>
      <c r="K43" s="1"/>
      <c r="L43" s="1"/>
    </row>
    <row r="44" ht="15" customHeight="1">
      <c r="A44" s="1"/>
      <c r="B44" s="48" t="s">
        <v>330</v>
      </c>
      <c r="C44" s="49">
        <f t="shared" si="8" ref="C44:H44">C43+C40</f>
        <v>6711.874999999999</v>
      </c>
      <c r="D44" s="49">
        <f t="shared" si="8"/>
        <v>6195.598</v>
      </c>
      <c r="E44" s="49">
        <f t="shared" si="8"/>
        <v>4766.820999999999</v>
      </c>
      <c r="F44" s="49">
        <f t="shared" si="8"/>
        <v>5597.942999999998</v>
      </c>
      <c r="G44" s="49">
        <f t="shared" si="8"/>
        <v>5597.9429999999975</v>
      </c>
      <c r="H44" s="50">
        <f t="shared" si="8"/>
        <v>6543.438864678424</v>
      </c>
      <c r="I44" s="37"/>
      <c r="J44" s="1"/>
      <c r="K44" s="1"/>
      <c r="L44" s="1"/>
    </row>
    <row r="45" ht="15" customHeight="1">
      <c r="A45" s="1"/>
      <c r="B45" s="46" t="s">
        <v>331</v>
      </c>
      <c r="C45" s="52">
        <v>6711.875</v>
      </c>
      <c r="D45" s="52">
        <v>6195.598</v>
      </c>
      <c r="E45" s="52">
        <v>4766.821</v>
      </c>
      <c r="F45" s="52">
        <v>5597.943</v>
      </c>
      <c r="G45" s="52">
        <v>5597.943</v>
      </c>
      <c r="H45" s="47" t="s">
        <v>40</v>
      </c>
      <c r="I45" s="37" t="s">
        <v>137</v>
      </c>
      <c r="J45" s="1"/>
      <c r="K45" s="1"/>
      <c r="L45" s="1"/>
    </row>
    <row r="46" ht="15" customHeight="1">
      <c r="A46" s="1"/>
      <c r="B46" s="1" t="s">
        <v>332</v>
      </c>
      <c r="C46" s="14" t="b">
        <f t="shared" si="2"/>
        <v>1</v>
      </c>
      <c r="D46" s="14" t="b">
        <f t="shared" si="2"/>
        <v>1</v>
      </c>
      <c r="E46" s="14" t="b">
        <f t="shared" si="2"/>
        <v>1</v>
      </c>
      <c r="F46" s="14" t="b">
        <f t="shared" si="2"/>
        <v>1</v>
      </c>
      <c r="G46" s="14" t="b">
        <f t="shared" si="2"/>
        <v>1</v>
      </c>
      <c r="H46" s="36" t="s">
        <v>40</v>
      </c>
      <c r="I46" s="37"/>
      <c r="J46" s="1"/>
      <c r="K46" s="1"/>
      <c r="L46" s="1"/>
    </row>
    <row r="47" ht="15" customHeight="1">
      <c r="A47" s="1"/>
      <c r="B47" s="46" t="s">
        <v>333</v>
      </c>
      <c r="C47" s="13">
        <f>C44-'Balance Sheet'!C10</f>
        <v>18.828999999998814</v>
      </c>
      <c r="D47" s="13">
        <f>D44-'Balance Sheet'!D10</f>
        <v>15.158000000000357</v>
      </c>
      <c r="E47" s="13">
        <f>E44-'Balance Sheet'!E10</f>
        <v>15.884999999999309</v>
      </c>
      <c r="F47" s="13">
        <f>F44-'Balance Sheet'!F10</f>
        <v>18.771999999998116</v>
      </c>
      <c r="G47" s="14">
        <f>F47</f>
        <v>18.771999999998116</v>
      </c>
      <c r="H47" s="47">
        <f>F47</f>
        <v>18.771999999998116</v>
      </c>
      <c r="I47" s="37" t="s">
        <v>334</v>
      </c>
      <c r="J47" s="1"/>
      <c r="K47" s="1"/>
      <c r="L47" s="1"/>
    </row>
    <row r="48" ht="15" customHeight="1">
      <c r="A48" s="1"/>
      <c r="B48" s="48" t="s">
        <v>335</v>
      </c>
      <c r="C48" s="49">
        <f t="shared" si="9" ref="C48:H48">C44-C47</f>
        <v>6693.046</v>
      </c>
      <c r="D48" s="49">
        <f t="shared" si="9"/>
        <v>6180.44</v>
      </c>
      <c r="E48" s="49">
        <f t="shared" si="9"/>
        <v>4750.936</v>
      </c>
      <c r="F48" s="49">
        <f t="shared" si="9"/>
        <v>5579.171</v>
      </c>
      <c r="G48" s="49">
        <f t="shared" si="9"/>
        <v>5579.170999999999</v>
      </c>
      <c r="H48" s="50">
        <f t="shared" si="9"/>
        <v>6524.666864678426</v>
      </c>
      <c r="I48" s="37"/>
      <c r="J48" s="1"/>
      <c r="K48" s="1"/>
      <c r="L48" s="1"/>
    </row>
    <row r="49" ht="15" customHeight="1">
      <c r="A49" s="1"/>
      <c r="B49" s="1" t="s">
        <v>336</v>
      </c>
      <c r="C49" s="13" t="b">
        <f>ABS(C48-'Balance Sheet'!C10)&lt;0.001</f>
        <v>1</v>
      </c>
      <c r="D49" s="13" t="b">
        <f>ABS(D48-'Balance Sheet'!D10)&lt;0.001</f>
        <v>1</v>
      </c>
      <c r="E49" s="13" t="b">
        <f>ABS(E48-'Balance Sheet'!E10)&lt;0.001</f>
        <v>1</v>
      </c>
      <c r="F49" s="13" t="b">
        <f>ABS(F48-'Balance Sheet'!F10)&lt;0.001</f>
        <v>1</v>
      </c>
      <c r="G49" s="13" t="b">
        <f>ABS(G48-'Balance Sheet'!G10)&lt;0.001</f>
        <v>1</v>
      </c>
      <c r="H49" s="62" t="b">
        <f>ABS(H48-'Balance Sheet'!H10)&lt;0.001</f>
        <v>1</v>
      </c>
      <c r="I49" s="37"/>
      <c r="J49" s="1"/>
      <c r="K49" s="1"/>
      <c r="L49" s="1"/>
    </row>
    <row r="50" ht="15" customHeight="1">
      <c r="A50" s="1"/>
      <c r="B50" s="1"/>
      <c r="C50" s="25"/>
      <c r="D50" s="25"/>
      <c r="E50" s="25"/>
      <c r="F50" s="25"/>
      <c r="G50" s="25"/>
      <c r="H50" s="36"/>
      <c r="I50" s="37"/>
      <c r="J50" s="1"/>
      <c r="K50" s="1"/>
      <c r="L50" s="1"/>
    </row>
    <row r="51" ht="15" customHeight="1">
      <c r="A51" s="1"/>
      <c r="B51" s="3" t="s">
        <v>337</v>
      </c>
      <c r="C51" s="25"/>
      <c r="D51" s="25"/>
      <c r="E51" s="25"/>
      <c r="F51" s="25"/>
      <c r="G51" s="25"/>
      <c r="H51" s="36"/>
      <c r="I51" s="37"/>
      <c r="J51" s="1"/>
      <c r="K51" s="1"/>
      <c r="L51" s="1"/>
    </row>
    <row r="52" ht="15" customHeight="1">
      <c r="A52" s="1"/>
      <c r="B52" s="48" t="s">
        <v>338</v>
      </c>
      <c r="C52" s="49">
        <f t="shared" si="10" ref="C52:H52">C23+C28</f>
        <v>1593.8429999999996</v>
      </c>
      <c r="D52" s="49">
        <f t="shared" si="10"/>
        <v>1219.1660000000006</v>
      </c>
      <c r="E52" s="49">
        <f t="shared" si="10"/>
        <v>809.8159999999996</v>
      </c>
      <c r="F52" s="49">
        <f t="shared" si="10"/>
        <v>1268.4269999999995</v>
      </c>
      <c r="G52" s="49">
        <f t="shared" si="10"/>
        <v>4891.251999999999</v>
      </c>
      <c r="H52" s="50">
        <f t="shared" si="10"/>
        <v>1867.2281446784255</v>
      </c>
      <c r="I52" s="37" t="s">
        <v>339</v>
      </c>
      <c r="J52" s="1"/>
      <c r="K52" s="1"/>
      <c r="L52" s="1"/>
    </row>
    <row r="53" ht="15" customHeight="1">
      <c r="A53" s="1"/>
      <c r="B53" s="38" t="s">
        <v>340</v>
      </c>
      <c r="C53" s="60">
        <f>C52/'Income Statement'!C10</f>
        <v>0.29935973154891843</v>
      </c>
      <c r="D53" s="60">
        <f>D52/'Income Statement'!D10</f>
        <v>0.2281035872122971</v>
      </c>
      <c r="E53" s="60">
        <f>E52/'Income Statement'!E10</f>
        <v>0.13863180066448816</v>
      </c>
      <c r="F53" s="60">
        <f>F52/'Income Statement'!F10</f>
        <v>0.18869117695624577</v>
      </c>
      <c r="G53" s="60">
        <f>G52/'Income Statement'!G10</f>
        <v>0.21053317545234748</v>
      </c>
      <c r="H53" s="61">
        <f>H52/'Income Statement'!H10</f>
        <v>0.2263490506428054</v>
      </c>
      <c r="I53" s="37"/>
      <c r="J53" s="1"/>
      <c r="K53" s="1"/>
      <c r="L53" s="1"/>
    </row>
    <row r="54" ht="15" customHeight="1">
      <c r="A54" s="1"/>
      <c r="B54" s="42" t="s">
        <v>95</v>
      </c>
      <c r="C54" s="43" t="s">
        <v>40</v>
      </c>
      <c r="D54" s="43">
        <f t="shared" si="11" ref="D54:F54">IF(AND(ISNUMBER(D53),ISNUMBER(C53)),(D53-C53)*10000,"n.a.")</f>
        <v>-712.5614433662133</v>
      </c>
      <c r="E54" s="43">
        <f t="shared" si="11"/>
        <v>-894.7178654780894</v>
      </c>
      <c r="F54" s="43">
        <f t="shared" si="11"/>
        <v>500.59376291757604</v>
      </c>
      <c r="G54" s="43" t="s">
        <v>40</v>
      </c>
      <c r="H54" s="44">
        <f>IF(AND(ISNUMBER(H53),ISNUMBER(F53)),(H53-F53)*10000,"n.a.")</f>
        <v>376.5787368655962</v>
      </c>
      <c r="I54" s="37"/>
      <c r="J54" s="1"/>
      <c r="K54" s="1"/>
      <c r="L54" s="1"/>
    </row>
    <row r="55" ht="15" customHeight="1">
      <c r="A55" s="1"/>
      <c r="B55" s="46" t="s">
        <v>75</v>
      </c>
      <c r="C55" s="14" t="s">
        <v>40</v>
      </c>
      <c r="D55" s="14">
        <f t="shared" si="3"/>
        <v>-374.676999999999</v>
      </c>
      <c r="E55" s="14">
        <f t="shared" si="3"/>
        <v>-409.35000000000105</v>
      </c>
      <c r="F55" s="14">
        <f t="shared" si="3"/>
        <v>458.6109999999999</v>
      </c>
      <c r="G55" s="14" t="s">
        <v>40</v>
      </c>
      <c r="H55" s="47">
        <f t="shared" si="12"/>
        <v>598.801144678426</v>
      </c>
      <c r="I55" s="37"/>
      <c r="J55" s="1"/>
      <c r="K55" s="1"/>
      <c r="L55" s="1"/>
    </row>
    <row r="56" ht="15" customHeight="1">
      <c r="A56" s="1"/>
      <c r="B56" s="46" t="s">
        <v>341</v>
      </c>
      <c r="C56" s="14">
        <f t="shared" si="13" ref="C56:H56">-(C33+C34)</f>
        <v>1267.772</v>
      </c>
      <c r="D56" s="14">
        <f t="shared" si="13"/>
        <v>1793.662</v>
      </c>
      <c r="E56" s="14">
        <f t="shared" si="13"/>
        <v>1488.666</v>
      </c>
      <c r="F56" s="14">
        <f t="shared" si="13"/>
        <v>571.8779999999999</v>
      </c>
      <c r="G56" s="14">
        <f t="shared" si="13"/>
        <v>5121.978</v>
      </c>
      <c r="H56" s="47">
        <f t="shared" si="13"/>
        <v>925.3322800000001</v>
      </c>
      <c r="I56" s="37"/>
      <c r="J56" s="1"/>
      <c r="K56" s="1"/>
      <c r="L56" s="1"/>
    </row>
    <row r="57" ht="15" customHeight="1">
      <c r="A57" s="1"/>
      <c r="B57" s="38" t="s">
        <v>342</v>
      </c>
      <c r="C57" s="40">
        <f t="shared" si="14" ref="C57:H57">C56/C52</f>
        <v>0.7954183693124105</v>
      </c>
      <c r="D57" s="40">
        <f t="shared" si="14"/>
        <v>1.471220490072721</v>
      </c>
      <c r="E57" s="40">
        <f t="shared" si="14"/>
        <v>1.8382768431347376</v>
      </c>
      <c r="F57" s="40">
        <f t="shared" si="14"/>
        <v>0.45085606030146014</v>
      </c>
      <c r="G57" s="40">
        <f t="shared" si="14"/>
        <v>1.0471711537250588</v>
      </c>
      <c r="H57" s="41">
        <f t="shared" si="14"/>
        <v>0.4955646596465378</v>
      </c>
      <c r="I57" s="37"/>
      <c r="J57" s="1"/>
      <c r="K57" s="1"/>
      <c r="L57" s="1"/>
    </row>
    <row r="58" ht="1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83692F8-4C55-15C8-3B61-62658F1C2A6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343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29" t="s">
        <v>59</v>
      </c>
      <c r="C5" s="30" t="s">
        <v>60</v>
      </c>
      <c r="D5" s="30" t="s">
        <v>61</v>
      </c>
      <c r="E5" s="30" t="s">
        <v>62</v>
      </c>
      <c r="F5" s="30" t="s">
        <v>63</v>
      </c>
      <c r="G5" s="30" t="s">
        <v>64</v>
      </c>
      <c r="H5" s="31" t="s">
        <v>4</v>
      </c>
      <c r="I5" s="29" t="s">
        <v>65</v>
      </c>
      <c r="J5" s="1"/>
      <c r="K5" s="1"/>
      <c r="L5" s="1"/>
    </row>
    <row r="6" ht="15" customHeight="1">
      <c r="A6" s="1"/>
      <c r="B6" s="7" t="s">
        <v>5</v>
      </c>
      <c r="C6" s="8">
        <v>45928</v>
      </c>
      <c r="D6" s="8">
        <v>46019</v>
      </c>
      <c r="E6" s="8">
        <v>46110</v>
      </c>
      <c r="F6" s="8">
        <v>46201</v>
      </c>
      <c r="G6" s="8">
        <v>46201</v>
      </c>
      <c r="H6" s="32">
        <v>46292</v>
      </c>
      <c r="I6" s="7"/>
      <c r="J6" s="1"/>
      <c r="K6" s="1"/>
      <c r="L6" s="1"/>
    </row>
    <row r="7" ht="15" customHeight="1">
      <c r="A7" s="1"/>
      <c r="B7" s="33" t="s">
        <v>6</v>
      </c>
      <c r="C7" s="34">
        <v>91</v>
      </c>
      <c r="D7" s="34">
        <v>91</v>
      </c>
      <c r="E7" s="34">
        <v>91</v>
      </c>
      <c r="F7" s="34">
        <v>91</v>
      </c>
      <c r="G7" s="34">
        <v>364</v>
      </c>
      <c r="H7" s="35">
        <v>91</v>
      </c>
      <c r="I7" s="33"/>
      <c r="J7" s="1"/>
      <c r="K7" s="1"/>
      <c r="L7" s="1"/>
    </row>
    <row r="8" ht="15" customHeight="1">
      <c r="A8" s="1"/>
      <c r="B8" s="1"/>
      <c r="C8" s="25"/>
      <c r="D8" s="25"/>
      <c r="E8" s="25"/>
      <c r="F8" s="25"/>
      <c r="G8" s="25"/>
      <c r="H8" s="36"/>
      <c r="I8" s="37"/>
      <c r="J8" s="1"/>
      <c r="K8" s="1"/>
      <c r="L8" s="1"/>
    </row>
    <row r="9" ht="15" customHeight="1">
      <c r="A9" s="1"/>
      <c r="B9" s="38" t="s">
        <v>344</v>
      </c>
      <c r="C9" s="39">
        <v>0.43</v>
      </c>
      <c r="D9" s="39">
        <v>0.35</v>
      </c>
      <c r="E9" s="39">
        <v>0.34</v>
      </c>
      <c r="F9" s="39">
        <v>0.26</v>
      </c>
      <c r="G9" s="40">
        <f>G11/G86</f>
        <v>0.3397780902684967</v>
      </c>
      <c r="H9" s="45">
        <v>0.25</v>
      </c>
      <c r="I9" s="37" t="s">
        <v>345</v>
      </c>
      <c r="J9" s="1"/>
      <c r="K9" s="1"/>
      <c r="L9" s="1"/>
    </row>
    <row r="10" ht="15" customHeight="1">
      <c r="A10" s="1"/>
      <c r="B10" s="42" t="s">
        <v>69</v>
      </c>
      <c r="C10" s="43" t="s">
        <v>40</v>
      </c>
      <c r="D10" s="43">
        <f t="shared" si="0" ref="D10:F76">IF(AND(ISNUMBER(D9),ISNUMBER(C9)),(D9-C9)*10000,"n.a.")</f>
        <v>-800.0000000000001</v>
      </c>
      <c r="E10" s="43">
        <f t="shared" si="0"/>
        <v>-99.99999999999953</v>
      </c>
      <c r="F10" s="43">
        <f t="shared" si="0"/>
        <v>-800.0000000000001</v>
      </c>
      <c r="G10" s="43" t="s">
        <v>40</v>
      </c>
      <c r="H10" s="44">
        <f t="shared" si="5" ref="H10:H76">IF(AND(ISNUMBER(H9),ISNUMBER(F9)),(H9-F9)*10000,"n.a.")</f>
        <v>-100.00000000000009</v>
      </c>
      <c r="I10" s="37"/>
      <c r="J10" s="1"/>
      <c r="K10" s="1"/>
      <c r="L10" s="1"/>
    </row>
    <row r="11" ht="15" customHeight="1">
      <c r="A11" s="1"/>
      <c r="B11" s="46" t="s">
        <v>346</v>
      </c>
      <c r="C11" s="13">
        <f>C9*'Revenue summary'!C106</f>
        <v>2289.39439</v>
      </c>
      <c r="D11" s="13">
        <f>D9*'Revenue summary'!D106</f>
        <v>1870.6768499999998</v>
      </c>
      <c r="E11" s="13">
        <f>E9*'Revenue summary'!E106</f>
        <v>1986.10592</v>
      </c>
      <c r="F11" s="13">
        <f>F9*'Revenue summary'!F106</f>
        <v>1747.78188</v>
      </c>
      <c r="G11" s="14">
        <f t="shared" si="6" ref="G11:G77">SUM(C11:F11)</f>
        <v>7893.95904</v>
      </c>
      <c r="H11" s="62">
        <f>H9*'Revenue summary'!H106</f>
        <v>2062.3326444</v>
      </c>
      <c r="I11" s="37" t="s">
        <v>347</v>
      </c>
      <c r="J11" s="1"/>
      <c r="K11" s="1"/>
      <c r="L11" s="1"/>
    </row>
    <row r="12" ht="15" customHeight="1">
      <c r="A12" s="1"/>
      <c r="B12" s="38" t="s">
        <v>74</v>
      </c>
      <c r="C12" s="40" t="s">
        <v>40</v>
      </c>
      <c r="D12" s="40" t="s">
        <v>40</v>
      </c>
      <c r="E12" s="40" t="s">
        <v>40</v>
      </c>
      <c r="F12" s="40" t="s">
        <v>40</v>
      </c>
      <c r="G12" s="40" t="s">
        <v>40</v>
      </c>
      <c r="H12" s="41">
        <f t="shared" si="7" ref="H12:H78">H11/C11-1</f>
        <v>-0.09917982964918504</v>
      </c>
      <c r="I12" s="37"/>
      <c r="J12" s="1"/>
      <c r="K12" s="1"/>
      <c r="L12" s="1"/>
    </row>
    <row r="13" ht="15" customHeight="1">
      <c r="A13" s="1"/>
      <c r="B13" s="46" t="s">
        <v>75</v>
      </c>
      <c r="C13" s="14" t="s">
        <v>40</v>
      </c>
      <c r="D13" s="14">
        <f t="shared" si="1" ref="D13:F79">IF(AND(ISNUMBER(D11),ISNUMBER(C11)),D11-C11,"n.a.")</f>
        <v>-418.7175400000001</v>
      </c>
      <c r="E13" s="14">
        <f t="shared" si="1"/>
        <v>115.42907000000014</v>
      </c>
      <c r="F13" s="14">
        <f t="shared" si="1"/>
        <v>-238.32403999999997</v>
      </c>
      <c r="G13" s="14" t="s">
        <v>40</v>
      </c>
      <c r="H13" s="47">
        <f t="shared" si="8" ref="H13:H79">IF(AND(ISNUMBER(H11),ISNUMBER(F11)),H11-F11,"n.a.")</f>
        <v>314.55076439999993</v>
      </c>
      <c r="I13" s="37"/>
      <c r="J13" s="1"/>
      <c r="K13" s="1"/>
      <c r="L13" s="1"/>
    </row>
    <row r="14" ht="15" customHeight="1">
      <c r="A14" s="1"/>
      <c r="B14" s="38" t="s">
        <v>76</v>
      </c>
      <c r="C14" s="40" t="s">
        <v>40</v>
      </c>
      <c r="D14" s="40">
        <f t="shared" si="2" ref="D14:F80">IF(AND(ISNUMBER(D11),ISNUMBER(C11)),D11/C11-1,"n.a.")</f>
        <v>-0.18289445533235538</v>
      </c>
      <c r="E14" s="40">
        <f t="shared" si="2"/>
        <v>0.06170444136302855</v>
      </c>
      <c r="F14" s="40">
        <f t="shared" si="2"/>
        <v>-0.11999563447250583</v>
      </c>
      <c r="G14" s="40" t="s">
        <v>40</v>
      </c>
      <c r="H14" s="41">
        <f t="shared" si="9" ref="H14:H80">IF(AND(ISNUMBER(H11),ISNUMBER(F11)),H11/F11-1,"n.a.")</f>
        <v>0.1799714071872629</v>
      </c>
      <c r="I14" s="37"/>
      <c r="J14" s="1"/>
      <c r="K14" s="1"/>
      <c r="L14" s="1"/>
    </row>
    <row r="15" ht="15" customHeight="1">
      <c r="A15" s="1"/>
      <c r="B15" s="38" t="s">
        <v>78</v>
      </c>
      <c r="C15" s="40" t="str">
        <f t="shared" si="3" ref="C15:H81">C12</f>
        <v>n.a.</v>
      </c>
      <c r="D15" s="40" t="str">
        <f t="shared" si="3"/>
        <v>n.a.</v>
      </c>
      <c r="E15" s="40" t="str">
        <f t="shared" si="3"/>
        <v>n.a.</v>
      </c>
      <c r="F15" s="40" t="str">
        <f t="shared" si="3"/>
        <v>n.a.</v>
      </c>
      <c r="G15" s="40" t="str">
        <f t="shared" si="3"/>
        <v>n.a.</v>
      </c>
      <c r="H15" s="41">
        <f t="shared" si="3"/>
        <v>-0.09917982964918504</v>
      </c>
      <c r="I15" s="37"/>
      <c r="J15" s="1"/>
      <c r="K15" s="1"/>
      <c r="L15" s="1"/>
    </row>
    <row r="16" ht="15" customHeight="1">
      <c r="A16" s="1"/>
      <c r="B16" s="38" t="s">
        <v>79</v>
      </c>
      <c r="C16" s="40" t="s">
        <v>80</v>
      </c>
      <c r="D16" s="40" t="s">
        <v>80</v>
      </c>
      <c r="E16" s="40" t="s">
        <v>80</v>
      </c>
      <c r="F16" s="40" t="s">
        <v>80</v>
      </c>
      <c r="G16" s="40" t="s">
        <v>80</v>
      </c>
      <c r="H16" s="41" t="s">
        <v>80</v>
      </c>
      <c r="I16" s="37" t="s">
        <v>81</v>
      </c>
      <c r="J16" s="1"/>
      <c r="K16" s="1"/>
      <c r="L16" s="1"/>
    </row>
    <row r="17" ht="15" customHeight="1">
      <c r="A17" s="1"/>
      <c r="B17" s="38" t="s">
        <v>82</v>
      </c>
      <c r="C17" s="40" t="s">
        <v>80</v>
      </c>
      <c r="D17" s="40" t="s">
        <v>80</v>
      </c>
      <c r="E17" s="40" t="s">
        <v>80</v>
      </c>
      <c r="F17" s="40" t="s">
        <v>80</v>
      </c>
      <c r="G17" s="40" t="s">
        <v>80</v>
      </c>
      <c r="H17" s="41" t="s">
        <v>80</v>
      </c>
      <c r="I17" s="37" t="s">
        <v>81</v>
      </c>
      <c r="J17" s="1"/>
      <c r="K17" s="1"/>
      <c r="L17" s="1"/>
    </row>
    <row r="18" ht="15" customHeight="1">
      <c r="A18" s="1"/>
      <c r="B18" s="38" t="s">
        <v>83</v>
      </c>
      <c r="C18" s="40" t="str">
        <f t="shared" si="4" ref="C18:H84">IF(AND(ISNUMBER(C15),ISNUMBER(C16),ISNUMBER(C17)),(1+C15)/((1+C16)*(1+C17))-1,"n.a.")</f>
        <v>n.a.</v>
      </c>
      <c r="D18" s="40" t="str">
        <f t="shared" si="4"/>
        <v>n.a.</v>
      </c>
      <c r="E18" s="40" t="str">
        <f t="shared" si="4"/>
        <v>n.a.</v>
      </c>
      <c r="F18" s="40" t="str">
        <f t="shared" si="4"/>
        <v>n.a.</v>
      </c>
      <c r="G18" s="40" t="str">
        <f t="shared" si="4"/>
        <v>n.a.</v>
      </c>
      <c r="H18" s="41" t="str">
        <f t="shared" si="4"/>
        <v>n.a.</v>
      </c>
      <c r="I18" s="37" t="s">
        <v>84</v>
      </c>
      <c r="J18" s="1"/>
      <c r="K18" s="1"/>
      <c r="L18" s="1"/>
    </row>
    <row r="19" ht="15" customHeight="1">
      <c r="A19" s="1"/>
      <c r="B19" s="1"/>
      <c r="C19" s="25"/>
      <c r="D19" s="25"/>
      <c r="E19" s="25"/>
      <c r="F19" s="25"/>
      <c r="G19" s="25"/>
      <c r="H19" s="36"/>
      <c r="I19" s="37"/>
      <c r="J19" s="1"/>
      <c r="K19" s="1"/>
      <c r="L19" s="1"/>
    </row>
    <row r="20" ht="15" customHeight="1">
      <c r="A20" s="1"/>
      <c r="B20" s="38" t="s">
        <v>348</v>
      </c>
      <c r="C20" s="39">
        <v>0.19</v>
      </c>
      <c r="D20" s="39">
        <v>0.2</v>
      </c>
      <c r="E20" s="39">
        <v>0.23</v>
      </c>
      <c r="F20" s="39">
        <v>0.27</v>
      </c>
      <c r="G20" s="40">
        <f>G22/G86</f>
        <v>0.22550542231657206</v>
      </c>
      <c r="H20" s="45">
        <v>0.27</v>
      </c>
      <c r="I20" s="37" t="s">
        <v>349</v>
      </c>
      <c r="J20" s="1"/>
      <c r="K20" s="1"/>
      <c r="L20" s="1"/>
    </row>
    <row r="21" ht="15" customHeight="1">
      <c r="A21" s="1"/>
      <c r="B21" s="42" t="s">
        <v>69</v>
      </c>
      <c r="C21" s="43" t="s">
        <v>40</v>
      </c>
      <c r="D21" s="43">
        <f t="shared" si="0"/>
        <v>100.00000000000009</v>
      </c>
      <c r="E21" s="43">
        <f t="shared" si="0"/>
        <v>300</v>
      </c>
      <c r="F21" s="43">
        <f t="shared" si="0"/>
        <v>400.00000000000006</v>
      </c>
      <c r="G21" s="43" t="s">
        <v>40</v>
      </c>
      <c r="H21" s="44">
        <f t="shared" si="5"/>
        <v>0</v>
      </c>
      <c r="I21" s="37"/>
      <c r="J21" s="1"/>
      <c r="K21" s="1"/>
      <c r="L21" s="1"/>
    </row>
    <row r="22" ht="15" customHeight="1">
      <c r="A22" s="1"/>
      <c r="B22" s="46" t="s">
        <v>350</v>
      </c>
      <c r="C22" s="13">
        <f>C20*'Revenue summary'!C106</f>
        <v>1011.59287</v>
      </c>
      <c r="D22" s="13">
        <f>D20*'Revenue summary'!D106</f>
        <v>1068.9582</v>
      </c>
      <c r="E22" s="13">
        <f>E20*'Revenue summary'!E106</f>
        <v>1343.54224</v>
      </c>
      <c r="F22" s="13">
        <f>F20*'Revenue summary'!F106</f>
        <v>1815.00426</v>
      </c>
      <c r="G22" s="14">
        <f t="shared" si="6"/>
        <v>5239.09757</v>
      </c>
      <c r="H22" s="62">
        <f>H20*'Revenue summary'!H106</f>
        <v>2227.3192559520003</v>
      </c>
      <c r="I22" s="37" t="s">
        <v>347</v>
      </c>
      <c r="J22" s="1"/>
      <c r="K22" s="1"/>
      <c r="L22" s="1"/>
    </row>
    <row r="23" ht="15" customHeight="1">
      <c r="A23" s="1"/>
      <c r="B23" s="38" t="s">
        <v>74</v>
      </c>
      <c r="C23" s="40" t="s">
        <v>40</v>
      </c>
      <c r="D23" s="40" t="s">
        <v>40</v>
      </c>
      <c r="E23" s="40" t="s">
        <v>40</v>
      </c>
      <c r="F23" s="40" t="s">
        <v>40</v>
      </c>
      <c r="G23" s="40" t="s">
        <v>40</v>
      </c>
      <c r="H23" s="41">
        <f t="shared" si="7"/>
        <v>1.201794142689045</v>
      </c>
      <c r="I23" s="37"/>
      <c r="J23" s="1"/>
      <c r="K23" s="1"/>
      <c r="L23" s="1"/>
    </row>
    <row r="24" ht="15" customHeight="1">
      <c r="A24" s="1"/>
      <c r="B24" s="46" t="s">
        <v>75</v>
      </c>
      <c r="C24" s="14" t="s">
        <v>40</v>
      </c>
      <c r="D24" s="14">
        <f t="shared" si="1"/>
        <v>57.365330000000085</v>
      </c>
      <c r="E24" s="14">
        <f t="shared" si="1"/>
        <v>274.58403999999996</v>
      </c>
      <c r="F24" s="14">
        <f t="shared" si="1"/>
        <v>471.46201999999994</v>
      </c>
      <c r="G24" s="14" t="s">
        <v>40</v>
      </c>
      <c r="H24" s="47">
        <f t="shared" si="8"/>
        <v>412.31499595200034</v>
      </c>
      <c r="I24" s="37"/>
      <c r="J24" s="1"/>
      <c r="K24" s="1"/>
      <c r="L24" s="1"/>
    </row>
    <row r="25" ht="15" customHeight="1">
      <c r="A25" s="1"/>
      <c r="B25" s="38" t="s">
        <v>76</v>
      </c>
      <c r="C25" s="40" t="s">
        <v>40</v>
      </c>
      <c r="D25" s="40">
        <f t="shared" si="2"/>
        <v>0.056707922427329915</v>
      </c>
      <c r="E25" s="40">
        <f t="shared" si="2"/>
        <v>0.25687069896652637</v>
      </c>
      <c r="F25" s="40">
        <f t="shared" si="2"/>
        <v>0.35090971162916307</v>
      </c>
      <c r="G25" s="40" t="s">
        <v>40</v>
      </c>
      <c r="H25" s="41">
        <f t="shared" si="9"/>
        <v>0.22717026347475366</v>
      </c>
      <c r="I25" s="37"/>
      <c r="J25" s="1"/>
      <c r="K25" s="1"/>
      <c r="L25" s="1"/>
    </row>
    <row r="26" ht="15" customHeight="1">
      <c r="A26" s="1"/>
      <c r="B26" s="38" t="s">
        <v>78</v>
      </c>
      <c r="C26" s="40" t="str">
        <f t="shared" si="3"/>
        <v>n.a.</v>
      </c>
      <c r="D26" s="40" t="str">
        <f t="shared" si="3"/>
        <v>n.a.</v>
      </c>
      <c r="E26" s="40" t="str">
        <f t="shared" si="3"/>
        <v>n.a.</v>
      </c>
      <c r="F26" s="40" t="str">
        <f t="shared" si="3"/>
        <v>n.a.</v>
      </c>
      <c r="G26" s="40" t="str">
        <f t="shared" si="3"/>
        <v>n.a.</v>
      </c>
      <c r="H26" s="41">
        <f t="shared" si="3"/>
        <v>1.201794142689045</v>
      </c>
      <c r="I26" s="37"/>
      <c r="J26" s="1"/>
      <c r="K26" s="1"/>
      <c r="L26" s="1"/>
    </row>
    <row r="27" ht="15" customHeight="1">
      <c r="A27" s="1"/>
      <c r="B27" s="38" t="s">
        <v>79</v>
      </c>
      <c r="C27" s="40" t="s">
        <v>80</v>
      </c>
      <c r="D27" s="40" t="s">
        <v>80</v>
      </c>
      <c r="E27" s="40" t="s">
        <v>80</v>
      </c>
      <c r="F27" s="40" t="s">
        <v>80</v>
      </c>
      <c r="G27" s="40" t="s">
        <v>80</v>
      </c>
      <c r="H27" s="41" t="s">
        <v>80</v>
      </c>
      <c r="I27" s="37" t="s">
        <v>81</v>
      </c>
      <c r="J27" s="1"/>
      <c r="K27" s="1"/>
      <c r="L27" s="1"/>
    </row>
    <row r="28" ht="15" customHeight="1">
      <c r="A28" s="1"/>
      <c r="B28" s="38" t="s">
        <v>82</v>
      </c>
      <c r="C28" s="40" t="s">
        <v>80</v>
      </c>
      <c r="D28" s="40" t="s">
        <v>80</v>
      </c>
      <c r="E28" s="40" t="s">
        <v>80</v>
      </c>
      <c r="F28" s="40" t="s">
        <v>80</v>
      </c>
      <c r="G28" s="40" t="s">
        <v>80</v>
      </c>
      <c r="H28" s="41" t="s">
        <v>80</v>
      </c>
      <c r="I28" s="37" t="s">
        <v>81</v>
      </c>
      <c r="J28" s="1"/>
      <c r="K28" s="1"/>
      <c r="L28" s="1"/>
    </row>
    <row r="29" ht="15" customHeight="1">
      <c r="A29" s="1"/>
      <c r="B29" s="38" t="s">
        <v>83</v>
      </c>
      <c r="C29" s="40" t="str">
        <f t="shared" si="4"/>
        <v>n.a.</v>
      </c>
      <c r="D29" s="40" t="str">
        <f t="shared" si="4"/>
        <v>n.a.</v>
      </c>
      <c r="E29" s="40" t="str">
        <f t="shared" si="4"/>
        <v>n.a.</v>
      </c>
      <c r="F29" s="40" t="str">
        <f t="shared" si="4"/>
        <v>n.a.</v>
      </c>
      <c r="G29" s="40" t="str">
        <f t="shared" si="4"/>
        <v>n.a.</v>
      </c>
      <c r="H29" s="41" t="str">
        <f t="shared" si="4"/>
        <v>n.a.</v>
      </c>
      <c r="I29" s="37" t="s">
        <v>84</v>
      </c>
      <c r="J29" s="1"/>
      <c r="K29" s="1"/>
      <c r="L29" s="1"/>
    </row>
    <row r="30" ht="15" customHeight="1">
      <c r="A30" s="1"/>
      <c r="B30" s="1"/>
      <c r="C30" s="25"/>
      <c r="D30" s="25"/>
      <c r="E30" s="25"/>
      <c r="F30" s="25"/>
      <c r="G30" s="25"/>
      <c r="H30" s="36"/>
      <c r="I30" s="37"/>
      <c r="J30" s="1"/>
      <c r="K30" s="1"/>
      <c r="L30" s="1"/>
    </row>
    <row r="31" ht="15" customHeight="1">
      <c r="A31" s="1"/>
      <c r="B31" s="38" t="s">
        <v>351</v>
      </c>
      <c r="C31" s="39">
        <v>0.15</v>
      </c>
      <c r="D31" s="39">
        <v>0.2</v>
      </c>
      <c r="E31" s="39">
        <v>0.23</v>
      </c>
      <c r="F31" s="39">
        <v>0.2</v>
      </c>
      <c r="G31" s="40">
        <f>G33/G86</f>
        <v>0.19608465442443385</v>
      </c>
      <c r="H31" s="45">
        <v>0.22</v>
      </c>
      <c r="I31" s="37" t="s">
        <v>352</v>
      </c>
      <c r="J31" s="1"/>
      <c r="K31" s="1"/>
      <c r="L31" s="1"/>
    </row>
    <row r="32" ht="15" customHeight="1">
      <c r="A32" s="1"/>
      <c r="B32" s="42" t="s">
        <v>69</v>
      </c>
      <c r="C32" s="43" t="s">
        <v>40</v>
      </c>
      <c r="D32" s="43">
        <f t="shared" si="0"/>
        <v>500.00000000000017</v>
      </c>
      <c r="E32" s="43">
        <f t="shared" si="0"/>
        <v>300</v>
      </c>
      <c r="F32" s="43">
        <f t="shared" si="0"/>
        <v>-300</v>
      </c>
      <c r="G32" s="43" t="s">
        <v>40</v>
      </c>
      <c r="H32" s="44">
        <f t="shared" si="5"/>
        <v>199.9999999999999</v>
      </c>
      <c r="I32" s="37"/>
      <c r="J32" s="1"/>
      <c r="K32" s="1"/>
      <c r="L32" s="1"/>
    </row>
    <row r="33" ht="15" customHeight="1">
      <c r="A33" s="1"/>
      <c r="B33" s="46" t="s">
        <v>353</v>
      </c>
      <c r="C33" s="13">
        <f>C31*'Revenue summary'!C106</f>
        <v>798.62595</v>
      </c>
      <c r="D33" s="13">
        <f>D31*'Revenue summary'!D106</f>
        <v>1068.9582</v>
      </c>
      <c r="E33" s="13">
        <f>E31*'Revenue summary'!E106</f>
        <v>1343.54224</v>
      </c>
      <c r="F33" s="13">
        <f>F31*'Revenue summary'!F106</f>
        <v>1344.4476</v>
      </c>
      <c r="G33" s="14">
        <f t="shared" si="6"/>
        <v>4555.57399</v>
      </c>
      <c r="H33" s="62">
        <f>H31*'Revenue summary'!H106</f>
        <v>1814.8527270719999</v>
      </c>
      <c r="I33" s="37" t="s">
        <v>347</v>
      </c>
      <c r="J33" s="1"/>
      <c r="K33" s="1"/>
      <c r="L33" s="1"/>
    </row>
    <row r="34" ht="15" customHeight="1">
      <c r="A34" s="1"/>
      <c r="B34" s="38" t="s">
        <v>74</v>
      </c>
      <c r="C34" s="40" t="s">
        <v>40</v>
      </c>
      <c r="D34" s="40" t="s">
        <v>40</v>
      </c>
      <c r="E34" s="40" t="s">
        <v>40</v>
      </c>
      <c r="F34" s="40" t="s">
        <v>40</v>
      </c>
      <c r="G34" s="40" t="s">
        <v>40</v>
      </c>
      <c r="H34" s="41">
        <f t="shared" si="7"/>
        <v>1.272469016404989</v>
      </c>
      <c r="I34" s="37"/>
      <c r="J34" s="1"/>
      <c r="K34" s="1"/>
      <c r="L34" s="1"/>
    </row>
    <row r="35" ht="15" customHeight="1">
      <c r="A35" s="1"/>
      <c r="B35" s="46" t="s">
        <v>75</v>
      </c>
      <c r="C35" s="14" t="s">
        <v>40</v>
      </c>
      <c r="D35" s="14">
        <f t="shared" si="1"/>
        <v>270.33225000000004</v>
      </c>
      <c r="E35" s="14">
        <f t="shared" si="1"/>
        <v>274.58403999999996</v>
      </c>
      <c r="F35" s="14">
        <f t="shared" si="1"/>
        <v>0.9053599999999733</v>
      </c>
      <c r="G35" s="14" t="s">
        <v>40</v>
      </c>
      <c r="H35" s="47">
        <f t="shared" si="8"/>
        <v>470.4051270719999</v>
      </c>
      <c r="I35" s="37"/>
      <c r="J35" s="1"/>
      <c r="K35" s="1"/>
      <c r="L35" s="1"/>
    </row>
    <row r="36" ht="15" customHeight="1">
      <c r="A36" s="1"/>
      <c r="B36" s="38" t="s">
        <v>76</v>
      </c>
      <c r="C36" s="40" t="s">
        <v>40</v>
      </c>
      <c r="D36" s="40">
        <f t="shared" si="2"/>
        <v>0.33849670174128454</v>
      </c>
      <c r="E36" s="40">
        <f t="shared" si="2"/>
        <v>0.25687069896652637</v>
      </c>
      <c r="F36" s="40">
        <f t="shared" si="2"/>
        <v>0.0006738604660467828</v>
      </c>
      <c r="G36" s="40" t="s">
        <v>40</v>
      </c>
      <c r="H36" s="41">
        <f t="shared" si="9"/>
        <v>0.3498872898222287</v>
      </c>
      <c r="I36" s="37"/>
      <c r="J36" s="1"/>
      <c r="K36" s="1"/>
      <c r="L36" s="1"/>
    </row>
    <row r="37" ht="15" customHeight="1">
      <c r="A37" s="1"/>
      <c r="B37" s="38" t="s">
        <v>78</v>
      </c>
      <c r="C37" s="40" t="str">
        <f t="shared" si="3"/>
        <v>n.a.</v>
      </c>
      <c r="D37" s="40" t="str">
        <f t="shared" si="3"/>
        <v>n.a.</v>
      </c>
      <c r="E37" s="40" t="str">
        <f t="shared" si="3"/>
        <v>n.a.</v>
      </c>
      <c r="F37" s="40" t="str">
        <f t="shared" si="3"/>
        <v>n.a.</v>
      </c>
      <c r="G37" s="40" t="str">
        <f t="shared" si="3"/>
        <v>n.a.</v>
      </c>
      <c r="H37" s="41">
        <f t="shared" si="3"/>
        <v>1.272469016404989</v>
      </c>
      <c r="I37" s="37"/>
      <c r="J37" s="1"/>
      <c r="K37" s="1"/>
      <c r="L37" s="1"/>
    </row>
    <row r="38" ht="15" customHeight="1">
      <c r="A38" s="1"/>
      <c r="B38" s="38" t="s">
        <v>79</v>
      </c>
      <c r="C38" s="40" t="s">
        <v>80</v>
      </c>
      <c r="D38" s="40" t="s">
        <v>80</v>
      </c>
      <c r="E38" s="40" t="s">
        <v>80</v>
      </c>
      <c r="F38" s="40" t="s">
        <v>80</v>
      </c>
      <c r="G38" s="40" t="s">
        <v>80</v>
      </c>
      <c r="H38" s="41" t="s">
        <v>80</v>
      </c>
      <c r="I38" s="37" t="s">
        <v>81</v>
      </c>
      <c r="J38" s="1"/>
      <c r="K38" s="1"/>
      <c r="L38" s="1"/>
    </row>
    <row r="39" ht="15" customHeight="1">
      <c r="A39" s="1"/>
      <c r="B39" s="38" t="s">
        <v>82</v>
      </c>
      <c r="C39" s="40" t="s">
        <v>80</v>
      </c>
      <c r="D39" s="40" t="s">
        <v>80</v>
      </c>
      <c r="E39" s="40" t="s">
        <v>80</v>
      </c>
      <c r="F39" s="40" t="s">
        <v>80</v>
      </c>
      <c r="G39" s="40" t="s">
        <v>80</v>
      </c>
      <c r="H39" s="41" t="s">
        <v>80</v>
      </c>
      <c r="I39" s="37" t="s">
        <v>81</v>
      </c>
      <c r="J39" s="1"/>
      <c r="K39" s="1"/>
      <c r="L39" s="1"/>
    </row>
    <row r="40" ht="15" customHeight="1">
      <c r="A40" s="1"/>
      <c r="B40" s="38" t="s">
        <v>83</v>
      </c>
      <c r="C40" s="40" t="str">
        <f t="shared" si="4"/>
        <v>n.a.</v>
      </c>
      <c r="D40" s="40" t="str">
        <f t="shared" si="4"/>
        <v>n.a.</v>
      </c>
      <c r="E40" s="40" t="str">
        <f t="shared" si="4"/>
        <v>n.a.</v>
      </c>
      <c r="F40" s="40" t="str">
        <f t="shared" si="4"/>
        <v>n.a.</v>
      </c>
      <c r="G40" s="40" t="str">
        <f t="shared" si="4"/>
        <v>n.a.</v>
      </c>
      <c r="H40" s="41" t="str">
        <f t="shared" si="4"/>
        <v>n.a.</v>
      </c>
      <c r="I40" s="37" t="s">
        <v>84</v>
      </c>
      <c r="J40" s="1"/>
      <c r="K40" s="1"/>
      <c r="L40" s="1"/>
    </row>
    <row r="41" ht="15" customHeight="1">
      <c r="A41" s="1"/>
      <c r="B41" s="1"/>
      <c r="C41" s="25"/>
      <c r="D41" s="25"/>
      <c r="E41" s="25"/>
      <c r="F41" s="25"/>
      <c r="G41" s="25"/>
      <c r="H41" s="36"/>
      <c r="I41" s="37"/>
      <c r="J41" s="1"/>
      <c r="K41" s="1"/>
      <c r="L41" s="1"/>
    </row>
    <row r="42" ht="15" customHeight="1">
      <c r="A42" s="1"/>
      <c r="B42" s="38" t="s">
        <v>354</v>
      </c>
      <c r="C42" s="39">
        <v>0.1</v>
      </c>
      <c r="D42" s="39">
        <v>0.1</v>
      </c>
      <c r="E42" s="39">
        <v>0.08</v>
      </c>
      <c r="F42" s="39">
        <v>0.09</v>
      </c>
      <c r="G42" s="40">
        <f>G44/G86</f>
        <v>0.09207788077919518</v>
      </c>
      <c r="H42" s="45">
        <v>0.09</v>
      </c>
      <c r="I42" s="37" t="s">
        <v>355</v>
      </c>
      <c r="J42" s="1"/>
      <c r="K42" s="1"/>
      <c r="L42" s="1"/>
    </row>
    <row r="43" ht="15" customHeight="1">
      <c r="A43" s="1"/>
      <c r="B43" s="42" t="s">
        <v>69</v>
      </c>
      <c r="C43" s="43" t="s">
        <v>40</v>
      </c>
      <c r="D43" s="43">
        <f t="shared" si="0"/>
        <v>0</v>
      </c>
      <c r="E43" s="43">
        <f t="shared" si="0"/>
        <v>-200.00000000000003</v>
      </c>
      <c r="F43" s="43">
        <f t="shared" si="0"/>
        <v>99.99999999999994</v>
      </c>
      <c r="G43" s="43" t="s">
        <v>40</v>
      </c>
      <c r="H43" s="44">
        <f t="shared" si="5"/>
        <v>0</v>
      </c>
      <c r="I43" s="37"/>
      <c r="J43" s="1"/>
      <c r="K43" s="1"/>
      <c r="L43" s="1"/>
    </row>
    <row r="44" ht="15" customHeight="1">
      <c r="A44" s="1"/>
      <c r="B44" s="46" t="s">
        <v>356</v>
      </c>
      <c r="C44" s="13">
        <f>C42*'Revenue summary'!C106</f>
        <v>532.4173</v>
      </c>
      <c r="D44" s="13">
        <f>D42*'Revenue summary'!D106</f>
        <v>534.4791</v>
      </c>
      <c r="E44" s="13">
        <f>E42*'Revenue summary'!E106</f>
        <v>467.31904</v>
      </c>
      <c r="F44" s="13">
        <f>F42*'Revenue summary'!F106</f>
        <v>605.0014199999999</v>
      </c>
      <c r="G44" s="14">
        <f t="shared" si="6"/>
        <v>2139.21686</v>
      </c>
      <c r="H44" s="62">
        <f>H42*'Revenue summary'!H106</f>
        <v>742.4397519839999</v>
      </c>
      <c r="I44" s="37" t="s">
        <v>347</v>
      </c>
      <c r="J44" s="1"/>
      <c r="K44" s="1"/>
      <c r="L44" s="1"/>
    </row>
    <row r="45" ht="15" customHeight="1">
      <c r="A45" s="1"/>
      <c r="B45" s="38" t="s">
        <v>74</v>
      </c>
      <c r="C45" s="40" t="s">
        <v>40</v>
      </c>
      <c r="D45" s="40" t="s">
        <v>40</v>
      </c>
      <c r="E45" s="40" t="s">
        <v>40</v>
      </c>
      <c r="F45" s="40" t="s">
        <v>40</v>
      </c>
      <c r="G45" s="40" t="s">
        <v>40</v>
      </c>
      <c r="H45" s="41">
        <f t="shared" si="7"/>
        <v>0.3944696237030616</v>
      </c>
      <c r="I45" s="37"/>
      <c r="J45" s="1"/>
      <c r="K45" s="1"/>
      <c r="L45" s="1"/>
    </row>
    <row r="46" ht="15" customHeight="1">
      <c r="A46" s="1"/>
      <c r="B46" s="46" t="s">
        <v>75</v>
      </c>
      <c r="C46" s="14" t="s">
        <v>40</v>
      </c>
      <c r="D46" s="14">
        <f t="shared" si="1"/>
        <v>2.061800000000062</v>
      </c>
      <c r="E46" s="14">
        <f t="shared" si="1"/>
        <v>-67.16006000000004</v>
      </c>
      <c r="F46" s="14">
        <f t="shared" si="1"/>
        <v>137.68237999999997</v>
      </c>
      <c r="G46" s="14" t="s">
        <v>40</v>
      </c>
      <c r="H46" s="47">
        <f t="shared" si="8"/>
        <v>137.438331984</v>
      </c>
      <c r="I46" s="37"/>
      <c r="J46" s="1"/>
      <c r="K46" s="1"/>
      <c r="L46" s="1"/>
    </row>
    <row r="47" ht="15" customHeight="1">
      <c r="A47" s="1"/>
      <c r="B47" s="38" t="s">
        <v>76</v>
      </c>
      <c r="C47" s="40" t="s">
        <v>40</v>
      </c>
      <c r="D47" s="40">
        <f t="shared" si="2"/>
        <v>0.003872526305963575</v>
      </c>
      <c r="E47" s="40">
        <f t="shared" si="2"/>
        <v>-0.12565516593632953</v>
      </c>
      <c r="F47" s="40">
        <f t="shared" si="2"/>
        <v>0.29462180697794804</v>
      </c>
      <c r="G47" s="40" t="s">
        <v>40</v>
      </c>
      <c r="H47" s="41">
        <f t="shared" si="9"/>
        <v>0.22717026347475344</v>
      </c>
      <c r="I47" s="37"/>
      <c r="J47" s="1"/>
      <c r="K47" s="1"/>
      <c r="L47" s="1"/>
    </row>
    <row r="48" ht="15" customHeight="1">
      <c r="A48" s="1"/>
      <c r="B48" s="38" t="s">
        <v>78</v>
      </c>
      <c r="C48" s="40" t="str">
        <f t="shared" si="3"/>
        <v>n.a.</v>
      </c>
      <c r="D48" s="40" t="str">
        <f t="shared" si="3"/>
        <v>n.a.</v>
      </c>
      <c r="E48" s="40" t="str">
        <f t="shared" si="3"/>
        <v>n.a.</v>
      </c>
      <c r="F48" s="40" t="str">
        <f t="shared" si="3"/>
        <v>n.a.</v>
      </c>
      <c r="G48" s="40" t="str">
        <f t="shared" si="3"/>
        <v>n.a.</v>
      </c>
      <c r="H48" s="41">
        <f t="shared" si="3"/>
        <v>0.3944696237030616</v>
      </c>
      <c r="I48" s="37"/>
      <c r="J48" s="1"/>
      <c r="K48" s="1"/>
      <c r="L48" s="1"/>
    </row>
    <row r="49" ht="15" customHeight="1">
      <c r="A49" s="1"/>
      <c r="B49" s="38" t="s">
        <v>79</v>
      </c>
      <c r="C49" s="40" t="s">
        <v>80</v>
      </c>
      <c r="D49" s="40" t="s">
        <v>80</v>
      </c>
      <c r="E49" s="40" t="s">
        <v>80</v>
      </c>
      <c r="F49" s="40" t="s">
        <v>80</v>
      </c>
      <c r="G49" s="40" t="s">
        <v>80</v>
      </c>
      <c r="H49" s="41" t="s">
        <v>80</v>
      </c>
      <c r="I49" s="37" t="s">
        <v>81</v>
      </c>
      <c r="J49" s="1"/>
      <c r="K49" s="1"/>
      <c r="L49" s="1"/>
    </row>
    <row r="50" ht="15" customHeight="1">
      <c r="A50" s="1"/>
      <c r="B50" s="38" t="s">
        <v>82</v>
      </c>
      <c r="C50" s="40" t="s">
        <v>80</v>
      </c>
      <c r="D50" s="40" t="s">
        <v>80</v>
      </c>
      <c r="E50" s="40" t="s">
        <v>80</v>
      </c>
      <c r="F50" s="40" t="s">
        <v>80</v>
      </c>
      <c r="G50" s="40" t="s">
        <v>80</v>
      </c>
      <c r="H50" s="41" t="s">
        <v>80</v>
      </c>
      <c r="I50" s="37" t="s">
        <v>81</v>
      </c>
      <c r="J50" s="1"/>
      <c r="K50" s="1"/>
      <c r="L50" s="1"/>
    </row>
    <row r="51" ht="15" customHeight="1">
      <c r="A51" s="1"/>
      <c r="B51" s="38" t="s">
        <v>83</v>
      </c>
      <c r="C51" s="40" t="str">
        <f t="shared" si="4"/>
        <v>n.a.</v>
      </c>
      <c r="D51" s="40" t="str">
        <f t="shared" si="4"/>
        <v>n.a.</v>
      </c>
      <c r="E51" s="40" t="str">
        <f t="shared" si="4"/>
        <v>n.a.</v>
      </c>
      <c r="F51" s="40" t="str">
        <f t="shared" si="4"/>
        <v>n.a.</v>
      </c>
      <c r="G51" s="40" t="str">
        <f t="shared" si="4"/>
        <v>n.a.</v>
      </c>
      <c r="H51" s="41" t="str">
        <f t="shared" si="4"/>
        <v>n.a.</v>
      </c>
      <c r="I51" s="37" t="s">
        <v>84</v>
      </c>
      <c r="J51" s="1"/>
      <c r="K51" s="1"/>
      <c r="L51" s="1"/>
    </row>
    <row r="52" ht="15" customHeight="1">
      <c r="A52" s="1"/>
      <c r="B52" s="1"/>
      <c r="C52" s="25"/>
      <c r="D52" s="25"/>
      <c r="E52" s="25"/>
      <c r="F52" s="25"/>
      <c r="G52" s="25"/>
      <c r="H52" s="36"/>
      <c r="I52" s="37"/>
      <c r="J52" s="1"/>
      <c r="K52" s="1"/>
      <c r="L52" s="1"/>
    </row>
    <row r="53" ht="15" customHeight="1">
      <c r="A53" s="1"/>
      <c r="B53" s="38" t="s">
        <v>357</v>
      </c>
      <c r="C53" s="39">
        <v>0.06</v>
      </c>
      <c r="D53" s="39">
        <v>0.05</v>
      </c>
      <c r="E53" s="39">
        <v>0.06</v>
      </c>
      <c r="F53" s="39">
        <v>0.09</v>
      </c>
      <c r="G53" s="40">
        <f>G55/G86</f>
        <v>0.06637977048718852</v>
      </c>
      <c r="H53" s="45">
        <v>0.09</v>
      </c>
      <c r="I53" s="37" t="s">
        <v>358</v>
      </c>
      <c r="J53" s="1"/>
      <c r="K53" s="1"/>
      <c r="L53" s="1"/>
    </row>
    <row r="54" ht="15" customHeight="1">
      <c r="A54" s="1"/>
      <c r="B54" s="42" t="s">
        <v>69</v>
      </c>
      <c r="C54" s="43" t="s">
        <v>40</v>
      </c>
      <c r="D54" s="43">
        <f t="shared" si="0"/>
        <v>-99.99999999999994</v>
      </c>
      <c r="E54" s="43">
        <f t="shared" si="0"/>
        <v>99.99999999999994</v>
      </c>
      <c r="F54" s="43">
        <f t="shared" si="0"/>
        <v>300</v>
      </c>
      <c r="G54" s="43" t="s">
        <v>40</v>
      </c>
      <c r="H54" s="44">
        <f t="shared" si="5"/>
        <v>0</v>
      </c>
      <c r="I54" s="37"/>
      <c r="J54" s="1"/>
      <c r="K54" s="1"/>
      <c r="L54" s="1"/>
    </row>
    <row r="55" ht="15" customHeight="1">
      <c r="A55" s="1"/>
      <c r="B55" s="46" t="s">
        <v>359</v>
      </c>
      <c r="C55" s="13">
        <f>C53*'Revenue summary'!C106</f>
        <v>319.45038</v>
      </c>
      <c r="D55" s="13">
        <f>D53*'Revenue summary'!D106</f>
        <v>267.23955</v>
      </c>
      <c r="E55" s="13">
        <f>E53*'Revenue summary'!E106</f>
        <v>350.48927999999995</v>
      </c>
      <c r="F55" s="13">
        <f>F53*'Revenue summary'!F106</f>
        <v>605.0014199999999</v>
      </c>
      <c r="G55" s="14">
        <f t="shared" si="6"/>
        <v>1542.1806299999998</v>
      </c>
      <c r="H55" s="62">
        <f>H53*'Revenue summary'!H106</f>
        <v>742.4397519839999</v>
      </c>
      <c r="I55" s="37" t="s">
        <v>347</v>
      </c>
      <c r="J55" s="1"/>
      <c r="K55" s="1"/>
      <c r="L55" s="1"/>
    </row>
    <row r="56" ht="15" customHeight="1">
      <c r="A56" s="1"/>
      <c r="B56" s="38" t="s">
        <v>74</v>
      </c>
      <c r="C56" s="40" t="s">
        <v>40</v>
      </c>
      <c r="D56" s="40" t="s">
        <v>40</v>
      </c>
      <c r="E56" s="40" t="s">
        <v>40</v>
      </c>
      <c r="F56" s="40" t="s">
        <v>40</v>
      </c>
      <c r="G56" s="40" t="s">
        <v>40</v>
      </c>
      <c r="H56" s="41">
        <f t="shared" si="7"/>
        <v>1.3241160395051024</v>
      </c>
      <c r="I56" s="37"/>
      <c r="J56" s="1"/>
      <c r="K56" s="1"/>
      <c r="L56" s="1"/>
    </row>
    <row r="57" ht="15" customHeight="1">
      <c r="A57" s="1"/>
      <c r="B57" s="46" t="s">
        <v>75</v>
      </c>
      <c r="C57" s="14" t="s">
        <v>40</v>
      </c>
      <c r="D57" s="14">
        <f t="shared" si="1"/>
        <v>-52.21082999999999</v>
      </c>
      <c r="E57" s="14">
        <f t="shared" si="1"/>
        <v>83.24972999999994</v>
      </c>
      <c r="F57" s="14">
        <f t="shared" si="1"/>
        <v>254.51214</v>
      </c>
      <c r="G57" s="14" t="s">
        <v>40</v>
      </c>
      <c r="H57" s="47">
        <f t="shared" si="8"/>
        <v>137.438331984</v>
      </c>
      <c r="I57" s="37"/>
      <c r="J57" s="1"/>
      <c r="K57" s="1"/>
      <c r="L57" s="1"/>
    </row>
    <row r="58" ht="15" customHeight="1">
      <c r="A58" s="1"/>
      <c r="B58" s="38" t="s">
        <v>76</v>
      </c>
      <c r="C58" s="40" t="s">
        <v>40</v>
      </c>
      <c r="D58" s="40">
        <f t="shared" si="2"/>
        <v>-0.16343956141169713</v>
      </c>
      <c r="E58" s="40">
        <f t="shared" si="2"/>
        <v>0.31151725109550576</v>
      </c>
      <c r="F58" s="40">
        <f t="shared" si="2"/>
        <v>0.726162409303931</v>
      </c>
      <c r="G58" s="40" t="s">
        <v>40</v>
      </c>
      <c r="H58" s="41">
        <f t="shared" si="9"/>
        <v>0.22717026347475344</v>
      </c>
      <c r="I58" s="37"/>
      <c r="J58" s="1"/>
      <c r="K58" s="1"/>
      <c r="L58" s="1"/>
    </row>
    <row r="59" ht="15" customHeight="1">
      <c r="A59" s="1"/>
      <c r="B59" s="38" t="s">
        <v>78</v>
      </c>
      <c r="C59" s="40" t="str">
        <f t="shared" si="3"/>
        <v>n.a.</v>
      </c>
      <c r="D59" s="40" t="str">
        <f t="shared" si="3"/>
        <v>n.a.</v>
      </c>
      <c r="E59" s="40" t="str">
        <f t="shared" si="3"/>
        <v>n.a.</v>
      </c>
      <c r="F59" s="40" t="str">
        <f t="shared" si="3"/>
        <v>n.a.</v>
      </c>
      <c r="G59" s="40" t="str">
        <f t="shared" si="3"/>
        <v>n.a.</v>
      </c>
      <c r="H59" s="41">
        <f t="shared" si="3"/>
        <v>1.3241160395051024</v>
      </c>
      <c r="I59" s="37"/>
      <c r="J59" s="1"/>
      <c r="K59" s="1"/>
      <c r="L59" s="1"/>
    </row>
    <row r="60" ht="15" customHeight="1">
      <c r="A60" s="1"/>
      <c r="B60" s="38" t="s">
        <v>79</v>
      </c>
      <c r="C60" s="40" t="s">
        <v>80</v>
      </c>
      <c r="D60" s="40" t="s">
        <v>80</v>
      </c>
      <c r="E60" s="40" t="s">
        <v>80</v>
      </c>
      <c r="F60" s="40" t="s">
        <v>80</v>
      </c>
      <c r="G60" s="40" t="s">
        <v>80</v>
      </c>
      <c r="H60" s="41" t="s">
        <v>80</v>
      </c>
      <c r="I60" s="37" t="s">
        <v>81</v>
      </c>
      <c r="J60" s="1"/>
      <c r="K60" s="1"/>
      <c r="L60" s="1"/>
    </row>
    <row r="61" ht="15" customHeight="1">
      <c r="A61" s="1"/>
      <c r="B61" s="38" t="s">
        <v>82</v>
      </c>
      <c r="C61" s="40" t="s">
        <v>80</v>
      </c>
      <c r="D61" s="40" t="s">
        <v>80</v>
      </c>
      <c r="E61" s="40" t="s">
        <v>80</v>
      </c>
      <c r="F61" s="40" t="s">
        <v>80</v>
      </c>
      <c r="G61" s="40" t="s">
        <v>80</v>
      </c>
      <c r="H61" s="41" t="s">
        <v>80</v>
      </c>
      <c r="I61" s="37" t="s">
        <v>81</v>
      </c>
      <c r="J61" s="1"/>
      <c r="K61" s="1"/>
      <c r="L61" s="1"/>
    </row>
    <row r="62" ht="15" customHeight="1">
      <c r="A62" s="1"/>
      <c r="B62" s="38" t="s">
        <v>83</v>
      </c>
      <c r="C62" s="40" t="str">
        <f t="shared" si="4"/>
        <v>n.a.</v>
      </c>
      <c r="D62" s="40" t="str">
        <f t="shared" si="4"/>
        <v>n.a.</v>
      </c>
      <c r="E62" s="40" t="str">
        <f t="shared" si="4"/>
        <v>n.a.</v>
      </c>
      <c r="F62" s="40" t="str">
        <f t="shared" si="4"/>
        <v>n.a.</v>
      </c>
      <c r="G62" s="40" t="str">
        <f t="shared" si="4"/>
        <v>n.a.</v>
      </c>
      <c r="H62" s="41" t="str">
        <f t="shared" si="4"/>
        <v>n.a.</v>
      </c>
      <c r="I62" s="37" t="s">
        <v>84</v>
      </c>
      <c r="J62" s="1"/>
      <c r="K62" s="1"/>
      <c r="L62" s="1"/>
    </row>
    <row r="63" ht="15" customHeight="1">
      <c r="A63" s="1"/>
      <c r="B63" s="1"/>
      <c r="C63" s="25"/>
      <c r="D63" s="25"/>
      <c r="E63" s="25"/>
      <c r="F63" s="25"/>
      <c r="G63" s="25"/>
      <c r="H63" s="36"/>
      <c r="I63" s="37"/>
      <c r="J63" s="1"/>
      <c r="K63" s="1"/>
      <c r="L63" s="1"/>
    </row>
    <row r="64" ht="15" customHeight="1">
      <c r="A64" s="1"/>
      <c r="B64" s="38" t="s">
        <v>360</v>
      </c>
      <c r="C64" s="39">
        <v>0.05</v>
      </c>
      <c r="D64" s="39">
        <v>0.08</v>
      </c>
      <c r="E64" s="39">
        <v>0.04</v>
      </c>
      <c r="F64" s="39">
        <v>0.05</v>
      </c>
      <c r="G64" s="40">
        <f>G66/G86</f>
        <v>0.05438730297696909</v>
      </c>
      <c r="H64" s="45">
        <v>0.05</v>
      </c>
      <c r="I64" s="37" t="s">
        <v>355</v>
      </c>
      <c r="J64" s="1"/>
      <c r="K64" s="1"/>
      <c r="L64" s="1"/>
    </row>
    <row r="65" ht="15" customHeight="1">
      <c r="A65" s="1"/>
      <c r="B65" s="42" t="s">
        <v>69</v>
      </c>
      <c r="C65" s="43" t="s">
        <v>40</v>
      </c>
      <c r="D65" s="43">
        <f t="shared" si="0"/>
        <v>300</v>
      </c>
      <c r="E65" s="43">
        <f t="shared" si="0"/>
        <v>-400</v>
      </c>
      <c r="F65" s="43">
        <f t="shared" si="0"/>
        <v>100.00000000000001</v>
      </c>
      <c r="G65" s="43" t="s">
        <v>40</v>
      </c>
      <c r="H65" s="44">
        <f t="shared" si="5"/>
        <v>0</v>
      </c>
      <c r="I65" s="37"/>
      <c r="J65" s="1"/>
      <c r="K65" s="1"/>
      <c r="L65" s="1"/>
    </row>
    <row r="66" ht="15" customHeight="1">
      <c r="A66" s="1"/>
      <c r="B66" s="46" t="s">
        <v>361</v>
      </c>
      <c r="C66" s="13">
        <f>C64*'Revenue summary'!C106</f>
        <v>266.20865</v>
      </c>
      <c r="D66" s="13">
        <f>D64*'Revenue summary'!D106</f>
        <v>427.58328</v>
      </c>
      <c r="E66" s="13">
        <f>E64*'Revenue summary'!E106</f>
        <v>233.65952</v>
      </c>
      <c r="F66" s="13">
        <f>F64*'Revenue summary'!F106</f>
        <v>336.1119</v>
      </c>
      <c r="G66" s="14">
        <f t="shared" si="6"/>
        <v>1263.56335</v>
      </c>
      <c r="H66" s="62">
        <f>H64*'Revenue summary'!H106</f>
        <v>412.46652888</v>
      </c>
      <c r="I66" s="37" t="s">
        <v>347</v>
      </c>
      <c r="J66" s="1"/>
      <c r="K66" s="1"/>
      <c r="L66" s="1"/>
    </row>
    <row r="67" ht="15" customHeight="1">
      <c r="A67" s="1"/>
      <c r="B67" s="38" t="s">
        <v>74</v>
      </c>
      <c r="C67" s="40" t="s">
        <v>40</v>
      </c>
      <c r="D67" s="40" t="s">
        <v>40</v>
      </c>
      <c r="E67" s="40" t="s">
        <v>40</v>
      </c>
      <c r="F67" s="40" t="s">
        <v>40</v>
      </c>
      <c r="G67" s="40" t="s">
        <v>40</v>
      </c>
      <c r="H67" s="41">
        <f t="shared" si="7"/>
        <v>0.5494106930034017</v>
      </c>
      <c r="I67" s="37"/>
      <c r="J67" s="1"/>
      <c r="K67" s="1"/>
      <c r="L67" s="1"/>
    </row>
    <row r="68" ht="15" customHeight="1">
      <c r="A68" s="1"/>
      <c r="B68" s="46" t="s">
        <v>75</v>
      </c>
      <c r="C68" s="14" t="s">
        <v>40</v>
      </c>
      <c r="D68" s="14">
        <f t="shared" si="1"/>
        <v>161.37463000000002</v>
      </c>
      <c r="E68" s="14">
        <f t="shared" si="1"/>
        <v>-193.92376000000002</v>
      </c>
      <c r="F68" s="14">
        <f t="shared" si="1"/>
        <v>102.45238</v>
      </c>
      <c r="G68" s="14" t="s">
        <v>40</v>
      </c>
      <c r="H68" s="47">
        <f t="shared" si="8"/>
        <v>76.35462888</v>
      </c>
      <c r="I68" s="37"/>
      <c r="J68" s="1"/>
      <c r="K68" s="1"/>
      <c r="L68" s="1"/>
    </row>
    <row r="69" ht="15" customHeight="1">
      <c r="A69" s="1"/>
      <c r="B69" s="38" t="s">
        <v>76</v>
      </c>
      <c r="C69" s="40" t="s">
        <v>40</v>
      </c>
      <c r="D69" s="40">
        <f t="shared" si="2"/>
        <v>0.6061960420895416</v>
      </c>
      <c r="E69" s="40">
        <f t="shared" si="2"/>
        <v>-0.4535344787102059</v>
      </c>
      <c r="F69" s="40">
        <f t="shared" si="2"/>
        <v>0.4384686744199424</v>
      </c>
      <c r="G69" s="40" t="s">
        <v>40</v>
      </c>
      <c r="H69" s="41">
        <f t="shared" si="9"/>
        <v>0.22717026347475344</v>
      </c>
      <c r="I69" s="37"/>
      <c r="J69" s="1"/>
      <c r="K69" s="1"/>
      <c r="L69" s="1"/>
    </row>
    <row r="70" ht="15" customHeight="1">
      <c r="A70" s="1"/>
      <c r="B70" s="38" t="s">
        <v>78</v>
      </c>
      <c r="C70" s="40" t="str">
        <f t="shared" si="3"/>
        <v>n.a.</v>
      </c>
      <c r="D70" s="40" t="str">
        <f t="shared" si="3"/>
        <v>n.a.</v>
      </c>
      <c r="E70" s="40" t="str">
        <f t="shared" si="3"/>
        <v>n.a.</v>
      </c>
      <c r="F70" s="40" t="str">
        <f t="shared" si="3"/>
        <v>n.a.</v>
      </c>
      <c r="G70" s="40" t="str">
        <f t="shared" si="3"/>
        <v>n.a.</v>
      </c>
      <c r="H70" s="41">
        <f t="shared" si="3"/>
        <v>0.5494106930034017</v>
      </c>
      <c r="I70" s="37"/>
      <c r="J70" s="1"/>
      <c r="K70" s="1"/>
      <c r="L70" s="1"/>
    </row>
    <row r="71" ht="15" customHeight="1">
      <c r="A71" s="1"/>
      <c r="B71" s="38" t="s">
        <v>79</v>
      </c>
      <c r="C71" s="40" t="s">
        <v>80</v>
      </c>
      <c r="D71" s="40" t="s">
        <v>80</v>
      </c>
      <c r="E71" s="40" t="s">
        <v>80</v>
      </c>
      <c r="F71" s="40" t="s">
        <v>80</v>
      </c>
      <c r="G71" s="40" t="s">
        <v>80</v>
      </c>
      <c r="H71" s="41" t="s">
        <v>80</v>
      </c>
      <c r="I71" s="37" t="s">
        <v>81</v>
      </c>
      <c r="J71" s="1"/>
      <c r="K71" s="1"/>
      <c r="L71" s="1"/>
    </row>
    <row r="72" ht="15" customHeight="1">
      <c r="A72" s="1"/>
      <c r="B72" s="38" t="s">
        <v>82</v>
      </c>
      <c r="C72" s="40" t="s">
        <v>80</v>
      </c>
      <c r="D72" s="40" t="s">
        <v>80</v>
      </c>
      <c r="E72" s="40" t="s">
        <v>80</v>
      </c>
      <c r="F72" s="40" t="s">
        <v>80</v>
      </c>
      <c r="G72" s="40" t="s">
        <v>80</v>
      </c>
      <c r="H72" s="41" t="s">
        <v>80</v>
      </c>
      <c r="I72" s="37" t="s">
        <v>81</v>
      </c>
      <c r="J72" s="1"/>
      <c r="K72" s="1"/>
      <c r="L72" s="1"/>
    </row>
    <row r="73" ht="15" customHeight="1">
      <c r="A73" s="1"/>
      <c r="B73" s="38" t="s">
        <v>83</v>
      </c>
      <c r="C73" s="40" t="str">
        <f t="shared" si="4"/>
        <v>n.a.</v>
      </c>
      <c r="D73" s="40" t="str">
        <f t="shared" si="4"/>
        <v>n.a.</v>
      </c>
      <c r="E73" s="40" t="str">
        <f t="shared" si="4"/>
        <v>n.a.</v>
      </c>
      <c r="F73" s="40" t="str">
        <f t="shared" si="4"/>
        <v>n.a.</v>
      </c>
      <c r="G73" s="40" t="str">
        <f t="shared" si="4"/>
        <v>n.a.</v>
      </c>
      <c r="H73" s="41" t="str">
        <f t="shared" si="4"/>
        <v>n.a.</v>
      </c>
      <c r="I73" s="37" t="s">
        <v>84</v>
      </c>
      <c r="J73" s="1"/>
      <c r="K73" s="1"/>
      <c r="L73" s="1"/>
    </row>
    <row r="74" ht="15" customHeight="1">
      <c r="A74" s="1"/>
      <c r="B74" s="1"/>
      <c r="C74" s="25"/>
      <c r="D74" s="25"/>
      <c r="E74" s="25"/>
      <c r="F74" s="25"/>
      <c r="G74" s="25"/>
      <c r="H74" s="36"/>
      <c r="I74" s="37"/>
      <c r="J74" s="1"/>
      <c r="K74" s="1"/>
      <c r="L74" s="1"/>
    </row>
    <row r="75" ht="15" customHeight="1">
      <c r="A75" s="1"/>
      <c r="B75" s="38" t="s">
        <v>362</v>
      </c>
      <c r="C75" s="39">
        <v>0.02</v>
      </c>
      <c r="D75" s="40">
        <f>1-D9-D20-D31-D42-D53-D64</f>
        <v>0.01999999999999999</v>
      </c>
      <c r="E75" s="39">
        <v>0.02</v>
      </c>
      <c r="F75" s="39">
        <v>0.04</v>
      </c>
      <c r="G75" s="40">
        <f>G77/G86</f>
        <v>0.025786878747144647</v>
      </c>
      <c r="H75" s="45">
        <v>0.03</v>
      </c>
      <c r="I75" s="37" t="s">
        <v>363</v>
      </c>
      <c r="J75" s="1"/>
      <c r="K75" s="1"/>
      <c r="L75" s="1"/>
    </row>
    <row r="76" ht="15" customHeight="1">
      <c r="A76" s="1"/>
      <c r="B76" s="42" t="s">
        <v>69</v>
      </c>
      <c r="C76" s="43" t="s">
        <v>40</v>
      </c>
      <c r="D76" s="43">
        <f t="shared" si="0"/>
        <v>0</v>
      </c>
      <c r="E76" s="43">
        <f t="shared" si="0"/>
        <v>0</v>
      </c>
      <c r="F76" s="43">
        <f t="shared" si="0"/>
        <v>200</v>
      </c>
      <c r="G76" s="43" t="s">
        <v>40</v>
      </c>
      <c r="H76" s="44">
        <f t="shared" si="5"/>
        <v>-100.00000000000001</v>
      </c>
      <c r="I76" s="37"/>
      <c r="J76" s="1"/>
      <c r="K76" s="1"/>
      <c r="L76" s="1"/>
    </row>
    <row r="77" ht="15" customHeight="1">
      <c r="A77" s="1"/>
      <c r="B77" s="46" t="s">
        <v>364</v>
      </c>
      <c r="C77" s="13">
        <f>C75*'Revenue summary'!C106</f>
        <v>106.48346</v>
      </c>
      <c r="D77" s="13">
        <f>D75*'Revenue summary'!D106</f>
        <v>106.89581999999994</v>
      </c>
      <c r="E77" s="13">
        <f>E75*'Revenue summary'!E106</f>
        <v>116.82976</v>
      </c>
      <c r="F77" s="13">
        <f>F75*'Revenue summary'!F106</f>
        <v>268.88952</v>
      </c>
      <c r="G77" s="14">
        <f t="shared" si="6"/>
        <v>599.0985599999999</v>
      </c>
      <c r="H77" s="62">
        <f>H75*'Revenue summary'!H106</f>
        <v>247.47991732799997</v>
      </c>
      <c r="I77" s="37" t="s">
        <v>347</v>
      </c>
      <c r="J77" s="1"/>
      <c r="K77" s="1"/>
      <c r="L77" s="1"/>
    </row>
    <row r="78" ht="15" customHeight="1">
      <c r="A78" s="1"/>
      <c r="B78" s="38" t="s">
        <v>74</v>
      </c>
      <c r="C78" s="40" t="s">
        <v>40</v>
      </c>
      <c r="D78" s="40" t="s">
        <v>40</v>
      </c>
      <c r="E78" s="40" t="s">
        <v>40</v>
      </c>
      <c r="F78" s="40" t="s">
        <v>40</v>
      </c>
      <c r="G78" s="40" t="s">
        <v>40</v>
      </c>
      <c r="H78" s="41">
        <f t="shared" si="7"/>
        <v>1.3241160395051024</v>
      </c>
      <c r="I78" s="37"/>
      <c r="J78" s="1"/>
      <c r="K78" s="1"/>
      <c r="L78" s="1"/>
    </row>
    <row r="79" ht="15" customHeight="1">
      <c r="A79" s="1"/>
      <c r="B79" s="46" t="s">
        <v>75</v>
      </c>
      <c r="C79" s="14" t="s">
        <v>40</v>
      </c>
      <c r="D79" s="14">
        <f t="shared" si="1"/>
        <v>0.4123599999999499</v>
      </c>
      <c r="E79" s="14">
        <f t="shared" si="1"/>
        <v>9.93394000000005</v>
      </c>
      <c r="F79" s="14">
        <f t="shared" si="1"/>
        <v>152.05976</v>
      </c>
      <c r="G79" s="14" t="s">
        <v>40</v>
      </c>
      <c r="H79" s="47">
        <f t="shared" si="8"/>
        <v>-21.409602672000034</v>
      </c>
      <c r="I79" s="37"/>
      <c r="J79" s="1"/>
      <c r="K79" s="1"/>
      <c r="L79" s="1"/>
    </row>
    <row r="80" ht="15" customHeight="1">
      <c r="A80" s="1"/>
      <c r="B80" s="38" t="s">
        <v>76</v>
      </c>
      <c r="C80" s="40" t="s">
        <v>40</v>
      </c>
      <c r="D80" s="40">
        <f t="shared" si="2"/>
        <v>0.003872526305962909</v>
      </c>
      <c r="E80" s="40">
        <f t="shared" si="2"/>
        <v>0.09293104257958884</v>
      </c>
      <c r="F80" s="40">
        <f t="shared" si="2"/>
        <v>1.3015498790719078</v>
      </c>
      <c r="G80" s="40" t="s">
        <v>40</v>
      </c>
      <c r="H80" s="41">
        <f t="shared" si="9"/>
        <v>-0.07962230239393497</v>
      </c>
      <c r="I80" s="37"/>
      <c r="J80" s="1"/>
      <c r="K80" s="1"/>
      <c r="L80" s="1"/>
    </row>
    <row r="81" ht="15" customHeight="1">
      <c r="A81" s="1"/>
      <c r="B81" s="38" t="s">
        <v>78</v>
      </c>
      <c r="C81" s="40" t="str">
        <f t="shared" si="3"/>
        <v>n.a.</v>
      </c>
      <c r="D81" s="40" t="str">
        <f t="shared" si="3"/>
        <v>n.a.</v>
      </c>
      <c r="E81" s="40" t="str">
        <f t="shared" si="3"/>
        <v>n.a.</v>
      </c>
      <c r="F81" s="40" t="str">
        <f t="shared" si="3"/>
        <v>n.a.</v>
      </c>
      <c r="G81" s="40" t="str">
        <f t="shared" si="3"/>
        <v>n.a.</v>
      </c>
      <c r="H81" s="41">
        <f t="shared" si="3"/>
        <v>1.3241160395051024</v>
      </c>
      <c r="I81" s="37"/>
      <c r="J81" s="1"/>
      <c r="K81" s="1"/>
      <c r="L81" s="1"/>
    </row>
    <row r="82" ht="15" customHeight="1">
      <c r="A82" s="1"/>
      <c r="B82" s="38" t="s">
        <v>79</v>
      </c>
      <c r="C82" s="40" t="s">
        <v>80</v>
      </c>
      <c r="D82" s="40" t="s">
        <v>80</v>
      </c>
      <c r="E82" s="40" t="s">
        <v>80</v>
      </c>
      <c r="F82" s="40" t="s">
        <v>80</v>
      </c>
      <c r="G82" s="40" t="s">
        <v>80</v>
      </c>
      <c r="H82" s="41" t="s">
        <v>80</v>
      </c>
      <c r="I82" s="37" t="s">
        <v>81</v>
      </c>
      <c r="J82" s="1"/>
      <c r="K82" s="1"/>
      <c r="L82" s="1"/>
    </row>
    <row r="83" ht="15" customHeight="1">
      <c r="A83" s="1"/>
      <c r="B83" s="38" t="s">
        <v>82</v>
      </c>
      <c r="C83" s="40" t="s">
        <v>80</v>
      </c>
      <c r="D83" s="40" t="s">
        <v>80</v>
      </c>
      <c r="E83" s="40" t="s">
        <v>80</v>
      </c>
      <c r="F83" s="40" t="s">
        <v>80</v>
      </c>
      <c r="G83" s="40" t="s">
        <v>80</v>
      </c>
      <c r="H83" s="41" t="s">
        <v>80</v>
      </c>
      <c r="I83" s="37" t="s">
        <v>81</v>
      </c>
      <c r="J83" s="1"/>
      <c r="K83" s="1"/>
      <c r="L83" s="1"/>
    </row>
    <row r="84" ht="15" customHeight="1">
      <c r="A84" s="1"/>
      <c r="B84" s="38" t="s">
        <v>83</v>
      </c>
      <c r="C84" s="40" t="str">
        <f t="shared" si="4"/>
        <v>n.a.</v>
      </c>
      <c r="D84" s="40" t="str">
        <f t="shared" si="4"/>
        <v>n.a.</v>
      </c>
      <c r="E84" s="40" t="str">
        <f t="shared" si="4"/>
        <v>n.a.</v>
      </c>
      <c r="F84" s="40" t="str">
        <f t="shared" si="4"/>
        <v>n.a.</v>
      </c>
      <c r="G84" s="40" t="str">
        <f t="shared" si="4"/>
        <v>n.a.</v>
      </c>
      <c r="H84" s="41" t="str">
        <f t="shared" si="4"/>
        <v>n.a.</v>
      </c>
      <c r="I84" s="37" t="s">
        <v>84</v>
      </c>
      <c r="J84" s="1"/>
      <c r="K84" s="1"/>
      <c r="L84" s="1"/>
    </row>
    <row r="85" ht="15" customHeight="1">
      <c r="A85" s="1"/>
      <c r="B85" s="1"/>
      <c r="C85" s="25"/>
      <c r="D85" s="25"/>
      <c r="E85" s="25"/>
      <c r="F85" s="25"/>
      <c r="G85" s="25"/>
      <c r="H85" s="36"/>
      <c r="I85" s="37"/>
      <c r="J85" s="1"/>
      <c r="K85" s="1"/>
      <c r="L85" s="1"/>
    </row>
    <row r="86" ht="15" customHeight="1">
      <c r="A86" s="1"/>
      <c r="B86" s="48" t="s">
        <v>365</v>
      </c>
      <c r="C86" s="49">
        <f t="shared" si="10" ref="C86:H86">C11+C22+C33+C44+C55+C66+C77</f>
        <v>5324.173</v>
      </c>
      <c r="D86" s="49">
        <f t="shared" si="10"/>
        <v>5344.791</v>
      </c>
      <c r="E86" s="49">
        <f t="shared" si="10"/>
        <v>5841.487999999999</v>
      </c>
      <c r="F86" s="49">
        <f t="shared" si="10"/>
        <v>6722.2379999999985</v>
      </c>
      <c r="G86" s="49">
        <f t="shared" si="10"/>
        <v>23232.69</v>
      </c>
      <c r="H86" s="50">
        <f t="shared" si="10"/>
        <v>8249.3305776</v>
      </c>
      <c r="I86" s="37"/>
      <c r="J86" s="1"/>
      <c r="K86" s="1"/>
      <c r="L86" s="1"/>
    </row>
    <row r="87" ht="15" customHeight="1">
      <c r="A87" s="1"/>
      <c r="B87" s="46" t="s">
        <v>366</v>
      </c>
      <c r="C87" s="13">
        <f>'Revenue summary'!C106</f>
        <v>5324.173</v>
      </c>
      <c r="D87" s="13">
        <f>'Revenue summary'!D106</f>
        <v>5344.791</v>
      </c>
      <c r="E87" s="13">
        <f>'Revenue summary'!E106</f>
        <v>5841.487999999999</v>
      </c>
      <c r="F87" s="13">
        <f>'Revenue summary'!F106</f>
        <v>6722.237999999999</v>
      </c>
      <c r="G87" s="13">
        <f>'Revenue summary'!G106</f>
        <v>23232.69</v>
      </c>
      <c r="H87" s="62">
        <f>'Revenue summary'!H106</f>
        <v>8249.3305776</v>
      </c>
      <c r="I87" s="37"/>
      <c r="J87" s="1"/>
      <c r="K87" s="1"/>
      <c r="L87" s="1"/>
    </row>
    <row r="88" ht="15" customHeight="1">
      <c r="A88" s="1"/>
      <c r="B88" s="1" t="s">
        <v>367</v>
      </c>
      <c r="C88" s="14" t="b">
        <f t="shared" si="11" ref="C88:H88">ABS(C86-C87)&lt;0.001</f>
        <v>1</v>
      </c>
      <c r="D88" s="14" t="b">
        <f t="shared" si="11"/>
        <v>1</v>
      </c>
      <c r="E88" s="14" t="b">
        <f t="shared" si="11"/>
        <v>1</v>
      </c>
      <c r="F88" s="14" t="b">
        <f t="shared" si="11"/>
        <v>1</v>
      </c>
      <c r="G88" s="14" t="b">
        <f t="shared" si="11"/>
        <v>1</v>
      </c>
      <c r="H88" s="47" t="b">
        <f t="shared" si="11"/>
        <v>1</v>
      </c>
      <c r="I88" s="37"/>
      <c r="J88" s="1"/>
      <c r="K88" s="1"/>
      <c r="L88" s="1"/>
    </row>
    <row r="89" ht="15" customHeight="1">
      <c r="A89" s="1"/>
      <c r="B89" s="1" t="s">
        <v>368</v>
      </c>
      <c r="C89" s="15" t="b">
        <f t="shared" si="12" ref="C89:H89">ABS(C9+C20+C31+C42+C53+C64+C75-1)&lt;0.0001</f>
        <v>1</v>
      </c>
      <c r="D89" s="15" t="b">
        <f t="shared" si="12"/>
        <v>1</v>
      </c>
      <c r="E89" s="15" t="b">
        <f t="shared" si="12"/>
        <v>1</v>
      </c>
      <c r="F89" s="15" t="b">
        <f t="shared" si="12"/>
        <v>1</v>
      </c>
      <c r="G89" s="15" t="b">
        <f t="shared" si="12"/>
        <v>1</v>
      </c>
      <c r="H89" s="75" t="b">
        <f t="shared" si="12"/>
        <v>1</v>
      </c>
      <c r="I89" s="37"/>
      <c r="J89" s="1"/>
      <c r="K89" s="1"/>
      <c r="L89" s="1"/>
    </row>
    <row r="90" ht="15" customHeight="1">
      <c r="A90" s="1"/>
      <c r="B90" s="1"/>
      <c r="C90" s="25"/>
      <c r="D90" s="25"/>
      <c r="E90" s="25"/>
      <c r="F90" s="25"/>
      <c r="G90" s="25"/>
      <c r="H90" s="36"/>
      <c r="I90" s="37"/>
      <c r="J90" s="1"/>
      <c r="K90" s="1"/>
      <c r="L90" s="1"/>
    </row>
    <row r="91" ht="15" customHeight="1">
      <c r="A91" s="1"/>
      <c r="B91" s="3" t="s">
        <v>369</v>
      </c>
      <c r="C91" s="25"/>
      <c r="D91" s="25"/>
      <c r="E91" s="25"/>
      <c r="F91" s="25"/>
      <c r="G91" s="25"/>
      <c r="H91" s="36"/>
      <c r="I91" s="37" t="s">
        <v>370</v>
      </c>
      <c r="J91" s="1"/>
      <c r="K91" s="1"/>
      <c r="L91" s="1"/>
    </row>
    <row r="92" ht="15" customHeight="1">
      <c r="A92" s="1"/>
      <c r="B92" s="38" t="s">
        <v>371</v>
      </c>
      <c r="C92" s="40" t="s">
        <v>40</v>
      </c>
      <c r="D92" s="40" t="s">
        <v>40</v>
      </c>
      <c r="E92" s="40" t="s">
        <v>40</v>
      </c>
      <c r="F92" s="40" t="s">
        <v>40</v>
      </c>
      <c r="G92" s="39">
        <v>0.34</v>
      </c>
      <c r="H92" s="41" t="s">
        <v>40</v>
      </c>
      <c r="I92" s="37" t="s">
        <v>372</v>
      </c>
      <c r="J92" s="1"/>
      <c r="K92" s="1"/>
      <c r="L92" s="1"/>
    </row>
    <row r="93" ht="15" customHeight="1">
      <c r="A93" s="1"/>
      <c r="B93" s="38" t="s">
        <v>373</v>
      </c>
      <c r="C93" s="40" t="s">
        <v>40</v>
      </c>
      <c r="D93" s="40" t="s">
        <v>40</v>
      </c>
      <c r="E93" s="40" t="s">
        <v>40</v>
      </c>
      <c r="F93" s="40" t="s">
        <v>40</v>
      </c>
      <c r="G93" s="39">
        <v>0.22</v>
      </c>
      <c r="H93" s="41" t="s">
        <v>40</v>
      </c>
      <c r="I93" s="37" t="s">
        <v>372</v>
      </c>
      <c r="J93" s="1"/>
      <c r="K93" s="1"/>
      <c r="L93" s="1"/>
    </row>
    <row r="94" ht="15" customHeight="1">
      <c r="A94" s="1"/>
      <c r="B94" s="38" t="s">
        <v>374</v>
      </c>
      <c r="C94" s="40" t="s">
        <v>40</v>
      </c>
      <c r="D94" s="40" t="s">
        <v>40</v>
      </c>
      <c r="E94" s="40" t="s">
        <v>40</v>
      </c>
      <c r="F94" s="40" t="s">
        <v>40</v>
      </c>
      <c r="G94" s="39">
        <v>0.19</v>
      </c>
      <c r="H94" s="41" t="s">
        <v>40</v>
      </c>
      <c r="I94" s="37" t="s">
        <v>372</v>
      </c>
      <c r="J94" s="1"/>
      <c r="K94" s="1"/>
      <c r="L94" s="1"/>
    </row>
    <row r="95" ht="15" customHeight="1">
      <c r="A95" s="1"/>
      <c r="B95" s="38" t="s">
        <v>375</v>
      </c>
      <c r="C95" s="40" t="s">
        <v>40</v>
      </c>
      <c r="D95" s="40" t="s">
        <v>40</v>
      </c>
      <c r="E95" s="40" t="s">
        <v>40</v>
      </c>
      <c r="F95" s="40" t="s">
        <v>40</v>
      </c>
      <c r="G95" s="39">
        <v>0.09</v>
      </c>
      <c r="H95" s="41" t="s">
        <v>40</v>
      </c>
      <c r="I95" s="37" t="s">
        <v>372</v>
      </c>
      <c r="J95" s="1"/>
      <c r="K95" s="1"/>
      <c r="L95" s="1"/>
    </row>
    <row r="96" ht="15" customHeight="1">
      <c r="A96" s="1"/>
      <c r="B96" s="38" t="s">
        <v>376</v>
      </c>
      <c r="C96" s="40" t="s">
        <v>40</v>
      </c>
      <c r="D96" s="40" t="s">
        <v>40</v>
      </c>
      <c r="E96" s="40" t="s">
        <v>40</v>
      </c>
      <c r="F96" s="40" t="s">
        <v>40</v>
      </c>
      <c r="G96" s="39">
        <v>0.07</v>
      </c>
      <c r="H96" s="41" t="s">
        <v>40</v>
      </c>
      <c r="I96" s="37" t="s">
        <v>372</v>
      </c>
      <c r="J96" s="1"/>
      <c r="K96" s="1"/>
      <c r="L96" s="1"/>
    </row>
    <row r="97" ht="15" customHeight="1">
      <c r="A97" s="1"/>
      <c r="B97" s="38" t="s">
        <v>377</v>
      </c>
      <c r="C97" s="40" t="s">
        <v>40</v>
      </c>
      <c r="D97" s="40" t="s">
        <v>40</v>
      </c>
      <c r="E97" s="40" t="s">
        <v>40</v>
      </c>
      <c r="F97" s="40" t="s">
        <v>40</v>
      </c>
      <c r="G97" s="39">
        <v>0.06</v>
      </c>
      <c r="H97" s="41" t="s">
        <v>40</v>
      </c>
      <c r="I97" s="37" t="s">
        <v>372</v>
      </c>
      <c r="J97" s="1"/>
      <c r="K97" s="1"/>
      <c r="L97" s="1"/>
    </row>
    <row r="98" ht="15" customHeight="1">
      <c r="A98" s="1"/>
      <c r="B98" s="38" t="s">
        <v>378</v>
      </c>
      <c r="C98" s="40" t="s">
        <v>40</v>
      </c>
      <c r="D98" s="40" t="s">
        <v>40</v>
      </c>
      <c r="E98" s="40" t="s">
        <v>40</v>
      </c>
      <c r="F98" s="40" t="s">
        <v>40</v>
      </c>
      <c r="G98" s="39">
        <v>0.03</v>
      </c>
      <c r="H98" s="41" t="s">
        <v>40</v>
      </c>
      <c r="I98" s="37" t="s">
        <v>372</v>
      </c>
      <c r="J98" s="1"/>
      <c r="K98" s="1"/>
      <c r="L98" s="1"/>
    </row>
    <row r="99" ht="1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ht="1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C149C08-F568-9E2E-3C48-8D6951AA58E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379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29" t="s">
        <v>59</v>
      </c>
      <c r="C5" s="30" t="s">
        <v>60</v>
      </c>
      <c r="D5" s="30" t="s">
        <v>61</v>
      </c>
      <c r="E5" s="30" t="s">
        <v>62</v>
      </c>
      <c r="F5" s="30" t="s">
        <v>63</v>
      </c>
      <c r="G5" s="30" t="s">
        <v>64</v>
      </c>
      <c r="H5" s="31" t="s">
        <v>4</v>
      </c>
      <c r="I5" s="29" t="s">
        <v>65</v>
      </c>
      <c r="J5" s="1"/>
      <c r="K5" s="1"/>
      <c r="L5" s="1"/>
    </row>
    <row r="6" ht="15" customHeight="1">
      <c r="A6" s="1"/>
      <c r="B6" s="7" t="s">
        <v>5</v>
      </c>
      <c r="C6" s="8">
        <v>45928</v>
      </c>
      <c r="D6" s="8">
        <v>46019</v>
      </c>
      <c r="E6" s="8">
        <v>46110</v>
      </c>
      <c r="F6" s="8">
        <v>46201</v>
      </c>
      <c r="G6" s="8">
        <v>46201</v>
      </c>
      <c r="H6" s="32">
        <v>46292</v>
      </c>
      <c r="I6" s="7"/>
      <c r="J6" s="1"/>
      <c r="K6" s="1"/>
      <c r="L6" s="1"/>
    </row>
    <row r="7" ht="15" customHeight="1">
      <c r="A7" s="1"/>
      <c r="B7" s="33" t="s">
        <v>6</v>
      </c>
      <c r="C7" s="34">
        <v>91</v>
      </c>
      <c r="D7" s="34">
        <v>91</v>
      </c>
      <c r="E7" s="34">
        <v>91</v>
      </c>
      <c r="F7" s="34">
        <v>91</v>
      </c>
      <c r="G7" s="34">
        <v>364</v>
      </c>
      <c r="H7" s="35">
        <v>91</v>
      </c>
      <c r="I7" s="33"/>
      <c r="J7" s="1"/>
      <c r="K7" s="1"/>
      <c r="L7" s="1"/>
    </row>
    <row r="8" ht="15" customHeight="1">
      <c r="A8" s="1"/>
      <c r="B8" s="1"/>
      <c r="C8" s="25"/>
      <c r="D8" s="25"/>
      <c r="E8" s="25"/>
      <c r="F8" s="25"/>
      <c r="G8" s="25"/>
      <c r="H8" s="36"/>
      <c r="I8" s="37"/>
      <c r="J8" s="1"/>
      <c r="K8" s="1"/>
      <c r="L8" s="1"/>
    </row>
    <row r="9" ht="15" customHeight="1">
      <c r="A9" s="1"/>
      <c r="B9" s="3" t="s">
        <v>380</v>
      </c>
      <c r="C9" s="25"/>
      <c r="D9" s="25"/>
      <c r="E9" s="25"/>
      <c r="F9" s="25"/>
      <c r="G9" s="25"/>
      <c r="H9" s="36"/>
      <c r="I9" s="37"/>
      <c r="J9" s="1"/>
      <c r="K9" s="1"/>
      <c r="L9" s="1"/>
    </row>
    <row r="10" ht="15" customHeight="1">
      <c r="A10" s="1"/>
      <c r="B10" s="46" t="s">
        <v>381</v>
      </c>
      <c r="C10" s="52">
        <v>1264.446</v>
      </c>
      <c r="D10" s="52">
        <v>1254.856</v>
      </c>
      <c r="E10" s="52">
        <v>1249.728</v>
      </c>
      <c r="F10" s="52">
        <v>1251.286</v>
      </c>
      <c r="G10" s="52">
        <v>1255.079</v>
      </c>
      <c r="H10" s="47">
        <f>H16-H14</f>
        <v>1250.2540000000001</v>
      </c>
      <c r="I10" s="37" t="s">
        <v>382</v>
      </c>
      <c r="J10" s="1"/>
      <c r="K10" s="1"/>
      <c r="L10" s="1"/>
    </row>
    <row r="11" ht="15" customHeight="1">
      <c r="A11" s="1"/>
      <c r="B11" s="46" t="s">
        <v>383</v>
      </c>
      <c r="C11" s="52">
        <v>1299.236</v>
      </c>
      <c r="D11" s="52">
        <v>1287.109</v>
      </c>
      <c r="E11" s="52">
        <v>1283.779</v>
      </c>
      <c r="F11" s="52">
        <v>1274.279</v>
      </c>
      <c r="G11" s="52">
        <v>1286.101</v>
      </c>
      <c r="H11" s="47">
        <f t="shared" si="4" ref="H11:H17">C10</f>
        <v>1264.446</v>
      </c>
      <c r="I11" s="37" t="s">
        <v>384</v>
      </c>
      <c r="J11" s="1"/>
      <c r="K11" s="1"/>
      <c r="L11" s="1"/>
    </row>
    <row r="12" ht="15" customHeight="1">
      <c r="A12" s="1"/>
      <c r="B12" s="38" t="s">
        <v>74</v>
      </c>
      <c r="C12" s="40">
        <f t="shared" si="0" ref="C12:H18">IF(ISNUMBER(C11),C10/C11-1,"n.a.")</f>
        <v>-0.026777275260229993</v>
      </c>
      <c r="D12" s="40">
        <f t="shared" si="0"/>
        <v>-0.025058483780316942</v>
      </c>
      <c r="E12" s="40">
        <f t="shared" si="0"/>
        <v>-0.02652403567903816</v>
      </c>
      <c r="F12" s="40">
        <f t="shared" si="0"/>
        <v>-0.018043929155232008</v>
      </c>
      <c r="G12" s="40">
        <f t="shared" si="0"/>
        <v>-0.02412096717131873</v>
      </c>
      <c r="H12" s="41">
        <f t="shared" si="0"/>
        <v>-0.01122388777377581</v>
      </c>
      <c r="I12" s="37"/>
      <c r="J12" s="1"/>
      <c r="K12" s="1"/>
      <c r="L12" s="1"/>
    </row>
    <row r="13" ht="15" customHeight="1">
      <c r="A13" s="1"/>
      <c r="B13" s="46" t="s">
        <v>385</v>
      </c>
      <c r="C13" s="14" t="s">
        <v>40</v>
      </c>
      <c r="D13" s="14">
        <f t="shared" si="1" ref="D13:F19">IF(AND(ISNUMBER(D10),ISNUMBER(C10)),D10-C10,"n.a.")</f>
        <v>-9.589999999999918</v>
      </c>
      <c r="E13" s="14">
        <f t="shared" si="1"/>
        <v>-5.127999999999929</v>
      </c>
      <c r="F13" s="14">
        <f t="shared" si="1"/>
        <v>1.5579999999999927</v>
      </c>
      <c r="G13" s="14" t="s">
        <v>40</v>
      </c>
      <c r="H13" s="47">
        <f t="shared" si="5" ref="H13:H19">IF(AND(ISNUMBER(H10),ISNUMBER(F10)),H10-F10,"n.a.")</f>
        <v>-1.0319999999999254</v>
      </c>
      <c r="I13" s="37"/>
      <c r="J13" s="1"/>
      <c r="K13" s="1"/>
      <c r="L13" s="1"/>
    </row>
    <row r="14" ht="15" customHeight="1">
      <c r="A14" s="1"/>
      <c r="B14" s="46" t="s">
        <v>386</v>
      </c>
      <c r="C14" s="14">
        <f t="shared" si="2" ref="C14:G14">C16-C10</f>
        <v>4.867000000000189</v>
      </c>
      <c r="D14" s="14">
        <f t="shared" si="2"/>
        <v>6.883000000000038</v>
      </c>
      <c r="E14" s="14">
        <f t="shared" si="2"/>
        <v>7.59699999999998</v>
      </c>
      <c r="F14" s="14">
        <f t="shared" si="2"/>
        <v>4.745999999999867</v>
      </c>
      <c r="G14" s="14">
        <f t="shared" si="2"/>
        <v>6.023000000000138</v>
      </c>
      <c r="H14" s="47">
        <f>F14</f>
        <v>4.745999999999867</v>
      </c>
      <c r="I14" s="37" t="s">
        <v>387</v>
      </c>
      <c r="J14" s="1"/>
      <c r="K14" s="1"/>
      <c r="L14" s="1"/>
    </row>
    <row r="15" ht="15" customHeight="1">
      <c r="A15" s="1"/>
      <c r="B15" s="46" t="s">
        <v>385</v>
      </c>
      <c r="C15" s="14" t="s">
        <v>40</v>
      </c>
      <c r="D15" s="14">
        <f t="shared" si="3" ref="D15:F32">IF(AND(ISNUMBER(D14),ISNUMBER(C14)),D14-C14,"n.a.")</f>
        <v>2.015999999999849</v>
      </c>
      <c r="E15" s="14">
        <f t="shared" si="3"/>
        <v>0.7139999999999418</v>
      </c>
      <c r="F15" s="14">
        <f t="shared" si="3"/>
        <v>-2.8510000000001128</v>
      </c>
      <c r="G15" s="14" t="s">
        <v>40</v>
      </c>
      <c r="H15" s="47">
        <f t="shared" si="10" ref="H15:H32">IF(AND(ISNUMBER(H14),ISNUMBER(F14)),H14-F14,"n.a.")</f>
        <v>0</v>
      </c>
      <c r="I15" s="37"/>
      <c r="J15" s="1"/>
      <c r="K15" s="1"/>
      <c r="L15" s="1"/>
    </row>
    <row r="16" ht="15" customHeight="1">
      <c r="A16" s="1"/>
      <c r="B16" s="48" t="s">
        <v>388</v>
      </c>
      <c r="C16" s="51">
        <v>1269.313</v>
      </c>
      <c r="D16" s="51">
        <v>1261.739</v>
      </c>
      <c r="E16" s="51">
        <v>1257.325</v>
      </c>
      <c r="F16" s="51">
        <v>1256.032</v>
      </c>
      <c r="G16" s="51">
        <v>1261.102</v>
      </c>
      <c r="H16" s="59">
        <f>Guidance!H33</f>
        <v>1255</v>
      </c>
      <c r="I16" s="37" t="s">
        <v>389</v>
      </c>
      <c r="J16" s="1"/>
      <c r="K16" s="1"/>
      <c r="L16" s="1"/>
    </row>
    <row r="17" ht="15" customHeight="1">
      <c r="A17" s="1"/>
      <c r="B17" s="46" t="s">
        <v>390</v>
      </c>
      <c r="C17" s="52">
        <v>1304.066</v>
      </c>
      <c r="D17" s="52">
        <v>1291.469</v>
      </c>
      <c r="E17" s="52">
        <v>1288.1</v>
      </c>
      <c r="F17" s="52">
        <v>1276.933</v>
      </c>
      <c r="G17" s="52">
        <v>1290.142</v>
      </c>
      <c r="H17" s="47">
        <f t="shared" si="4"/>
        <v>1269.313</v>
      </c>
      <c r="I17" s="37" t="s">
        <v>384</v>
      </c>
      <c r="J17" s="1"/>
      <c r="K17" s="1"/>
      <c r="L17" s="1"/>
    </row>
    <row r="18" ht="15" customHeight="1">
      <c r="A18" s="1"/>
      <c r="B18" s="38" t="s">
        <v>74</v>
      </c>
      <c r="C18" s="40">
        <f t="shared" si="0"/>
        <v>-0.02664972478386829</v>
      </c>
      <c r="D18" s="40">
        <f t="shared" si="0"/>
        <v>-0.023020297041586035</v>
      </c>
      <c r="E18" s="40">
        <f t="shared" si="0"/>
        <v>-0.023891778588618795</v>
      </c>
      <c r="F18" s="40">
        <f t="shared" si="0"/>
        <v>-0.016368125813962076</v>
      </c>
      <c r="G18" s="40">
        <f t="shared" si="0"/>
        <v>-0.022509150155564206</v>
      </c>
      <c r="H18" s="41">
        <f t="shared" si="0"/>
        <v>-0.011276178531221315</v>
      </c>
      <c r="I18" s="37"/>
      <c r="J18" s="1"/>
      <c r="K18" s="1"/>
      <c r="L18" s="1"/>
    </row>
    <row r="19" ht="15" customHeight="1">
      <c r="A19" s="1"/>
      <c r="B19" s="46" t="s">
        <v>385</v>
      </c>
      <c r="C19" s="14" t="s">
        <v>40</v>
      </c>
      <c r="D19" s="14">
        <f t="shared" si="1"/>
        <v>-7.574000000000069</v>
      </c>
      <c r="E19" s="14">
        <f t="shared" si="1"/>
        <v>-4.413999999999987</v>
      </c>
      <c r="F19" s="14">
        <f t="shared" si="1"/>
        <v>-1.29300000000012</v>
      </c>
      <c r="G19" s="14" t="s">
        <v>40</v>
      </c>
      <c r="H19" s="47">
        <f t="shared" si="5"/>
        <v>-1.0319999999999254</v>
      </c>
      <c r="I19" s="37"/>
      <c r="J19" s="1"/>
      <c r="K19" s="1"/>
      <c r="L19" s="1"/>
    </row>
    <row r="20" ht="15" customHeight="1">
      <c r="A20" s="1"/>
      <c r="B20" s="38" t="s">
        <v>76</v>
      </c>
      <c r="C20" s="40" t="s">
        <v>40</v>
      </c>
      <c r="D20" s="40">
        <f t="shared" si="6" ref="D20:F20">IF(AND(ISNUMBER(D16),ISNUMBER(C16)),D16/C16-1,"n.a.")</f>
        <v>-0.005967007349645059</v>
      </c>
      <c r="E20" s="40">
        <f t="shared" si="6"/>
        <v>-0.003498346329946167</v>
      </c>
      <c r="F20" s="40">
        <f t="shared" si="6"/>
        <v>-0.0010283737299425777</v>
      </c>
      <c r="G20" s="40" t="s">
        <v>40</v>
      </c>
      <c r="H20" s="41">
        <f>IF(AND(ISNUMBER(H16),ISNUMBER(F16)),H16/F16-1,"n.a.")</f>
        <v>-0.0008216351175766023</v>
      </c>
      <c r="I20" s="37"/>
      <c r="J20" s="1"/>
      <c r="K20" s="1"/>
      <c r="L20" s="1"/>
    </row>
    <row r="21" ht="15" customHeight="1">
      <c r="A21" s="1"/>
      <c r="B21" s="1"/>
      <c r="C21" s="25"/>
      <c r="D21" s="25"/>
      <c r="E21" s="25"/>
      <c r="F21" s="25"/>
      <c r="G21" s="25"/>
      <c r="H21" s="36"/>
      <c r="I21" s="37"/>
      <c r="J21" s="1"/>
      <c r="K21" s="1"/>
      <c r="L21" s="1"/>
    </row>
    <row r="22" ht="15" customHeight="1">
      <c r="A22" s="1"/>
      <c r="B22" s="3" t="s">
        <v>391</v>
      </c>
      <c r="C22" s="25"/>
      <c r="D22" s="25"/>
      <c r="E22" s="25"/>
      <c r="F22" s="25"/>
      <c r="G22" s="25"/>
      <c r="H22" s="36"/>
      <c r="I22" s="37"/>
      <c r="J22" s="1"/>
      <c r="K22" s="1"/>
      <c r="L22" s="1"/>
    </row>
    <row r="23" ht="15" customHeight="1">
      <c r="A23" s="1"/>
      <c r="B23" s="46" t="s">
        <v>392</v>
      </c>
      <c r="C23" s="52">
        <v>1268.74</v>
      </c>
      <c r="D23" s="14">
        <f t="shared" si="7" ref="D23:F23">C27</f>
        <v>1259.176</v>
      </c>
      <c r="E23" s="14">
        <f t="shared" si="7"/>
        <v>1251.18</v>
      </c>
      <c r="F23" s="14">
        <f t="shared" si="7"/>
        <v>1250.539</v>
      </c>
      <c r="G23" s="14">
        <f>C23</f>
        <v>1268.74</v>
      </c>
      <c r="H23" s="47">
        <f>F27</f>
        <v>1251.278</v>
      </c>
      <c r="I23" s="37" t="s">
        <v>393</v>
      </c>
      <c r="J23" s="1"/>
      <c r="K23" s="1"/>
      <c r="L23" s="1"/>
    </row>
    <row r="24" ht="15" customHeight="1">
      <c r="A24" s="1"/>
      <c r="B24" s="46" t="s">
        <v>394</v>
      </c>
      <c r="C24" s="14" t="s">
        <v>80</v>
      </c>
      <c r="D24" s="14" t="s">
        <v>80</v>
      </c>
      <c r="E24" s="14" t="s">
        <v>80</v>
      </c>
      <c r="F24" s="14" t="s">
        <v>80</v>
      </c>
      <c r="G24" s="14" t="s">
        <v>80</v>
      </c>
      <c r="H24" s="47">
        <f>H31/H33</f>
        <v>1.935483870967742</v>
      </c>
      <c r="I24" s="37" t="s">
        <v>395</v>
      </c>
      <c r="J24" s="1"/>
      <c r="K24" s="1"/>
      <c r="L24" s="1"/>
    </row>
    <row r="25" ht="15" customHeight="1">
      <c r="A25" s="1"/>
      <c r="B25" s="46" t="s">
        <v>396</v>
      </c>
      <c r="C25" s="14" t="s">
        <v>80</v>
      </c>
      <c r="D25" s="14" t="s">
        <v>80</v>
      </c>
      <c r="E25" s="14" t="s">
        <v>80</v>
      </c>
      <c r="F25" s="14" t="s">
        <v>80</v>
      </c>
      <c r="G25" s="14" t="s">
        <v>80</v>
      </c>
      <c r="H25" s="53">
        <v>1.5</v>
      </c>
      <c r="I25" s="37" t="s">
        <v>397</v>
      </c>
      <c r="J25" s="1"/>
      <c r="K25" s="1"/>
      <c r="L25" s="1"/>
    </row>
    <row r="26" ht="15" customHeight="1">
      <c r="A26" s="1"/>
      <c r="B26" s="46" t="s">
        <v>398</v>
      </c>
      <c r="C26" s="14">
        <f t="shared" si="8" ref="C26:G26">C27-C23</f>
        <v>-9.564000000000078</v>
      </c>
      <c r="D26" s="14">
        <f t="shared" si="8"/>
        <v>-7.995999999999867</v>
      </c>
      <c r="E26" s="14">
        <f t="shared" si="8"/>
        <v>-0.6410000000000764</v>
      </c>
      <c r="F26" s="14">
        <f t="shared" si="8"/>
        <v>0.7390000000000327</v>
      </c>
      <c r="G26" s="14">
        <f t="shared" si="8"/>
        <v>-17.46199999999999</v>
      </c>
      <c r="H26" s="47">
        <f>H25-H24</f>
        <v>-0.435483870967742</v>
      </c>
      <c r="I26" s="37"/>
      <c r="J26" s="1"/>
      <c r="K26" s="1"/>
      <c r="L26" s="1"/>
    </row>
    <row r="27" ht="15" customHeight="1">
      <c r="A27" s="1"/>
      <c r="B27" s="48" t="s">
        <v>399</v>
      </c>
      <c r="C27" s="51">
        <v>1259.176</v>
      </c>
      <c r="D27" s="51">
        <v>1251.18</v>
      </c>
      <c r="E27" s="51">
        <v>1250.539</v>
      </c>
      <c r="F27" s="51">
        <v>1251.278</v>
      </c>
      <c r="G27" s="49">
        <f>F27</f>
        <v>1251.278</v>
      </c>
      <c r="H27" s="50">
        <f>H23+H26</f>
        <v>1250.8425161290322</v>
      </c>
      <c r="I27" s="37" t="s">
        <v>400</v>
      </c>
      <c r="J27" s="1"/>
      <c r="K27" s="1"/>
      <c r="L27" s="1"/>
    </row>
    <row r="28" ht="15" customHeight="1">
      <c r="A28" s="1"/>
      <c r="B28" s="46" t="s">
        <v>401</v>
      </c>
      <c r="C28" s="14">
        <f t="shared" si="9" ref="C28:H28">(C23+C27)/2</f>
        <v>1263.958</v>
      </c>
      <c r="D28" s="14">
        <f t="shared" si="9"/>
        <v>1255.1779999999999</v>
      </c>
      <c r="E28" s="14">
        <f t="shared" si="9"/>
        <v>1250.8595</v>
      </c>
      <c r="F28" s="14">
        <f t="shared" si="9"/>
        <v>1250.9085</v>
      </c>
      <c r="G28" s="14">
        <f>AVERAGE(C28:F28)</f>
        <v>1255.226</v>
      </c>
      <c r="H28" s="47">
        <f t="shared" si="9"/>
        <v>1251.0602580645161</v>
      </c>
      <c r="I28" s="37" t="s">
        <v>131</v>
      </c>
      <c r="J28" s="1"/>
      <c r="K28" s="1"/>
      <c r="L28" s="1"/>
    </row>
    <row r="29" ht="15" customHeight="1">
      <c r="A29" s="1"/>
      <c r="B29" s="1"/>
      <c r="C29" s="25"/>
      <c r="D29" s="25"/>
      <c r="E29" s="25"/>
      <c r="F29" s="25"/>
      <c r="G29" s="25"/>
      <c r="H29" s="36"/>
      <c r="I29" s="37"/>
      <c r="J29" s="1"/>
      <c r="K29" s="1"/>
      <c r="L29" s="1"/>
    </row>
    <row r="30" ht="15" customHeight="1">
      <c r="A30" s="1"/>
      <c r="B30" s="3" t="s">
        <v>402</v>
      </c>
      <c r="C30" s="25"/>
      <c r="D30" s="25"/>
      <c r="E30" s="25"/>
      <c r="F30" s="25"/>
      <c r="G30" s="25"/>
      <c r="H30" s="36"/>
      <c r="I30" s="37"/>
      <c r="J30" s="1"/>
      <c r="K30" s="1"/>
      <c r="L30" s="1"/>
    </row>
    <row r="31" ht="15" customHeight="1">
      <c r="A31" s="1"/>
      <c r="B31" s="46" t="s">
        <v>403</v>
      </c>
      <c r="C31" s="13">
        <f>-'Cash Flow Statement'!C33</f>
        <v>975.791</v>
      </c>
      <c r="D31" s="13">
        <f>-'Cash Flow Statement'!D33</f>
        <v>1466.155</v>
      </c>
      <c r="E31" s="13">
        <f>-'Cash Flow Statement'!E33</f>
        <v>1162.837</v>
      </c>
      <c r="F31" s="13">
        <f>-'Cash Flow Statement'!F33</f>
        <v>246.56</v>
      </c>
      <c r="G31" s="13">
        <f>-'Cash Flow Statement'!G33</f>
        <v>3851.3430000000003</v>
      </c>
      <c r="H31" s="62">
        <f>-'Cash Flow Statement'!H33</f>
        <v>600</v>
      </c>
      <c r="I31" s="37"/>
      <c r="J31" s="1"/>
      <c r="K31" s="1"/>
      <c r="L31" s="1"/>
    </row>
    <row r="32" ht="15" customHeight="1">
      <c r="A32" s="1"/>
      <c r="B32" s="46" t="s">
        <v>75</v>
      </c>
      <c r="C32" s="14" t="s">
        <v>40</v>
      </c>
      <c r="D32" s="14">
        <f t="shared" si="3"/>
        <v>490.3639999999999</v>
      </c>
      <c r="E32" s="14">
        <f t="shared" si="3"/>
        <v>-303.318</v>
      </c>
      <c r="F32" s="14">
        <f t="shared" si="3"/>
        <v>-916.277</v>
      </c>
      <c r="G32" s="14" t="s">
        <v>40</v>
      </c>
      <c r="H32" s="47">
        <f t="shared" si="10"/>
        <v>353.44</v>
      </c>
      <c r="I32" s="37"/>
      <c r="J32" s="1"/>
      <c r="K32" s="1"/>
      <c r="L32" s="1"/>
    </row>
    <row r="33" ht="15" customHeight="1">
      <c r="A33" s="1"/>
      <c r="B33" s="63" t="s">
        <v>404</v>
      </c>
      <c r="C33" s="17" t="s">
        <v>80</v>
      </c>
      <c r="D33" s="17" t="s">
        <v>80</v>
      </c>
      <c r="E33" s="17" t="s">
        <v>80</v>
      </c>
      <c r="F33" s="17" t="s">
        <v>80</v>
      </c>
      <c r="G33" s="17" t="s">
        <v>80</v>
      </c>
      <c r="H33" s="69">
        <v>310</v>
      </c>
      <c r="I33" s="37" t="s">
        <v>405</v>
      </c>
      <c r="J33" s="1"/>
      <c r="K33" s="1"/>
      <c r="L33" s="1"/>
    </row>
    <row r="34" ht="15" customHeight="1">
      <c r="A34" s="1"/>
      <c r="B34" s="46" t="s">
        <v>406</v>
      </c>
      <c r="C34" s="13">
        <f>-'Cash Flow Statement'!C34</f>
        <v>291.981</v>
      </c>
      <c r="D34" s="13">
        <f>-'Cash Flow Statement'!D34</f>
        <v>327.507</v>
      </c>
      <c r="E34" s="13">
        <f>-'Cash Flow Statement'!E34</f>
        <v>325.829</v>
      </c>
      <c r="F34" s="13">
        <f>-'Cash Flow Statement'!F34</f>
        <v>325.318</v>
      </c>
      <c r="G34" s="13">
        <f>-'Cash Flow Statement'!G34</f>
        <v>1270.635</v>
      </c>
      <c r="H34" s="62">
        <f>-'Cash Flow Statement'!H34</f>
        <v>325.33228</v>
      </c>
      <c r="I34" s="37"/>
      <c r="J34" s="1"/>
      <c r="K34" s="1"/>
      <c r="L34" s="1"/>
    </row>
    <row r="35" ht="15" customHeight="1">
      <c r="A35" s="1"/>
      <c r="B35" s="63" t="s">
        <v>176</v>
      </c>
      <c r="C35" s="16">
        <f>'Income Statement'!C48</f>
        <v>0.26</v>
      </c>
      <c r="D35" s="16">
        <f>'Income Statement'!D48</f>
        <v>0.26</v>
      </c>
      <c r="E35" s="16">
        <f>'Income Statement'!E48</f>
        <v>0.26</v>
      </c>
      <c r="F35" s="16">
        <f>'Income Statement'!F48</f>
        <v>0.26</v>
      </c>
      <c r="G35" s="16">
        <f>'Income Statement'!G48</f>
        <v>1.04</v>
      </c>
      <c r="H35" s="76">
        <f>'Income Statement'!H48</f>
        <v>0.33</v>
      </c>
      <c r="I35" s="37"/>
      <c r="J35" s="1"/>
      <c r="K35" s="1"/>
      <c r="L35" s="1"/>
    </row>
    <row r="36" ht="15" customHeight="1">
      <c r="A36" s="1"/>
      <c r="B36" s="46" t="s">
        <v>407</v>
      </c>
      <c r="C36" s="13">
        <f>'Cash Flow Statement'!C35</f>
        <v>0</v>
      </c>
      <c r="D36" s="13">
        <f>'Cash Flow Statement'!D35</f>
        <v>67.185</v>
      </c>
      <c r="E36" s="13">
        <f>'Cash Flow Statement'!E35</f>
        <v>0</v>
      </c>
      <c r="F36" s="13">
        <f>'Cash Flow Statement'!F35</f>
        <v>88.78</v>
      </c>
      <c r="G36" s="13">
        <f>'Cash Flow Statement'!G35</f>
        <v>155.965</v>
      </c>
      <c r="H36" s="62">
        <f>'Cash Flow Statement'!H35</f>
        <v>0</v>
      </c>
      <c r="I36" s="37"/>
      <c r="J36" s="1"/>
      <c r="K36" s="1"/>
      <c r="L36" s="1"/>
    </row>
    <row r="37" ht="15" customHeight="1">
      <c r="A37" s="1"/>
      <c r="B37" s="46" t="s">
        <v>408</v>
      </c>
      <c r="C37" s="13">
        <f>'Cash Flow Statement'!C36</f>
        <v>0</v>
      </c>
      <c r="D37" s="13">
        <f>'Cash Flow Statement'!D36</f>
        <v>3.854</v>
      </c>
      <c r="E37" s="13">
        <f>'Cash Flow Statement'!E36</f>
        <v>9.167</v>
      </c>
      <c r="F37" s="13">
        <f>'Cash Flow Statement'!F36</f>
        <v>4.426</v>
      </c>
      <c r="G37" s="13">
        <f>'Cash Flow Statement'!G36</f>
        <v>17.447</v>
      </c>
      <c r="H37" s="62">
        <f>'Cash Flow Statement'!H36</f>
        <v>5</v>
      </c>
      <c r="I37" s="37"/>
      <c r="J37" s="1"/>
      <c r="K37" s="1"/>
      <c r="L37" s="1"/>
    </row>
    <row r="38" ht="15" customHeight="1">
      <c r="A38" s="1"/>
      <c r="B38" s="48" t="s">
        <v>409</v>
      </c>
      <c r="C38" s="49">
        <f t="shared" si="11" ref="C38:H38">C16</f>
        <v>1269.313</v>
      </c>
      <c r="D38" s="49">
        <f t="shared" si="11"/>
        <v>1261.739</v>
      </c>
      <c r="E38" s="49">
        <f t="shared" si="11"/>
        <v>1257.325</v>
      </c>
      <c r="F38" s="49">
        <f t="shared" si="11"/>
        <v>1256.032</v>
      </c>
      <c r="G38" s="49">
        <f t="shared" si="11"/>
        <v>1261.102</v>
      </c>
      <c r="H38" s="50">
        <f t="shared" si="11"/>
        <v>1255</v>
      </c>
      <c r="I38" s="37"/>
      <c r="J38" s="1"/>
      <c r="K38" s="1"/>
      <c r="L38" s="1"/>
    </row>
    <row r="39" ht="15" customHeight="1">
      <c r="A39" s="1"/>
      <c r="B39" s="1" t="s">
        <v>410</v>
      </c>
      <c r="C39" s="24" t="b">
        <f>ABS('Income Statement'!C68-'Income Statement'!C65/C38)&lt;0.000001</f>
        <v>1</v>
      </c>
      <c r="D39" s="24" t="b">
        <f>ABS('Income Statement'!D68-'Income Statement'!D65/D38)&lt;0.000001</f>
        <v>1</v>
      </c>
      <c r="E39" s="24" t="b">
        <f>ABS('Income Statement'!E68-'Income Statement'!E65/E38)&lt;0.000001</f>
        <v>1</v>
      </c>
      <c r="F39" s="24" t="b">
        <f>ABS('Income Statement'!F68-'Income Statement'!F65/F38)&lt;0.000001</f>
        <v>1</v>
      </c>
      <c r="G39" s="24" t="b">
        <f>ABS('Income Statement'!G68-'Income Statement'!G65/G38)&lt;0.000001</f>
        <v>1</v>
      </c>
      <c r="H39" s="77" t="b">
        <f>ABS('Income Statement'!H68-'Income Statement'!H65/H38)&lt;0.000001</f>
        <v>1</v>
      </c>
      <c r="I39" s="37"/>
      <c r="J39" s="1"/>
      <c r="K39" s="1"/>
      <c r="L39" s="1"/>
    </row>
    <row r="40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8A04958-3CF8-B768-898E-CA27ABF5D72A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4" width="12.00390625" customWidth="1"/>
    <col min="5" max="5" width="16.00390625" customWidth="1"/>
    <col min="6" max="12" width="1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411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5" t="s">
        <v>3</v>
      </c>
      <c r="C5" s="6" t="s">
        <v>4</v>
      </c>
      <c r="D5" s="5"/>
      <c r="E5" s="5"/>
      <c r="F5" s="5"/>
      <c r="G5" s="5"/>
      <c r="H5" s="5"/>
      <c r="I5" s="5"/>
      <c r="J5" s="5"/>
      <c r="K5" s="5"/>
      <c r="L5" s="5"/>
    </row>
    <row r="6" ht="15" customHeight="1">
      <c r="A6" s="1"/>
      <c r="B6" s="7" t="s">
        <v>5</v>
      </c>
      <c r="C6" s="8">
        <v>46292</v>
      </c>
      <c r="D6" s="7"/>
      <c r="E6" s="7"/>
      <c r="F6" s="7"/>
      <c r="G6" s="7"/>
      <c r="H6" s="7"/>
      <c r="I6" s="7"/>
      <c r="J6" s="7"/>
      <c r="K6" s="7"/>
      <c r="L6" s="7"/>
    </row>
    <row r="7" ht="15" customHeight="1">
      <c r="A7" s="1"/>
      <c r="B7" s="9" t="s">
        <v>6</v>
      </c>
      <c r="C7" s="10">
        <v>91</v>
      </c>
      <c r="D7" s="9"/>
      <c r="E7" s="9"/>
      <c r="F7" s="9"/>
      <c r="G7" s="9"/>
      <c r="H7" s="9"/>
      <c r="I7" s="9"/>
      <c r="J7" s="9"/>
      <c r="K7" s="9"/>
      <c r="L7" s="9"/>
    </row>
    <row r="8" ht="15" customHeight="1">
      <c r="A8" s="1"/>
      <c r="B8" s="11" t="s">
        <v>412</v>
      </c>
      <c r="C8" s="12" t="s">
        <v>413</v>
      </c>
      <c r="D8" s="12" t="s">
        <v>59</v>
      </c>
      <c r="E8" s="12" t="s">
        <v>414</v>
      </c>
      <c r="F8" s="12" t="s">
        <v>415</v>
      </c>
      <c r="G8" s="12" t="s">
        <v>416</v>
      </c>
      <c r="H8" s="12" t="s">
        <v>417</v>
      </c>
      <c r="I8" s="12" t="s">
        <v>418</v>
      </c>
      <c r="J8" s="12" t="s">
        <v>419</v>
      </c>
      <c r="K8" s="12" t="s">
        <v>420</v>
      </c>
      <c r="L8" s="11" t="s">
        <v>421</v>
      </c>
    </row>
    <row r="9" ht="15" customHeight="1">
      <c r="A9" s="1"/>
      <c r="B9" s="1" t="s">
        <v>422</v>
      </c>
      <c r="C9" s="78">
        <v>45868</v>
      </c>
      <c r="D9" s="25" t="s">
        <v>60</v>
      </c>
      <c r="E9" s="25" t="s">
        <v>423</v>
      </c>
      <c r="F9" s="52">
        <v>4900</v>
      </c>
      <c r="G9" s="52">
        <v>5500</v>
      </c>
      <c r="H9" s="14">
        <f t="shared" si="0" ref="H9:H34">AVERAGE(F9:G9)</f>
        <v>5200</v>
      </c>
      <c r="I9" s="13">
        <f>'Income Statement'!C10</f>
        <v>5324.173</v>
      </c>
      <c r="J9" s="14">
        <f t="shared" si="1" ref="J9:J50">I9-H9</f>
        <v>124.17299999999977</v>
      </c>
      <c r="K9" s="14" t="str">
        <f t="shared" si="2" ref="K9:K27">IF(ISNUMBER(I9),IF(I9&gt;H9,"Beat",IF(I9&lt;H9,"Miss","In line")),"Pending")</f>
        <v>Beat</v>
      </c>
      <c r="L9" s="1" t="s">
        <v>425</v>
      </c>
    </row>
    <row r="10" ht="15" customHeight="1">
      <c r="A10" s="1"/>
      <c r="B10" s="1" t="s">
        <v>426</v>
      </c>
      <c r="C10" s="78">
        <v>45868</v>
      </c>
      <c r="D10" s="25" t="s">
        <v>60</v>
      </c>
      <c r="E10" s="25" t="s">
        <v>427</v>
      </c>
      <c r="F10" s="79">
        <v>0.49</v>
      </c>
      <c r="G10" s="79">
        <v>0.51</v>
      </c>
      <c r="H10" s="15">
        <f t="shared" si="0"/>
        <v>0.5</v>
      </c>
      <c r="I10" s="18">
        <f>'Income Statement'!C80</f>
        <v>0.5059155666053676</v>
      </c>
      <c r="J10" s="15">
        <f t="shared" si="1"/>
        <v>0.005915566605367628</v>
      </c>
      <c r="K10" s="15" t="str">
        <f t="shared" si="2"/>
        <v>Beat</v>
      </c>
      <c r="L10" s="1" t="s">
        <v>425</v>
      </c>
    </row>
    <row r="11" ht="15" customHeight="1">
      <c r="A11" s="1"/>
      <c r="B11" s="1" t="s">
        <v>428</v>
      </c>
      <c r="C11" s="78">
        <v>45868</v>
      </c>
      <c r="D11" s="25" t="s">
        <v>60</v>
      </c>
      <c r="E11" s="25" t="s">
        <v>427</v>
      </c>
      <c r="F11" s="79">
        <v>0.33</v>
      </c>
      <c r="G11" s="79">
        <v>0.35</v>
      </c>
      <c r="H11" s="15">
        <f t="shared" si="0"/>
        <v>0.33999999999999997</v>
      </c>
      <c r="I11" s="18">
        <f>'Income Statement'!C94</f>
        <v>0.34966294295846506</v>
      </c>
      <c r="J11" s="15">
        <f t="shared" si="1"/>
        <v>0.009662942958465093</v>
      </c>
      <c r="K11" s="15" t="str">
        <f t="shared" si="2"/>
        <v>Beat</v>
      </c>
      <c r="L11" s="1" t="s">
        <v>425</v>
      </c>
    </row>
    <row r="12" ht="15" customHeight="1">
      <c r="A12" s="1"/>
      <c r="B12" s="1" t="s">
        <v>429</v>
      </c>
      <c r="C12" s="78">
        <v>45868</v>
      </c>
      <c r="D12" s="25" t="s">
        <v>60</v>
      </c>
      <c r="E12" s="25" t="s">
        <v>427</v>
      </c>
      <c r="F12" s="68">
        <v>1.1</v>
      </c>
      <c r="G12" s="68">
        <v>1.3</v>
      </c>
      <c r="H12" s="17">
        <f t="shared" si="0"/>
        <v>1.2000000000000002</v>
      </c>
      <c r="I12" s="16">
        <f>'Income Statement'!C68</f>
        <v>1.2641460380536556</v>
      </c>
      <c r="J12" s="17">
        <f t="shared" si="1"/>
        <v>0.06414603805365537</v>
      </c>
      <c r="K12" s="17" t="str">
        <f t="shared" si="2"/>
        <v>Beat</v>
      </c>
      <c r="L12" s="1" t="s">
        <v>425</v>
      </c>
    </row>
    <row r="13" ht="15" customHeight="1">
      <c r="A13" s="1"/>
      <c r="B13" s="1" t="s">
        <v>430</v>
      </c>
      <c r="C13" s="78">
        <v>45868</v>
      </c>
      <c r="D13" s="25" t="s">
        <v>60</v>
      </c>
      <c r="E13" s="25" t="s">
        <v>431</v>
      </c>
      <c r="F13" s="52">
        <v>1270</v>
      </c>
      <c r="G13" s="52">
        <v>1270</v>
      </c>
      <c r="H13" s="14">
        <f t="shared" si="0"/>
        <v>1270</v>
      </c>
      <c r="I13" s="13">
        <f>'Income Statement'!C39</f>
        <v>1269.313</v>
      </c>
      <c r="J13" s="14">
        <f t="shared" si="1"/>
        <v>-0.6869999999998981</v>
      </c>
      <c r="K13" s="14" t="str">
        <f t="shared" si="3" ref="K13:K28">IF(ISNUMBER(I13),IF(I13&gt;H13,"Above",IF(I13&lt;H13,"Below","In line")),"Pending")</f>
        <v>Below</v>
      </c>
      <c r="L13" s="1" t="s">
        <v>425</v>
      </c>
    </row>
    <row r="14" ht="15" customHeight="1">
      <c r="A14" s="1"/>
      <c r="B14" s="1" t="s">
        <v>433</v>
      </c>
      <c r="C14" s="78">
        <v>45952</v>
      </c>
      <c r="D14" s="25" t="s">
        <v>61</v>
      </c>
      <c r="E14" s="25" t="s">
        <v>423</v>
      </c>
      <c r="F14" s="52">
        <v>4900</v>
      </c>
      <c r="G14" s="52">
        <v>5500</v>
      </c>
      <c r="H14" s="14">
        <f t="shared" si="0"/>
        <v>5200</v>
      </c>
      <c r="I14" s="13">
        <f>'Income Statement'!D10</f>
        <v>5344.791</v>
      </c>
      <c r="J14" s="14">
        <f t="shared" si="1"/>
        <v>144.79100000000017</v>
      </c>
      <c r="K14" s="14" t="str">
        <f t="shared" si="2"/>
        <v>Beat</v>
      </c>
      <c r="L14" s="1" t="s">
        <v>329</v>
      </c>
    </row>
    <row r="15" ht="15" customHeight="1">
      <c r="A15" s="1"/>
      <c r="B15" s="1" t="s">
        <v>434</v>
      </c>
      <c r="C15" s="78">
        <v>45952</v>
      </c>
      <c r="D15" s="25" t="s">
        <v>61</v>
      </c>
      <c r="E15" s="25" t="s">
        <v>427</v>
      </c>
      <c r="F15" s="79">
        <v>0.475</v>
      </c>
      <c r="G15" s="79">
        <v>0.495</v>
      </c>
      <c r="H15" s="15">
        <f t="shared" si="0"/>
        <v>0.485</v>
      </c>
      <c r="I15" s="18">
        <f>'Income Statement'!D80</f>
        <v>0.49735452705260136</v>
      </c>
      <c r="J15" s="15">
        <f t="shared" si="1"/>
        <v>0.012354527052601372</v>
      </c>
      <c r="K15" s="15" t="str">
        <f t="shared" si="2"/>
        <v>Beat</v>
      </c>
      <c r="L15" s="1" t="s">
        <v>329</v>
      </c>
    </row>
    <row r="16" ht="15" customHeight="1">
      <c r="A16" s="1"/>
      <c r="B16" s="1" t="s">
        <v>435</v>
      </c>
      <c r="C16" s="78">
        <v>45952</v>
      </c>
      <c r="D16" s="25" t="s">
        <v>61</v>
      </c>
      <c r="E16" s="25" t="s">
        <v>427</v>
      </c>
      <c r="F16" s="79">
        <v>0.32</v>
      </c>
      <c r="G16" s="79">
        <v>0.34</v>
      </c>
      <c r="H16" s="15">
        <f t="shared" si="0"/>
        <v>0.33</v>
      </c>
      <c r="I16" s="18">
        <f>'Income Statement'!D94</f>
        <v>0.3425335059874185</v>
      </c>
      <c r="J16" s="15">
        <f t="shared" si="1"/>
        <v>0.01253350598741848</v>
      </c>
      <c r="K16" s="15" t="str">
        <f t="shared" si="2"/>
        <v>Beat</v>
      </c>
      <c r="L16" s="1" t="s">
        <v>329</v>
      </c>
    </row>
    <row r="17" ht="15" customHeight="1">
      <c r="A17" s="1"/>
      <c r="B17" s="1" t="s">
        <v>436</v>
      </c>
      <c r="C17" s="78">
        <v>45952</v>
      </c>
      <c r="D17" s="25" t="s">
        <v>61</v>
      </c>
      <c r="E17" s="25" t="s">
        <v>427</v>
      </c>
      <c r="F17" s="68">
        <v>1.05</v>
      </c>
      <c r="G17" s="68">
        <v>1.25</v>
      </c>
      <c r="H17" s="17">
        <f t="shared" si="0"/>
        <v>1.15</v>
      </c>
      <c r="I17" s="16">
        <f>'Income Statement'!D68</f>
        <v>1.2662095726612244</v>
      </c>
      <c r="J17" s="17">
        <f t="shared" si="1"/>
        <v>0.11620957266122445</v>
      </c>
      <c r="K17" s="17" t="str">
        <f t="shared" si="2"/>
        <v>Beat</v>
      </c>
      <c r="L17" s="1" t="s">
        <v>329</v>
      </c>
    </row>
    <row r="18" ht="15" customHeight="1">
      <c r="A18" s="1"/>
      <c r="B18" s="1" t="s">
        <v>437</v>
      </c>
      <c r="C18" s="78">
        <v>45952</v>
      </c>
      <c r="D18" s="25" t="s">
        <v>61</v>
      </c>
      <c r="E18" s="25" t="s">
        <v>431</v>
      </c>
      <c r="F18" s="52">
        <v>1260</v>
      </c>
      <c r="G18" s="52">
        <v>1260</v>
      </c>
      <c r="H18" s="14">
        <f t="shared" si="0"/>
        <v>1260</v>
      </c>
      <c r="I18" s="13">
        <f>'Income Statement'!D39</f>
        <v>1261.739</v>
      </c>
      <c r="J18" s="14">
        <f t="shared" si="1"/>
        <v>1.7390000000000327</v>
      </c>
      <c r="K18" s="14" t="str">
        <f t="shared" si="3"/>
        <v>Above</v>
      </c>
      <c r="L18" s="1" t="s">
        <v>329</v>
      </c>
    </row>
    <row r="19" ht="15" customHeight="1">
      <c r="A19" s="1"/>
      <c r="B19" s="1" t="s">
        <v>439</v>
      </c>
      <c r="C19" s="78">
        <v>46050</v>
      </c>
      <c r="D19" s="25" t="s">
        <v>62</v>
      </c>
      <c r="E19" s="25" t="s">
        <v>423</v>
      </c>
      <c r="F19" s="52">
        <v>5400</v>
      </c>
      <c r="G19" s="52">
        <v>6000</v>
      </c>
      <c r="H19" s="14">
        <f t="shared" si="0"/>
        <v>5700</v>
      </c>
      <c r="I19" s="13">
        <f>'Income Statement'!E10</f>
        <v>5841.487999999999</v>
      </c>
      <c r="J19" s="14">
        <f t="shared" si="1"/>
        <v>141.48799999999937</v>
      </c>
      <c r="K19" s="14" t="str">
        <f t="shared" si="2"/>
        <v>Beat</v>
      </c>
      <c r="L19" s="1" t="s">
        <v>440</v>
      </c>
    </row>
    <row r="20" ht="15" customHeight="1">
      <c r="A20" s="1"/>
      <c r="B20" s="1" t="s">
        <v>441</v>
      </c>
      <c r="C20" s="78">
        <v>46050</v>
      </c>
      <c r="D20" s="25" t="s">
        <v>62</v>
      </c>
      <c r="E20" s="25" t="s">
        <v>427</v>
      </c>
      <c r="F20" s="79">
        <v>0.48</v>
      </c>
      <c r="G20" s="79">
        <v>0.5</v>
      </c>
      <c r="H20" s="15">
        <f t="shared" si="0"/>
        <v>0.49</v>
      </c>
      <c r="I20" s="18">
        <f>'Income Statement'!E80</f>
        <v>0.4986953666600017</v>
      </c>
      <c r="J20" s="15">
        <f t="shared" si="1"/>
        <v>0.008695366660001702</v>
      </c>
      <c r="K20" s="15" t="str">
        <f t="shared" si="2"/>
        <v>Beat</v>
      </c>
      <c r="L20" s="1" t="s">
        <v>440</v>
      </c>
    </row>
    <row r="21" ht="15" customHeight="1">
      <c r="A21" s="1"/>
      <c r="B21" s="1" t="s">
        <v>442</v>
      </c>
      <c r="C21" s="78">
        <v>46050</v>
      </c>
      <c r="D21" s="25" t="s">
        <v>62</v>
      </c>
      <c r="E21" s="25" t="s">
        <v>427</v>
      </c>
      <c r="F21" s="79">
        <v>0.33</v>
      </c>
      <c r="G21" s="79">
        <v>0.35</v>
      </c>
      <c r="H21" s="15">
        <f t="shared" si="0"/>
        <v>0.33999999999999997</v>
      </c>
      <c r="I21" s="18">
        <f>'Income Statement'!E94</f>
        <v>0.3504170512718677</v>
      </c>
      <c r="J21" s="15">
        <f t="shared" si="1"/>
        <v>0.010417051271867706</v>
      </c>
      <c r="K21" s="15" t="str">
        <f t="shared" si="2"/>
        <v>Beat</v>
      </c>
      <c r="L21" s="1" t="s">
        <v>440</v>
      </c>
    </row>
    <row r="22" ht="15" customHeight="1">
      <c r="A22" s="1"/>
      <c r="B22" s="1" t="s">
        <v>443</v>
      </c>
      <c r="C22" s="78">
        <v>46050</v>
      </c>
      <c r="D22" s="25" t="s">
        <v>62</v>
      </c>
      <c r="E22" s="25" t="s">
        <v>427</v>
      </c>
      <c r="F22" s="68">
        <v>1.25</v>
      </c>
      <c r="G22" s="68">
        <v>1.45</v>
      </c>
      <c r="H22" s="17">
        <f t="shared" si="0"/>
        <v>1.35</v>
      </c>
      <c r="I22" s="16">
        <f>'Income Statement'!E68</f>
        <v>1.4725246058099533</v>
      </c>
      <c r="J22" s="17">
        <f t="shared" si="1"/>
        <v>0.12252460580995317</v>
      </c>
      <c r="K22" s="17" t="str">
        <f t="shared" si="2"/>
        <v>Beat</v>
      </c>
      <c r="L22" s="1" t="s">
        <v>440</v>
      </c>
    </row>
    <row r="23" ht="15" customHeight="1">
      <c r="A23" s="1"/>
      <c r="B23" s="1" t="s">
        <v>444</v>
      </c>
      <c r="C23" s="78">
        <v>46050</v>
      </c>
      <c r="D23" s="25" t="s">
        <v>62</v>
      </c>
      <c r="E23" s="25" t="s">
        <v>431</v>
      </c>
      <c r="F23" s="52">
        <v>1260</v>
      </c>
      <c r="G23" s="52">
        <v>1260</v>
      </c>
      <c r="H23" s="14">
        <f t="shared" si="0"/>
        <v>1260</v>
      </c>
      <c r="I23" s="13">
        <f>'Income Statement'!E39</f>
        <v>1257.325</v>
      </c>
      <c r="J23" s="14">
        <f t="shared" si="1"/>
        <v>-2.6749999999999545</v>
      </c>
      <c r="K23" s="14" t="str">
        <f t="shared" si="3"/>
        <v>Below</v>
      </c>
      <c r="L23" s="1" t="s">
        <v>440</v>
      </c>
    </row>
    <row r="24" ht="15" customHeight="1">
      <c r="A24" s="1"/>
      <c r="B24" s="1" t="s">
        <v>445</v>
      </c>
      <c r="C24" s="78">
        <v>46134</v>
      </c>
      <c r="D24" s="25" t="s">
        <v>63</v>
      </c>
      <c r="E24" s="25" t="s">
        <v>423</v>
      </c>
      <c r="F24" s="52">
        <v>6200</v>
      </c>
      <c r="G24" s="52">
        <v>7000</v>
      </c>
      <c r="H24" s="14">
        <f t="shared" si="0"/>
        <v>6600</v>
      </c>
      <c r="I24" s="13">
        <f>'Income Statement'!F10</f>
        <v>6722.237999999999</v>
      </c>
      <c r="J24" s="14">
        <f t="shared" si="1"/>
        <v>122.23799999999937</v>
      </c>
      <c r="K24" s="14" t="str">
        <f t="shared" si="2"/>
        <v>Beat</v>
      </c>
      <c r="L24" s="1" t="s">
        <v>446</v>
      </c>
    </row>
    <row r="25" ht="15" customHeight="1">
      <c r="A25" s="1"/>
      <c r="B25" s="1" t="s">
        <v>447</v>
      </c>
      <c r="C25" s="78">
        <v>46134</v>
      </c>
      <c r="D25" s="25" t="s">
        <v>63</v>
      </c>
      <c r="E25" s="25" t="s">
        <v>427</v>
      </c>
      <c r="F25" s="79">
        <v>0.495</v>
      </c>
      <c r="G25" s="79">
        <v>0.515</v>
      </c>
      <c r="H25" s="15">
        <f t="shared" si="0"/>
        <v>0.505</v>
      </c>
      <c r="I25" s="18">
        <f>'Income Statement'!F80</f>
        <v>0.5202636383894768</v>
      </c>
      <c r="J25" s="15">
        <f t="shared" si="1"/>
        <v>0.015263638389476752</v>
      </c>
      <c r="K25" s="15" t="str">
        <f t="shared" si="2"/>
        <v>Beat</v>
      </c>
      <c r="L25" s="1" t="s">
        <v>446</v>
      </c>
    </row>
    <row r="26" ht="15" customHeight="1">
      <c r="A26" s="1"/>
      <c r="B26" s="1" t="s">
        <v>448</v>
      </c>
      <c r="C26" s="78">
        <v>46134</v>
      </c>
      <c r="D26" s="25" t="s">
        <v>63</v>
      </c>
      <c r="E26" s="25" t="s">
        <v>427</v>
      </c>
      <c r="F26" s="79">
        <v>0.355</v>
      </c>
      <c r="G26" s="79">
        <v>0.375</v>
      </c>
      <c r="H26" s="15">
        <f t="shared" si="0"/>
        <v>0.365</v>
      </c>
      <c r="I26" s="18">
        <f>'Income Statement'!F94</f>
        <v>0.3839370162139453</v>
      </c>
      <c r="J26" s="15">
        <f t="shared" si="1"/>
        <v>0.018937016213945335</v>
      </c>
      <c r="K26" s="15" t="str">
        <f t="shared" si="2"/>
        <v>Beat</v>
      </c>
      <c r="L26" s="1" t="s">
        <v>446</v>
      </c>
    </row>
    <row r="27" ht="15" customHeight="1">
      <c r="A27" s="1"/>
      <c r="B27" s="1" t="s">
        <v>449</v>
      </c>
      <c r="C27" s="78">
        <v>46134</v>
      </c>
      <c r="D27" s="25" t="s">
        <v>63</v>
      </c>
      <c r="E27" s="25" t="s">
        <v>427</v>
      </c>
      <c r="F27" s="68">
        <v>1.5</v>
      </c>
      <c r="G27" s="68">
        <v>1.8</v>
      </c>
      <c r="H27" s="17">
        <f t="shared" si="0"/>
        <v>1.65</v>
      </c>
      <c r="I27" s="16">
        <f>'Income Statement'!F68</f>
        <v>1.815214898983465</v>
      </c>
      <c r="J27" s="17">
        <f t="shared" si="1"/>
        <v>0.1652148989834652</v>
      </c>
      <c r="K27" s="17" t="str">
        <f t="shared" si="2"/>
        <v>Beat</v>
      </c>
      <c r="L27" s="1" t="s">
        <v>446</v>
      </c>
    </row>
    <row r="28" ht="15" customHeight="1">
      <c r="A28" s="1"/>
      <c r="B28" s="1" t="s">
        <v>450</v>
      </c>
      <c r="C28" s="78">
        <v>46134</v>
      </c>
      <c r="D28" s="25" t="s">
        <v>63</v>
      </c>
      <c r="E28" s="25" t="s">
        <v>431</v>
      </c>
      <c r="F28" s="52">
        <v>1255</v>
      </c>
      <c r="G28" s="52">
        <v>1255</v>
      </c>
      <c r="H28" s="14">
        <f t="shared" si="0"/>
        <v>1255</v>
      </c>
      <c r="I28" s="13">
        <f>'Income Statement'!F39</f>
        <v>1256.032</v>
      </c>
      <c r="J28" s="14">
        <f t="shared" si="1"/>
        <v>1.0319999999999254</v>
      </c>
      <c r="K28" s="14" t="str">
        <f t="shared" si="3"/>
        <v>Above</v>
      </c>
      <c r="L28" s="1" t="s">
        <v>446</v>
      </c>
    </row>
    <row r="29" ht="15" customHeight="1">
      <c r="A29" s="1"/>
      <c r="B29" s="1" t="s">
        <v>451</v>
      </c>
      <c r="C29" s="78">
        <v>46232</v>
      </c>
      <c r="D29" s="25" t="s">
        <v>4</v>
      </c>
      <c r="E29" s="25" t="s">
        <v>423</v>
      </c>
      <c r="F29" s="52">
        <v>7700</v>
      </c>
      <c r="G29" s="52">
        <v>8500</v>
      </c>
      <c r="H29" s="14">
        <f t="shared" si="0"/>
        <v>8100</v>
      </c>
      <c r="I29" s="14" t="s">
        <v>452</v>
      </c>
      <c r="J29" s="14" t="s">
        <v>40</v>
      </c>
      <c r="K29" s="25" t="s">
        <v>453</v>
      </c>
      <c r="L29" s="1" t="s">
        <v>454</v>
      </c>
    </row>
    <row r="30" ht="15" customHeight="1">
      <c r="A30" s="1"/>
      <c r="B30" s="1" t="s">
        <v>455</v>
      </c>
      <c r="C30" s="78">
        <v>46232</v>
      </c>
      <c r="D30" s="25" t="s">
        <v>4</v>
      </c>
      <c r="E30" s="25" t="s">
        <v>427</v>
      </c>
      <c r="F30" s="79">
        <v>0.51</v>
      </c>
      <c r="G30" s="79">
        <v>0.53</v>
      </c>
      <c r="H30" s="15">
        <f t="shared" si="0"/>
        <v>0.52</v>
      </c>
      <c r="I30" s="15" t="s">
        <v>452</v>
      </c>
      <c r="J30" s="15" t="s">
        <v>40</v>
      </c>
      <c r="K30" s="25" t="s">
        <v>453</v>
      </c>
      <c r="L30" s="1" t="s">
        <v>454</v>
      </c>
    </row>
    <row r="31" ht="15" customHeight="1">
      <c r="A31" s="1"/>
      <c r="B31" s="1" t="s">
        <v>456</v>
      </c>
      <c r="C31" s="78">
        <v>46232</v>
      </c>
      <c r="D31" s="25" t="s">
        <v>4</v>
      </c>
      <c r="E31" s="25" t="s">
        <v>427</v>
      </c>
      <c r="F31" s="79">
        <v>0.385</v>
      </c>
      <c r="G31" s="79">
        <v>0.405</v>
      </c>
      <c r="H31" s="15">
        <f t="shared" si="0"/>
        <v>0.395</v>
      </c>
      <c r="I31" s="15" t="s">
        <v>452</v>
      </c>
      <c r="J31" s="15" t="s">
        <v>40</v>
      </c>
      <c r="K31" s="25" t="s">
        <v>453</v>
      </c>
      <c r="L31" s="1" t="s">
        <v>454</v>
      </c>
    </row>
    <row r="32" ht="15" customHeight="1">
      <c r="A32" s="1"/>
      <c r="B32" s="1" t="s">
        <v>457</v>
      </c>
      <c r="C32" s="78">
        <v>46232</v>
      </c>
      <c r="D32" s="25" t="s">
        <v>4</v>
      </c>
      <c r="E32" s="25" t="s">
        <v>427</v>
      </c>
      <c r="F32" s="68">
        <v>2</v>
      </c>
      <c r="G32" s="68">
        <v>2.3</v>
      </c>
      <c r="H32" s="17">
        <f t="shared" si="0"/>
        <v>2.15</v>
      </c>
      <c r="I32" s="17" t="s">
        <v>452</v>
      </c>
      <c r="J32" s="17" t="s">
        <v>40</v>
      </c>
      <c r="K32" s="25" t="s">
        <v>453</v>
      </c>
      <c r="L32" s="1" t="s">
        <v>454</v>
      </c>
    </row>
    <row r="33" ht="15" customHeight="1">
      <c r="A33" s="1"/>
      <c r="B33" s="1" t="s">
        <v>458</v>
      </c>
      <c r="C33" s="78">
        <v>46232</v>
      </c>
      <c r="D33" s="25" t="s">
        <v>4</v>
      </c>
      <c r="E33" s="25" t="s">
        <v>431</v>
      </c>
      <c r="F33" s="52">
        <v>1255</v>
      </c>
      <c r="G33" s="52">
        <v>1255</v>
      </c>
      <c r="H33" s="14">
        <f t="shared" si="0"/>
        <v>1255</v>
      </c>
      <c r="I33" s="14" t="s">
        <v>452</v>
      </c>
      <c r="J33" s="14" t="s">
        <v>40</v>
      </c>
      <c r="K33" s="25" t="s">
        <v>453</v>
      </c>
      <c r="L33" s="1" t="s">
        <v>454</v>
      </c>
    </row>
    <row r="34" ht="15" customHeight="1">
      <c r="A34" s="1"/>
      <c r="B34" s="1" t="s">
        <v>457</v>
      </c>
      <c r="C34" s="78">
        <v>46232</v>
      </c>
      <c r="D34" s="25" t="s">
        <v>4</v>
      </c>
      <c r="E34" s="25" t="s">
        <v>459</v>
      </c>
      <c r="F34" s="68">
        <v>2</v>
      </c>
      <c r="G34" s="68">
        <v>2.3</v>
      </c>
      <c r="H34" s="17">
        <f t="shared" si="0"/>
        <v>2.15</v>
      </c>
      <c r="I34" s="17" t="s">
        <v>452</v>
      </c>
      <c r="J34" s="17" t="s">
        <v>40</v>
      </c>
      <c r="K34" s="25" t="s">
        <v>453</v>
      </c>
      <c r="L34" s="1" t="s">
        <v>454</v>
      </c>
    </row>
    <row r="35" ht="15" customHeight="1">
      <c r="A35" s="1"/>
      <c r="B35" s="1"/>
      <c r="C35" s="1"/>
      <c r="D35" s="25"/>
      <c r="E35" s="25"/>
      <c r="F35" s="25"/>
      <c r="G35" s="25"/>
      <c r="H35" s="25"/>
      <c r="I35" s="25"/>
      <c r="J35" s="25"/>
      <c r="K35" s="25"/>
      <c r="L35" s="1"/>
    </row>
    <row r="36" ht="15" customHeight="1">
      <c r="A36" s="1"/>
      <c r="B36" s="3" t="s">
        <v>460</v>
      </c>
      <c r="C36" s="1"/>
      <c r="D36" s="25"/>
      <c r="E36" s="25"/>
      <c r="F36" s="25"/>
      <c r="G36" s="25"/>
      <c r="H36" s="25"/>
      <c r="I36" s="25"/>
      <c r="J36" s="25"/>
      <c r="K36" s="25"/>
      <c r="L36" s="1"/>
    </row>
    <row r="37" ht="15" customHeight="1">
      <c r="A37" s="1"/>
      <c r="B37" s="1" t="s">
        <v>461</v>
      </c>
      <c r="C37" s="1"/>
      <c r="D37" s="25"/>
      <c r="E37" s="25"/>
      <c r="F37" s="25"/>
      <c r="G37" s="25"/>
      <c r="H37" s="17">
        <f>AVERAGE(J12,J17,J22,J27)</f>
        <v>0.11702377887707455</v>
      </c>
      <c r="I37" s="25"/>
      <c r="J37" s="25"/>
      <c r="K37" s="25"/>
      <c r="L37" s="1"/>
    </row>
    <row r="38" ht="15" customHeight="1">
      <c r="A38" s="1"/>
      <c r="B38" s="1" t="s">
        <v>462</v>
      </c>
      <c r="C38" s="1"/>
      <c r="D38" s="25"/>
      <c r="E38" s="25"/>
      <c r="F38" s="25"/>
      <c r="G38" s="25"/>
      <c r="H38" s="55">
        <f>(K12="Beat")+(K17="Beat")+(K22="Beat")+(K27="Beat")</f>
        <v>4</v>
      </c>
      <c r="I38" s="25"/>
      <c r="J38" s="25"/>
      <c r="K38" s="25"/>
      <c r="L38" s="1"/>
    </row>
    <row r="39" ht="15" customHeight="1">
      <c r="A39" s="1"/>
      <c r="B39" s="1" t="s">
        <v>463</v>
      </c>
      <c r="C39" s="1"/>
      <c r="D39" s="25"/>
      <c r="E39" s="25"/>
      <c r="F39" s="25"/>
      <c r="G39" s="25"/>
      <c r="H39" s="14">
        <f>AVERAGE(J9,J14,J19,J24)</f>
        <v>133.17249999999967</v>
      </c>
      <c r="I39" s="25"/>
      <c r="J39" s="25"/>
      <c r="K39" s="25"/>
      <c r="L39" s="1"/>
    </row>
    <row r="40" ht="15" customHeight="1">
      <c r="A40" s="1"/>
      <c r="B40" s="1" t="s">
        <v>464</v>
      </c>
      <c r="C40" s="1"/>
      <c r="D40" s="25"/>
      <c r="E40" s="25"/>
      <c r="F40" s="25"/>
      <c r="G40" s="25"/>
      <c r="H40" s="15">
        <f>AVERAGE(J9/H9,J14/H14,J19/H19,J24/H24)</f>
        <v>0.023766802846276476</v>
      </c>
      <c r="I40" s="25"/>
      <c r="J40" s="25"/>
      <c r="K40" s="25"/>
      <c r="L40" s="1"/>
    </row>
    <row r="41" ht="15" customHeight="1">
      <c r="A41" s="1"/>
      <c r="B41" s="1" t="s">
        <v>465</v>
      </c>
      <c r="C41" s="1"/>
      <c r="D41" s="25"/>
      <c r="E41" s="25"/>
      <c r="F41" s="25"/>
      <c r="G41" s="25"/>
      <c r="H41" s="55">
        <f>AVERAGE(J10,J15,J20,J25)*10000</f>
        <v>105.57274676861864</v>
      </c>
      <c r="I41" s="25"/>
      <c r="J41" s="25"/>
      <c r="K41" s="25"/>
      <c r="L41" s="1"/>
    </row>
    <row r="42" ht="15" customHeight="1">
      <c r="A42" s="1"/>
      <c r="B42" s="1"/>
      <c r="C42" s="1"/>
      <c r="D42" s="25"/>
      <c r="E42" s="25"/>
      <c r="F42" s="25"/>
      <c r="G42" s="25"/>
      <c r="H42" s="25"/>
      <c r="I42" s="25"/>
      <c r="J42" s="25"/>
      <c r="K42" s="25"/>
      <c r="L42" s="1"/>
    </row>
    <row r="43" ht="15" customHeight="1">
      <c r="A43" s="1"/>
      <c r="B43" s="3" t="s">
        <v>466</v>
      </c>
      <c r="C43" s="1"/>
      <c r="D43" s="25"/>
      <c r="E43" s="25"/>
      <c r="F43" s="25"/>
      <c r="G43" s="25"/>
      <c r="H43" s="25"/>
      <c r="I43" s="25"/>
      <c r="J43" s="25"/>
      <c r="K43" s="25"/>
      <c r="L43" s="1"/>
    </row>
    <row r="44" ht="15" customHeight="1">
      <c r="A44" s="1"/>
      <c r="B44" s="11" t="s">
        <v>467</v>
      </c>
      <c r="C44" s="11"/>
      <c r="D44" s="12"/>
      <c r="E44" s="12"/>
      <c r="F44" s="12"/>
      <c r="G44" s="12"/>
      <c r="H44" s="12" t="s">
        <v>417</v>
      </c>
      <c r="I44" s="12" t="s">
        <v>468</v>
      </c>
      <c r="J44" s="12" t="s">
        <v>469</v>
      </c>
      <c r="K44" s="12"/>
      <c r="L44" s="11"/>
    </row>
    <row r="45" ht="15" customHeight="1">
      <c r="A45" s="1"/>
      <c r="B45" s="1" t="s">
        <v>470</v>
      </c>
      <c r="C45" s="1"/>
      <c r="D45" s="25"/>
      <c r="E45" s="25"/>
      <c r="F45" s="25"/>
      <c r="G45" s="25"/>
      <c r="H45" s="14">
        <f t="shared" si="4" ref="H45:H50">H29</f>
        <v>8100</v>
      </c>
      <c r="I45" s="13">
        <f>'Income Statement'!H10</f>
        <v>8249.3305776</v>
      </c>
      <c r="J45" s="14">
        <f t="shared" si="1"/>
        <v>149.33057759999974</v>
      </c>
      <c r="K45" s="25"/>
      <c r="L45" s="1"/>
    </row>
    <row r="46" ht="15" customHeight="1">
      <c r="A46" s="1"/>
      <c r="B46" s="1" t="s">
        <v>471</v>
      </c>
      <c r="C46" s="1"/>
      <c r="D46" s="25"/>
      <c r="E46" s="25"/>
      <c r="F46" s="25"/>
      <c r="G46" s="25"/>
      <c r="H46" s="15">
        <f t="shared" si="4"/>
        <v>0.52</v>
      </c>
      <c r="I46" s="18">
        <f>'Income Statement'!H80</f>
        <v>0.524</v>
      </c>
      <c r="J46" s="15">
        <f t="shared" si="1"/>
        <v>0.0040000000000000036</v>
      </c>
      <c r="K46" s="25"/>
      <c r="L46" s="1"/>
    </row>
    <row r="47" ht="15" customHeight="1">
      <c r="A47" s="1"/>
      <c r="B47" s="1" t="s">
        <v>472</v>
      </c>
      <c r="C47" s="1"/>
      <c r="D47" s="25"/>
      <c r="E47" s="25"/>
      <c r="F47" s="25"/>
      <c r="G47" s="25"/>
      <c r="H47" s="15">
        <f t="shared" si="4"/>
        <v>0.395</v>
      </c>
      <c r="I47" s="18">
        <f>'Income Statement'!H94</f>
        <v>0.40156582300841176</v>
      </c>
      <c r="J47" s="15">
        <f t="shared" si="1"/>
        <v>0.006565823008411742</v>
      </c>
      <c r="K47" s="25"/>
      <c r="L47" s="1"/>
    </row>
    <row r="48" ht="15" customHeight="1">
      <c r="A48" s="1"/>
      <c r="B48" s="1" t="s">
        <v>473</v>
      </c>
      <c r="C48" s="1"/>
      <c r="D48" s="25"/>
      <c r="E48" s="25"/>
      <c r="F48" s="25"/>
      <c r="G48" s="25"/>
      <c r="H48" s="17">
        <f t="shared" si="4"/>
        <v>2.15</v>
      </c>
      <c r="I48" s="16">
        <f>'Income Statement'!H68</f>
        <v>2.2421836567832996</v>
      </c>
      <c r="J48" s="17">
        <f t="shared" si="1"/>
        <v>0.09218365678329965</v>
      </c>
      <c r="K48" s="25"/>
      <c r="L48" s="1"/>
    </row>
    <row r="49" ht="15" customHeight="1">
      <c r="A49" s="1"/>
      <c r="B49" s="1" t="s">
        <v>42</v>
      </c>
      <c r="C49" s="1"/>
      <c r="D49" s="25"/>
      <c r="E49" s="25"/>
      <c r="F49" s="25"/>
      <c r="G49" s="25"/>
      <c r="H49" s="14">
        <f t="shared" si="4"/>
        <v>1255</v>
      </c>
      <c r="I49" s="13">
        <f>'Income Statement'!H39</f>
        <v>1255</v>
      </c>
      <c r="J49" s="14">
        <f t="shared" si="1"/>
        <v>0</v>
      </c>
      <c r="K49" s="25"/>
      <c r="L49" s="1"/>
    </row>
    <row r="50" ht="15" customHeight="1">
      <c r="A50" s="1"/>
      <c r="B50" s="1" t="s">
        <v>474</v>
      </c>
      <c r="C50" s="1"/>
      <c r="D50" s="25"/>
      <c r="E50" s="25"/>
      <c r="F50" s="25"/>
      <c r="G50" s="25"/>
      <c r="H50" s="17">
        <f t="shared" si="4"/>
        <v>2.15</v>
      </c>
      <c r="I50" s="16">
        <f>'Income Statement'!H41</f>
        <v>2.239554174711586</v>
      </c>
      <c r="J50" s="17">
        <f t="shared" si="1"/>
        <v>0.08955417471158622</v>
      </c>
      <c r="K50" s="25"/>
      <c r="L50" s="1"/>
    </row>
    <row r="51" ht="1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72CDFDF-2655-ABD6-C1A7-7EBC6551A97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3" width="16.00390625" customWidth="1"/>
    <col min="4" max="4" width="30.00390625" customWidth="1"/>
    <col min="5" max="6" width="60.00390625" customWidth="1"/>
  </cols>
  <sheetData>
    <row r="1" ht="15" customHeight="1">
      <c r="A1" s="1"/>
      <c r="B1" s="1"/>
      <c r="C1" s="1"/>
      <c r="D1" s="1"/>
      <c r="E1" s="1"/>
      <c r="F1" s="1"/>
    </row>
    <row r="2" ht="15" customHeight="1">
      <c r="A2" s="1"/>
      <c r="B2" s="2" t="s">
        <v>0</v>
      </c>
      <c r="C2" s="1"/>
      <c r="D2" s="1"/>
      <c r="E2" s="1"/>
      <c r="F2" s="1"/>
    </row>
    <row r="3" ht="15" customHeight="1">
      <c r="A3" s="1"/>
      <c r="B3" s="3" t="s">
        <v>475</v>
      </c>
      <c r="C3" s="1"/>
      <c r="D3" s="1"/>
      <c r="E3" s="1"/>
      <c r="F3" s="1"/>
    </row>
    <row r="4" ht="15" customHeight="1">
      <c r="A4" s="1"/>
      <c r="B4" s="4" t="s">
        <v>2</v>
      </c>
      <c r="C4" s="1"/>
      <c r="D4" s="1"/>
      <c r="E4" s="1"/>
      <c r="F4" s="1"/>
    </row>
    <row r="5" ht="15" customHeight="1">
      <c r="A5" s="1"/>
      <c r="B5" s="5" t="s">
        <v>3</v>
      </c>
      <c r="C5" s="6" t="s">
        <v>4</v>
      </c>
      <c r="D5" s="5"/>
      <c r="E5" s="5"/>
      <c r="F5" s="5"/>
    </row>
    <row r="6" ht="15" customHeight="1">
      <c r="A6" s="1"/>
      <c r="B6" s="7" t="s">
        <v>5</v>
      </c>
      <c r="C6" s="8">
        <v>46292</v>
      </c>
      <c r="D6" s="7"/>
      <c r="E6" s="7"/>
      <c r="F6" s="7"/>
    </row>
    <row r="7" ht="15" customHeight="1">
      <c r="A7" s="1"/>
      <c r="B7" s="9" t="s">
        <v>6</v>
      </c>
      <c r="C7" s="10">
        <v>91</v>
      </c>
      <c r="D7" s="9"/>
      <c r="E7" s="9"/>
      <c r="F7" s="9"/>
    </row>
    <row r="8" ht="15" customHeight="1">
      <c r="A8" s="1"/>
      <c r="B8" s="11" t="s">
        <v>476</v>
      </c>
      <c r="C8" s="12" t="s">
        <v>477</v>
      </c>
      <c r="D8" s="11" t="s">
        <v>478</v>
      </c>
      <c r="E8" s="11" t="s">
        <v>479</v>
      </c>
      <c r="F8" s="11" t="s">
        <v>480</v>
      </c>
    </row>
    <row r="9" ht="15" customHeight="1">
      <c r="A9" s="1"/>
      <c r="B9" s="1" t="s">
        <v>481</v>
      </c>
      <c r="C9" s="80">
        <v>46313</v>
      </c>
      <c r="D9" s="81" t="s">
        <v>482</v>
      </c>
      <c r="E9" s="81" t="s">
        <v>483</v>
      </c>
      <c r="F9" s="1" t="s">
        <v>484</v>
      </c>
    </row>
    <row r="10" ht="15" customHeight="1">
      <c r="A10" s="1"/>
      <c r="B10" s="1" t="s">
        <v>485</v>
      </c>
      <c r="C10" s="80">
        <v>46313</v>
      </c>
      <c r="D10" s="81" t="s">
        <v>482</v>
      </c>
      <c r="E10" s="81" t="s">
        <v>486</v>
      </c>
      <c r="F10" s="1" t="s">
        <v>487</v>
      </c>
    </row>
    <row r="11" ht="37.5" customHeight="1">
      <c r="A11" s="1"/>
      <c r="B11" s="1" t="s">
        <v>329</v>
      </c>
      <c r="C11" s="80">
        <v>45952</v>
      </c>
      <c r="D11" s="81" t="s">
        <v>488</v>
      </c>
      <c r="E11" s="81" t="s">
        <v>489</v>
      </c>
      <c r="F11" s="1" t="s">
        <v>490</v>
      </c>
    </row>
    <row r="12" ht="37.5" customHeight="1">
      <c r="A12" s="1"/>
      <c r="B12" s="1" t="s">
        <v>440</v>
      </c>
      <c r="C12" s="80">
        <v>46050</v>
      </c>
      <c r="D12" s="81" t="s">
        <v>488</v>
      </c>
      <c r="E12" s="81" t="s">
        <v>491</v>
      </c>
      <c r="F12" s="1" t="s">
        <v>492</v>
      </c>
    </row>
    <row r="13" ht="26.25" customHeight="1">
      <c r="A13" s="1"/>
      <c r="B13" s="1" t="s">
        <v>446</v>
      </c>
      <c r="C13" s="80">
        <v>46134</v>
      </c>
      <c r="D13" s="81" t="s">
        <v>493</v>
      </c>
      <c r="E13" s="81" t="s">
        <v>494</v>
      </c>
      <c r="F13" s="1" t="s">
        <v>495</v>
      </c>
    </row>
    <row r="14" ht="26.25" customHeight="1">
      <c r="A14" s="1"/>
      <c r="B14" s="1" t="s">
        <v>454</v>
      </c>
      <c r="C14" s="80">
        <v>46232</v>
      </c>
      <c r="D14" s="81" t="s">
        <v>488</v>
      </c>
      <c r="E14" s="81" t="s">
        <v>496</v>
      </c>
      <c r="F14" s="1" t="s">
        <v>497</v>
      </c>
    </row>
    <row r="15" ht="26.25" customHeight="1">
      <c r="A15" s="1"/>
      <c r="B15" s="1" t="s">
        <v>498</v>
      </c>
      <c r="C15" s="80">
        <v>46241</v>
      </c>
      <c r="D15" s="81" t="s">
        <v>499</v>
      </c>
      <c r="E15" s="81" t="s">
        <v>500</v>
      </c>
      <c r="F15" s="1" t="s">
        <v>501</v>
      </c>
    </row>
    <row r="16" ht="37.5" customHeight="1">
      <c r="A16" s="1"/>
      <c r="B16" s="1" t="s">
        <v>502</v>
      </c>
      <c r="C16" s="80">
        <v>45952</v>
      </c>
      <c r="D16" s="81" t="s">
        <v>503</v>
      </c>
      <c r="E16" s="81" t="s">
        <v>504</v>
      </c>
      <c r="F16" s="1" t="s">
        <v>505</v>
      </c>
    </row>
    <row r="17" ht="26.25" customHeight="1">
      <c r="A17" s="1"/>
      <c r="B17" s="1" t="s">
        <v>506</v>
      </c>
      <c r="C17" s="80">
        <v>46050</v>
      </c>
      <c r="D17" s="81" t="s">
        <v>507</v>
      </c>
      <c r="E17" s="81" t="s">
        <v>508</v>
      </c>
      <c r="F17" s="1" t="s">
        <v>509</v>
      </c>
    </row>
    <row r="18" ht="26.25" customHeight="1">
      <c r="A18" s="1"/>
      <c r="B18" s="1" t="s">
        <v>510</v>
      </c>
      <c r="C18" s="80">
        <v>46135</v>
      </c>
      <c r="D18" s="81" t="s">
        <v>511</v>
      </c>
      <c r="E18" s="81" t="s">
        <v>512</v>
      </c>
      <c r="F18" s="1" t="s">
        <v>513</v>
      </c>
    </row>
    <row r="19" ht="26.25" customHeight="1">
      <c r="A19" s="1"/>
      <c r="B19" s="1" t="s">
        <v>372</v>
      </c>
      <c r="C19" s="80">
        <v>46241</v>
      </c>
      <c r="D19" s="81" t="s">
        <v>514</v>
      </c>
      <c r="E19" s="81" t="s">
        <v>515</v>
      </c>
      <c r="F19" s="1" t="s">
        <v>516</v>
      </c>
    </row>
    <row r="20" ht="37.5" customHeight="1">
      <c r="A20" s="1"/>
      <c r="B20" s="1" t="s">
        <v>425</v>
      </c>
      <c r="C20" s="80">
        <v>45868</v>
      </c>
      <c r="D20" s="81" t="s">
        <v>517</v>
      </c>
      <c r="E20" s="81" t="s">
        <v>518</v>
      </c>
      <c r="F20" s="1" t="s">
        <v>519</v>
      </c>
    </row>
    <row r="21" ht="37.5" customHeight="1">
      <c r="A21" s="1"/>
      <c r="B21" s="1" t="s">
        <v>520</v>
      </c>
      <c r="C21" s="80">
        <v>46295</v>
      </c>
      <c r="D21" s="81" t="s">
        <v>488</v>
      </c>
      <c r="E21" s="81" t="s">
        <v>521</v>
      </c>
      <c r="F21" s="1" t="s">
        <v>522</v>
      </c>
    </row>
    <row r="22" ht="26.25" customHeight="1">
      <c r="A22" s="1"/>
      <c r="B22" s="1" t="s">
        <v>523</v>
      </c>
      <c r="C22" s="80">
        <v>46274</v>
      </c>
      <c r="D22" s="81" t="s">
        <v>524</v>
      </c>
      <c r="E22" s="81" t="s">
        <v>525</v>
      </c>
      <c r="F22" s="1" t="s">
        <v>526</v>
      </c>
    </row>
    <row r="23" ht="26.25" customHeight="1">
      <c r="A23" s="1"/>
      <c r="B23" s="1" t="s">
        <v>527</v>
      </c>
      <c r="C23" s="80">
        <v>46311</v>
      </c>
      <c r="D23" s="81" t="s">
        <v>528</v>
      </c>
      <c r="E23" s="81" t="s">
        <v>529</v>
      </c>
      <c r="F23" s="1" t="s">
        <v>530</v>
      </c>
    </row>
    <row r="24" ht="48.75" customHeight="1">
      <c r="A24" s="1"/>
      <c r="B24" s="1" t="s">
        <v>531</v>
      </c>
      <c r="C24" s="80">
        <v>46087</v>
      </c>
      <c r="D24" s="81" t="s">
        <v>532</v>
      </c>
      <c r="E24" s="81" t="s">
        <v>533</v>
      </c>
      <c r="F24" s="1" t="s">
        <v>534</v>
      </c>
    </row>
    <row r="25" ht="15" customHeight="1">
      <c r="A25" s="1"/>
      <c r="B25" s="1" t="s">
        <v>535</v>
      </c>
      <c r="C25" s="80">
        <v>46310</v>
      </c>
      <c r="D25" s="81" t="s">
        <v>536</v>
      </c>
      <c r="E25" s="81" t="s">
        <v>537</v>
      </c>
      <c r="F25" s="1" t="s">
        <v>538</v>
      </c>
    </row>
    <row r="26" ht="37.5" customHeight="1">
      <c r="A26" s="1"/>
      <c r="B26" s="1" t="s">
        <v>539</v>
      </c>
      <c r="C26" s="80">
        <v>46309</v>
      </c>
      <c r="D26" s="81" t="s">
        <v>540</v>
      </c>
      <c r="E26" s="81" t="s">
        <v>541</v>
      </c>
      <c r="F26" s="1" t="s">
        <v>542</v>
      </c>
    </row>
    <row r="27" ht="37.5" customHeight="1">
      <c r="A27" s="1"/>
      <c r="B27" s="1" t="s">
        <v>543</v>
      </c>
      <c r="C27" s="80">
        <v>46295</v>
      </c>
      <c r="D27" s="81" t="s">
        <v>544</v>
      </c>
      <c r="E27" s="81" t="s">
        <v>545</v>
      </c>
      <c r="F27" s="1" t="s">
        <v>546</v>
      </c>
    </row>
    <row r="28" ht="26.25" customHeight="1">
      <c r="A28" s="1"/>
      <c r="B28" s="1" t="s">
        <v>547</v>
      </c>
      <c r="C28" s="80">
        <v>46259</v>
      </c>
      <c r="D28" s="81" t="s">
        <v>548</v>
      </c>
      <c r="E28" s="81" t="s">
        <v>549</v>
      </c>
      <c r="F28" s="1" t="s">
        <v>550</v>
      </c>
    </row>
    <row r="29" ht="37.5" customHeight="1">
      <c r="A29" s="1"/>
      <c r="B29" s="1" t="s">
        <v>551</v>
      </c>
      <c r="C29" s="80">
        <v>46309</v>
      </c>
      <c r="D29" s="81" t="s">
        <v>552</v>
      </c>
      <c r="E29" s="81" t="s">
        <v>553</v>
      </c>
      <c r="F29" s="1" t="s">
        <v>554</v>
      </c>
    </row>
    <row r="30" ht="60" customHeight="1">
      <c r="A30" s="1"/>
      <c r="B30" s="1" t="s">
        <v>555</v>
      </c>
      <c r="C30" s="80">
        <v>46309</v>
      </c>
      <c r="D30" s="81" t="s">
        <v>556</v>
      </c>
      <c r="E30" s="81" t="s">
        <v>557</v>
      </c>
      <c r="F30" s="81" t="s">
        <v>558</v>
      </c>
    </row>
    <row r="31" ht="37.5" customHeight="1">
      <c r="A31" s="1"/>
      <c r="B31" s="1" t="s">
        <v>559</v>
      </c>
      <c r="C31" s="80">
        <v>46274</v>
      </c>
      <c r="D31" s="81" t="s">
        <v>560</v>
      </c>
      <c r="E31" s="81" t="s">
        <v>561</v>
      </c>
      <c r="F31" s="1" t="s">
        <v>562</v>
      </c>
    </row>
    <row r="32" ht="15" customHeight="1">
      <c r="A32" s="1"/>
      <c r="B32" s="1" t="s">
        <v>563</v>
      </c>
      <c r="C32" s="80">
        <v>46308</v>
      </c>
      <c r="D32" s="81" t="s">
        <v>564</v>
      </c>
      <c r="E32" s="81" t="s">
        <v>565</v>
      </c>
      <c r="F32" s="1" t="s">
        <v>566</v>
      </c>
    </row>
    <row r="33" ht="26.25" customHeight="1">
      <c r="A33" s="1"/>
      <c r="B33" s="1" t="s">
        <v>567</v>
      </c>
      <c r="C33" s="80">
        <v>46247</v>
      </c>
      <c r="D33" s="81" t="s">
        <v>568</v>
      </c>
      <c r="E33" s="81" t="s">
        <v>569</v>
      </c>
      <c r="F33" s="1" t="s">
        <v>570</v>
      </c>
    </row>
    <row r="34" ht="15" customHeight="1">
      <c r="A34" s="1"/>
      <c r="B34" s="1"/>
      <c r="C34" s="25"/>
      <c r="D34" s="1"/>
      <c r="E34" s="1"/>
      <c r="F34" s="1"/>
    </row>
    <row r="35" ht="15" customHeight="1">
      <c r="A35" s="1"/>
      <c r="B35" s="1" t="s">
        <v>571</v>
      </c>
      <c r="C35" s="1"/>
      <c r="D35" s="1"/>
      <c r="E35" s="1"/>
      <c r="F35" s="1"/>
    </row>
    <row r="36" ht="15" customHeight="1">
      <c r="A36" s="1"/>
      <c r="B36" s="1" t="s">
        <v>572</v>
      </c>
      <c r="C36" s="1"/>
      <c r="D36" s="1"/>
      <c r="E36" s="1"/>
      <c r="F36" s="1"/>
    </row>
    <row r="37" ht="15" customHeight="1">
      <c r="A37" s="1"/>
      <c r="B37" s="1" t="s">
        <v>573</v>
      </c>
      <c r="C37" s="1"/>
      <c r="D37" s="1"/>
      <c r="E37" s="1"/>
      <c r="F37" s="1"/>
    </row>
    <row r="38" ht="15" customHeight="1">
      <c r="A38" s="1"/>
      <c r="B38" s="1" t="s">
        <v>574</v>
      </c>
      <c r="C38" s="1"/>
      <c r="D38" s="1"/>
      <c r="E38" s="1"/>
      <c r="F38" s="1"/>
    </row>
    <row r="39" ht="15" customHeight="1">
      <c r="A39" s="1"/>
      <c r="B39" s="1"/>
      <c r="C39" s="1"/>
      <c r="D39" s="1"/>
      <c r="E39" s="1"/>
      <c r="F39" s="1"/>
    </row>
    <row r="40" ht="15" customHeight="1">
      <c r="A40" s="1"/>
      <c r="B40" s="1"/>
      <c r="C40" s="1"/>
      <c r="D40" s="1"/>
      <c r="E40" s="1"/>
      <c r="F40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745B224-DAC6-F7B8-8968-64D134B5FA5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3" width="16.00390625" customWidth="1"/>
    <col min="4" max="4" width="26.00390625" customWidth="1"/>
    <col min="5" max="5" width="23.00390625" customWidth="1"/>
    <col min="6" max="6" width="20.00390625" customWidth="1"/>
    <col min="7" max="7" width="17.00390625" customWidth="1"/>
    <col min="8" max="8" width="21.00390625" customWidth="1"/>
    <col min="9" max="9" width="18.00390625" customWidth="1"/>
    <col min="10" max="10" width="17.00390625" customWidth="1"/>
    <col min="11" max="11" width="13.00390625" customWidth="1"/>
    <col min="12" max="12" width="17.00390625" customWidth="1"/>
    <col min="13" max="13" width="2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575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3</v>
      </c>
      <c r="C5" s="6" t="s">
        <v>4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ht="15" customHeight="1">
      <c r="A6" s="1"/>
      <c r="B6" s="7" t="s">
        <v>5</v>
      </c>
      <c r="C6" s="8">
        <v>46292</v>
      </c>
      <c r="D6" s="7"/>
      <c r="E6" s="7"/>
      <c r="F6" s="7"/>
      <c r="G6" s="7"/>
      <c r="H6" s="7"/>
      <c r="I6" s="7"/>
      <c r="J6" s="7"/>
      <c r="K6" s="7"/>
      <c r="L6" s="7"/>
      <c r="M6" s="7"/>
    </row>
    <row r="7" ht="15" customHeight="1">
      <c r="A7" s="1"/>
      <c r="B7" s="9" t="s">
        <v>6</v>
      </c>
      <c r="C7" s="10">
        <v>91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15" customHeight="1">
      <c r="A9" s="1"/>
      <c r="B9" s="3" t="s">
        <v>576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ht="15" customHeight="1">
      <c r="A10" s="1"/>
      <c r="B10" s="1" t="s">
        <v>577</v>
      </c>
      <c r="C10" s="25" t="s">
        <v>482</v>
      </c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15" customHeight="1">
      <c r="A11" s="1"/>
      <c r="B11" s="1" t="s">
        <v>578</v>
      </c>
      <c r="C11" s="25" t="s">
        <v>579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15" customHeight="1">
      <c r="A12" s="1"/>
      <c r="B12" s="1" t="s">
        <v>580</v>
      </c>
      <c r="C12" s="82" t="s">
        <v>9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15" customHeight="1">
      <c r="A13" s="1"/>
      <c r="B13" s="1" t="s">
        <v>581</v>
      </c>
      <c r="C13" s="82" t="s">
        <v>582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15" customHeight="1">
      <c r="A14" s="1"/>
      <c r="B14" s="1" t="s">
        <v>583</v>
      </c>
      <c r="C14" s="78">
        <v>46295</v>
      </c>
      <c r="D14" s="1"/>
      <c r="E14" s="1"/>
      <c r="F14" s="1"/>
      <c r="G14" s="1"/>
      <c r="H14" s="1"/>
      <c r="I14" s="1"/>
      <c r="J14" s="1"/>
      <c r="K14" s="1"/>
      <c r="L14" s="1"/>
      <c r="M14" s="1"/>
    </row>
    <row r="15" ht="15" customHeight="1">
      <c r="A15" s="1"/>
      <c r="B15" s="1" t="s">
        <v>584</v>
      </c>
      <c r="C15" s="78">
        <v>46313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ht="15" customHeight="1">
      <c r="A16" s="1"/>
      <c r="B16" s="1" t="s">
        <v>585</v>
      </c>
      <c r="C16" s="83">
        <v>25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ht="15" customHeight="1">
      <c r="A17" s="1"/>
      <c r="B17" s="1" t="s">
        <v>586</v>
      </c>
      <c r="C17" s="83">
        <v>2.18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ht="15" customHeight="1">
      <c r="A18" s="1"/>
      <c r="B18" s="1" t="s">
        <v>587</v>
      </c>
      <c r="C18" s="82" t="s">
        <v>588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ht="15" customHeight="1">
      <c r="A19" s="1"/>
      <c r="B19" s="1" t="s">
        <v>589</v>
      </c>
      <c r="C19" s="83">
        <v>8133.72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15" customHeight="1">
      <c r="A20" s="1"/>
      <c r="B20" s="1" t="s">
        <v>590</v>
      </c>
      <c r="C20" s="25" t="s">
        <v>591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ht="15" customHeight="1">
      <c r="A21" s="1"/>
      <c r="B21" s="1" t="s">
        <v>592</v>
      </c>
      <c r="C21" s="82" t="s">
        <v>593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ht="15" customHeight="1">
      <c r="A22" s="1"/>
      <c r="B22" s="1" t="s">
        <v>594</v>
      </c>
      <c r="C22" s="82" t="s">
        <v>595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ht="15" customHeight="1">
      <c r="A23" s="1"/>
      <c r="B23" s="1" t="s">
        <v>596</v>
      </c>
      <c r="C23" s="25" t="s">
        <v>591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ht="15" customHeight="1">
      <c r="A24" s="1"/>
      <c r="B24" s="1"/>
      <c r="C24" s="25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ht="15" customHeight="1">
      <c r="A25" s="1"/>
      <c r="B25" s="3" t="s">
        <v>597</v>
      </c>
      <c r="C25" s="25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ht="15" customHeight="1">
      <c r="A26" s="1"/>
      <c r="B26" s="1" t="s">
        <v>578</v>
      </c>
      <c r="C26" s="25" t="s">
        <v>579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ht="15" customHeight="1">
      <c r="A27" s="1"/>
      <c r="B27" s="1" t="s">
        <v>598</v>
      </c>
      <c r="C27" s="82" t="s">
        <v>9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ht="15" customHeight="1">
      <c r="A28" s="1"/>
      <c r="B28" s="1" t="s">
        <v>599</v>
      </c>
      <c r="C28" s="25" t="s">
        <v>600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ht="15" customHeight="1">
      <c r="A29" s="1"/>
      <c r="B29" s="1" t="s">
        <v>601</v>
      </c>
      <c r="C29" s="83">
        <v>30655</v>
      </c>
      <c r="D29" s="1"/>
      <c r="E29" s="1"/>
      <c r="F29" s="1"/>
      <c r="G29" s="1"/>
      <c r="H29" s="1"/>
      <c r="I29" s="1"/>
      <c r="J29" s="1"/>
      <c r="K29" s="1"/>
      <c r="L29" s="1"/>
      <c r="M29" s="1"/>
    </row>
    <row r="30" ht="15" customHeight="1">
      <c r="A30" s="1"/>
      <c r="B30" s="1" t="s">
        <v>602</v>
      </c>
      <c r="C30" s="25" t="s">
        <v>591</v>
      </c>
      <c r="D30" s="1"/>
      <c r="E30" s="1"/>
      <c r="F30" s="1"/>
      <c r="G30" s="1"/>
      <c r="H30" s="1"/>
      <c r="I30" s="1"/>
      <c r="J30" s="1"/>
      <c r="K30" s="1"/>
      <c r="L30" s="1"/>
      <c r="M30" s="1"/>
    </row>
    <row r="31" ht="15" customHeight="1">
      <c r="A31" s="1"/>
      <c r="B31" s="1" t="s">
        <v>603</v>
      </c>
      <c r="C31" s="25" t="s">
        <v>604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 ht="15" customHeight="1">
      <c r="A32" s="1"/>
      <c r="B32" s="1" t="s">
        <v>605</v>
      </c>
      <c r="C32" s="82" t="s">
        <v>582</v>
      </c>
      <c r="D32" s="1"/>
      <c r="E32" s="1"/>
      <c r="F32" s="1"/>
      <c r="G32" s="1"/>
      <c r="H32" s="1"/>
      <c r="I32" s="1"/>
      <c r="J32" s="1"/>
      <c r="K32" s="1"/>
      <c r="L32" s="1"/>
      <c r="M32" s="1"/>
    </row>
    <row r="33" ht="15" customHeight="1">
      <c r="A33" s="1"/>
      <c r="B33" s="1" t="s">
        <v>606</v>
      </c>
      <c r="C33" s="78">
        <v>46295</v>
      </c>
      <c r="D33" s="1"/>
      <c r="E33" s="1"/>
      <c r="F33" s="1"/>
      <c r="G33" s="1"/>
      <c r="H33" s="1"/>
      <c r="I33" s="1"/>
      <c r="J33" s="1"/>
      <c r="K33" s="1"/>
      <c r="L33" s="1"/>
      <c r="M33" s="1"/>
    </row>
    <row r="34" ht="15" customHeight="1">
      <c r="A34" s="1"/>
      <c r="B34" s="1" t="s">
        <v>607</v>
      </c>
      <c r="C34" s="78">
        <v>46318</v>
      </c>
      <c r="D34" s="1"/>
      <c r="E34" s="1"/>
      <c r="F34" s="1"/>
      <c r="G34" s="1"/>
      <c r="H34" s="1"/>
      <c r="I34" s="1"/>
      <c r="J34" s="1"/>
      <c r="K34" s="1"/>
      <c r="L34" s="1"/>
      <c r="M34" s="1"/>
    </row>
    <row r="35" ht="15" customHeight="1">
      <c r="A35" s="1"/>
      <c r="B35" s="1" t="s">
        <v>587</v>
      </c>
      <c r="C35" s="82" t="s">
        <v>608</v>
      </c>
      <c r="D35" s="1"/>
      <c r="E35" s="1"/>
      <c r="F35" s="1"/>
      <c r="G35" s="1"/>
      <c r="H35" s="1"/>
      <c r="I35" s="1"/>
      <c r="J35" s="1"/>
      <c r="K35" s="1"/>
      <c r="L35" s="1"/>
      <c r="M35" s="1"/>
    </row>
    <row r="36" ht="15" customHeight="1">
      <c r="A36" s="1"/>
      <c r="B36" s="1" t="s">
        <v>609</v>
      </c>
      <c r="C36" s="83">
        <v>25</v>
      </c>
      <c r="D36" s="1"/>
      <c r="E36" s="1"/>
      <c r="F36" s="1"/>
      <c r="G36" s="1"/>
      <c r="H36" s="1"/>
      <c r="I36" s="1"/>
      <c r="J36" s="1"/>
      <c r="K36" s="1"/>
      <c r="L36" s="1"/>
      <c r="M36" s="1"/>
    </row>
    <row r="37" ht="15" customHeight="1">
      <c r="A37" s="1"/>
      <c r="B37" s="1" t="s">
        <v>610</v>
      </c>
      <c r="C37" s="83">
        <v>26</v>
      </c>
      <c r="D37" s="1"/>
      <c r="E37" s="1"/>
      <c r="F37" s="1"/>
      <c r="G37" s="1"/>
      <c r="H37" s="1"/>
      <c r="I37" s="1"/>
      <c r="J37" s="1"/>
      <c r="K37" s="1"/>
      <c r="L37" s="1"/>
      <c r="M37" s="1"/>
    </row>
    <row r="38" ht="15" customHeight="1">
      <c r="A38" s="1"/>
      <c r="B38" s="1" t="s">
        <v>611</v>
      </c>
      <c r="C38" s="83">
        <v>35</v>
      </c>
      <c r="D38" s="1"/>
      <c r="E38" s="1"/>
      <c r="F38" s="1"/>
      <c r="G38" s="1"/>
      <c r="H38" s="1"/>
      <c r="I38" s="1"/>
      <c r="J38" s="1"/>
      <c r="K38" s="1"/>
      <c r="L38" s="1"/>
      <c r="M38" s="1"/>
    </row>
    <row r="39" ht="15" customHeight="1">
      <c r="A39" s="1"/>
      <c r="B39" s="1" t="s">
        <v>612</v>
      </c>
      <c r="C39" s="83">
        <v>2.18</v>
      </c>
      <c r="D39" s="1"/>
      <c r="E39" s="1"/>
      <c r="F39" s="1"/>
      <c r="G39" s="1"/>
      <c r="H39" s="1"/>
      <c r="I39" s="1"/>
      <c r="J39" s="1"/>
      <c r="K39" s="1"/>
      <c r="L39" s="1"/>
      <c r="M39" s="1"/>
    </row>
    <row r="40" ht="15" customHeight="1">
      <c r="A40" s="1"/>
      <c r="B40" s="1" t="s">
        <v>613</v>
      </c>
      <c r="C40" s="83">
        <v>2.16</v>
      </c>
      <c r="D40" s="1"/>
      <c r="E40" s="1"/>
      <c r="F40" s="1"/>
      <c r="G40" s="1"/>
      <c r="H40" s="1"/>
      <c r="I40" s="1"/>
      <c r="J40" s="1"/>
      <c r="K40" s="1"/>
      <c r="L40" s="1"/>
      <c r="M40" s="1"/>
    </row>
    <row r="41" ht="15" customHeight="1">
      <c r="A41" s="1"/>
      <c r="B41" s="1" t="s">
        <v>614</v>
      </c>
      <c r="C41" s="83">
        <v>2.28</v>
      </c>
      <c r="D41" s="1"/>
      <c r="E41" s="1"/>
      <c r="F41" s="1"/>
      <c r="G41" s="1"/>
      <c r="H41" s="1"/>
      <c r="I41" s="1"/>
      <c r="J41" s="1"/>
      <c r="K41" s="1"/>
      <c r="L41" s="1"/>
      <c r="M41" s="1"/>
    </row>
    <row r="42" ht="15" customHeight="1">
      <c r="A42" s="1"/>
      <c r="B42" s="1" t="s">
        <v>615</v>
      </c>
      <c r="C42" s="83">
        <v>2.09</v>
      </c>
      <c r="D42" s="1"/>
      <c r="E42" s="1"/>
      <c r="F42" s="1"/>
      <c r="G42" s="1"/>
      <c r="H42" s="1"/>
      <c r="I42" s="1"/>
      <c r="J42" s="1"/>
      <c r="K42" s="1"/>
      <c r="L42" s="1"/>
      <c r="M42" s="1"/>
    </row>
    <row r="43" ht="15" customHeight="1">
      <c r="A43" s="1"/>
      <c r="B43" s="1" t="s">
        <v>616</v>
      </c>
      <c r="C43" s="83">
        <v>0.05</v>
      </c>
      <c r="D43" s="1"/>
      <c r="E43" s="1"/>
      <c r="F43" s="1"/>
      <c r="G43" s="1"/>
      <c r="H43" s="1"/>
      <c r="I43" s="1"/>
      <c r="J43" s="1"/>
      <c r="K43" s="1"/>
      <c r="L43" s="1"/>
      <c r="M43" s="1"/>
    </row>
    <row r="44" ht="15" customHeight="1">
      <c r="A44" s="1"/>
      <c r="B44" s="1" t="s">
        <v>617</v>
      </c>
      <c r="C44" s="83">
        <v>25</v>
      </c>
      <c r="D44" s="1"/>
      <c r="E44" s="1"/>
      <c r="F44" s="1"/>
      <c r="G44" s="1"/>
      <c r="H44" s="1"/>
      <c r="I44" s="1"/>
      <c r="J44" s="1"/>
      <c r="K44" s="1"/>
      <c r="L44" s="1"/>
      <c r="M44" s="1"/>
    </row>
    <row r="45" ht="15" customHeight="1">
      <c r="A45" s="1"/>
      <c r="B45" s="1" t="s">
        <v>618</v>
      </c>
      <c r="C45" s="25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ht="15" customHeight="1">
      <c r="A46" s="1"/>
      <c r="B46" s="1" t="s">
        <v>619</v>
      </c>
      <c r="C46" s="83">
        <v>2</v>
      </c>
      <c r="D46" s="1"/>
      <c r="E46" s="1"/>
      <c r="F46" s="1"/>
      <c r="G46" s="1"/>
      <c r="H46" s="1"/>
      <c r="I46" s="1"/>
      <c r="J46" s="1"/>
      <c r="K46" s="1"/>
      <c r="L46" s="1"/>
      <c r="M46" s="1"/>
    </row>
    <row r="47" ht="15" customHeight="1">
      <c r="A47" s="1"/>
      <c r="B47" s="1" t="s">
        <v>620</v>
      </c>
      <c r="C47" s="83">
        <v>2.3</v>
      </c>
      <c r="D47" s="1"/>
      <c r="E47" s="1"/>
      <c r="F47" s="1"/>
      <c r="G47" s="1"/>
      <c r="H47" s="1"/>
      <c r="I47" s="1"/>
      <c r="J47" s="1"/>
      <c r="K47" s="1"/>
      <c r="L47" s="1"/>
      <c r="M47" s="1"/>
    </row>
    <row r="48" ht="15" customHeight="1">
      <c r="A48" s="1"/>
      <c r="B48" s="1" t="s">
        <v>621</v>
      </c>
      <c r="C48" s="83">
        <v>2.18</v>
      </c>
      <c r="D48" s="1"/>
      <c r="E48" s="1"/>
      <c r="F48" s="1"/>
      <c r="G48" s="1"/>
      <c r="H48" s="1"/>
      <c r="I48" s="1"/>
      <c r="J48" s="1"/>
      <c r="K48" s="1"/>
      <c r="L48" s="1"/>
      <c r="M48" s="1"/>
    </row>
    <row r="49" ht="15" customHeight="1">
      <c r="A49" s="1"/>
      <c r="B49" s="1" t="s">
        <v>622</v>
      </c>
      <c r="C49" s="83">
        <v>2.17</v>
      </c>
      <c r="D49" s="1"/>
      <c r="E49" s="1"/>
      <c r="F49" s="1"/>
      <c r="G49" s="1"/>
      <c r="H49" s="1"/>
      <c r="I49" s="1"/>
      <c r="J49" s="1"/>
      <c r="K49" s="1"/>
      <c r="L49" s="1"/>
      <c r="M49" s="1"/>
    </row>
    <row r="50" ht="15" customHeight="1">
      <c r="A50" s="1"/>
      <c r="B50" s="1" t="s">
        <v>623</v>
      </c>
      <c r="C50" s="83">
        <v>2.28</v>
      </c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" customHeight="1">
      <c r="A51" s="1"/>
      <c r="B51" s="1" t="s">
        <v>624</v>
      </c>
      <c r="C51" s="83">
        <v>2.09</v>
      </c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" customHeight="1">
      <c r="A52" s="1"/>
      <c r="B52" s="1" t="s">
        <v>625</v>
      </c>
      <c r="C52" s="83">
        <v>0.05</v>
      </c>
      <c r="D52" s="1"/>
      <c r="E52" s="1"/>
      <c r="F52" s="1"/>
      <c r="G52" s="1"/>
      <c r="H52" s="1"/>
      <c r="I52" s="1"/>
      <c r="J52" s="1"/>
      <c r="K52" s="1"/>
      <c r="L52" s="1"/>
      <c r="M52" s="1"/>
    </row>
    <row r="53" ht="15" customHeight="1">
      <c r="A53" s="1"/>
      <c r="B53" s="1" t="s">
        <v>626</v>
      </c>
      <c r="C53" s="83">
        <v>18</v>
      </c>
      <c r="D53" s="1"/>
      <c r="E53" s="1"/>
      <c r="F53" s="1"/>
      <c r="G53" s="1"/>
      <c r="H53" s="1"/>
      <c r="I53" s="1"/>
      <c r="J53" s="1"/>
      <c r="K53" s="1"/>
      <c r="L53" s="1"/>
      <c r="M53" s="1"/>
    </row>
    <row r="54" ht="15" customHeight="1">
      <c r="A54" s="1"/>
      <c r="B54" s="1" t="s">
        <v>627</v>
      </c>
      <c r="C54" s="25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ht="15" customHeight="1">
      <c r="A55" s="1"/>
      <c r="B55" s="1" t="s">
        <v>628</v>
      </c>
      <c r="C55" s="83">
        <v>2</v>
      </c>
      <c r="D55" s="1"/>
      <c r="E55" s="1"/>
      <c r="F55" s="1"/>
      <c r="G55" s="1"/>
      <c r="H55" s="1"/>
      <c r="I55" s="1"/>
      <c r="J55" s="1"/>
      <c r="K55" s="1"/>
      <c r="L55" s="1"/>
      <c r="M55" s="1"/>
    </row>
    <row r="56" ht="15" customHeight="1">
      <c r="A56" s="1"/>
      <c r="B56" s="1" t="s">
        <v>629</v>
      </c>
      <c r="C56" s="83">
        <v>2.3</v>
      </c>
      <c r="D56" s="1"/>
      <c r="E56" s="1"/>
      <c r="F56" s="1"/>
      <c r="G56" s="1"/>
      <c r="H56" s="1"/>
      <c r="I56" s="1"/>
      <c r="J56" s="1"/>
      <c r="K56" s="1"/>
      <c r="L56" s="1"/>
      <c r="M56" s="1"/>
    </row>
    <row r="57" ht="15" customHeight="1">
      <c r="A57" s="1"/>
      <c r="B57" s="1" t="s">
        <v>630</v>
      </c>
      <c r="C57" s="83">
        <v>8133.72</v>
      </c>
      <c r="D57" s="1"/>
      <c r="E57" s="1"/>
      <c r="F57" s="1"/>
      <c r="G57" s="1"/>
      <c r="H57" s="1"/>
      <c r="I57" s="1"/>
      <c r="J57" s="1"/>
      <c r="K57" s="1"/>
      <c r="L57" s="1"/>
      <c r="M57" s="1"/>
    </row>
    <row r="58" ht="15" customHeight="1">
      <c r="A58" s="1"/>
      <c r="B58" s="1" t="s">
        <v>631</v>
      </c>
      <c r="C58" s="83">
        <v>8103.05</v>
      </c>
      <c r="D58" s="1"/>
      <c r="E58" s="1"/>
      <c r="F58" s="1"/>
      <c r="G58" s="1"/>
      <c r="H58" s="1"/>
      <c r="I58" s="1"/>
      <c r="J58" s="1"/>
      <c r="K58" s="1"/>
      <c r="L58" s="1"/>
      <c r="M58" s="1"/>
    </row>
    <row r="59" ht="15" customHeight="1">
      <c r="A59" s="1"/>
      <c r="B59" s="1" t="s">
        <v>632</v>
      </c>
      <c r="C59" s="83">
        <v>8394</v>
      </c>
      <c r="D59" s="1"/>
      <c r="E59" s="1"/>
      <c r="F59" s="1"/>
      <c r="G59" s="1"/>
      <c r="H59" s="1"/>
      <c r="I59" s="1"/>
      <c r="J59" s="1"/>
      <c r="K59" s="1"/>
      <c r="L59" s="1"/>
      <c r="M59" s="1"/>
    </row>
    <row r="60" ht="15" customHeight="1">
      <c r="A60" s="1"/>
      <c r="B60" s="1" t="s">
        <v>633</v>
      </c>
      <c r="C60" s="83">
        <v>7891</v>
      </c>
      <c r="D60" s="1"/>
      <c r="E60" s="1"/>
      <c r="F60" s="1"/>
      <c r="G60" s="1"/>
      <c r="H60" s="1"/>
      <c r="I60" s="1"/>
      <c r="J60" s="1"/>
      <c r="K60" s="1"/>
      <c r="L60" s="1"/>
      <c r="M60" s="1"/>
    </row>
    <row r="61" ht="15" customHeight="1">
      <c r="A61" s="1"/>
      <c r="B61" s="1" t="s">
        <v>634</v>
      </c>
      <c r="C61" s="83">
        <v>89.93</v>
      </c>
      <c r="D61" s="1"/>
      <c r="E61" s="1"/>
      <c r="F61" s="1"/>
      <c r="G61" s="1"/>
      <c r="H61" s="1"/>
      <c r="I61" s="1"/>
      <c r="J61" s="1"/>
      <c r="K61" s="1"/>
      <c r="L61" s="1"/>
      <c r="M61" s="1"/>
    </row>
    <row r="62" ht="15" customHeight="1">
      <c r="A62" s="1"/>
      <c r="B62" s="1" t="s">
        <v>635</v>
      </c>
      <c r="C62" s="83">
        <v>24</v>
      </c>
      <c r="D62" s="1"/>
      <c r="E62" s="1"/>
      <c r="F62" s="1"/>
      <c r="G62" s="1"/>
      <c r="H62" s="1"/>
      <c r="I62" s="1"/>
      <c r="J62" s="1"/>
      <c r="K62" s="1"/>
      <c r="L62" s="1"/>
      <c r="M62" s="1"/>
    </row>
    <row r="63" ht="15" customHeight="1">
      <c r="A63" s="1"/>
      <c r="B63" s="1" t="s">
        <v>636</v>
      </c>
      <c r="C63" s="25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ht="15" customHeight="1">
      <c r="A64" s="1"/>
      <c r="B64" s="1" t="s">
        <v>637</v>
      </c>
      <c r="C64" s="83">
        <v>7700</v>
      </c>
      <c r="D64" s="1"/>
      <c r="E64" s="1"/>
      <c r="F64" s="1"/>
      <c r="G64" s="1"/>
      <c r="H64" s="1"/>
      <c r="I64" s="1"/>
      <c r="J64" s="1"/>
      <c r="K64" s="1"/>
      <c r="L64" s="1"/>
      <c r="M64" s="1"/>
    </row>
    <row r="65" ht="15" customHeight="1">
      <c r="A65" s="1"/>
      <c r="B65" s="1" t="s">
        <v>638</v>
      </c>
      <c r="C65" s="83">
        <v>8500</v>
      </c>
      <c r="D65" s="1"/>
      <c r="E65" s="1"/>
      <c r="F65" s="1"/>
      <c r="G65" s="1"/>
      <c r="H65" s="1"/>
      <c r="I65" s="1"/>
      <c r="J65" s="1"/>
      <c r="K65" s="1"/>
      <c r="L65" s="1"/>
      <c r="M65" s="1"/>
    </row>
    <row r="66" ht="15" customHeight="1">
      <c r="A66" s="1"/>
      <c r="B66" s="1" t="s">
        <v>639</v>
      </c>
      <c r="C66" s="83">
        <v>3338.02</v>
      </c>
      <c r="D66" s="1" t="s">
        <v>640</v>
      </c>
      <c r="E66" s="1"/>
      <c r="F66" s="1"/>
      <c r="G66" s="1"/>
      <c r="H66" s="1"/>
      <c r="I66" s="1"/>
      <c r="J66" s="1"/>
      <c r="K66" s="1"/>
      <c r="L66" s="1"/>
      <c r="M66" s="1"/>
    </row>
    <row r="67" ht="15" customHeight="1">
      <c r="A67" s="1"/>
      <c r="B67" s="1" t="s">
        <v>641</v>
      </c>
      <c r="C67" s="83">
        <v>3210.41</v>
      </c>
      <c r="D67" s="1"/>
      <c r="E67" s="1"/>
      <c r="F67" s="1"/>
      <c r="G67" s="1"/>
      <c r="H67" s="1"/>
      <c r="I67" s="1"/>
      <c r="J67" s="1"/>
      <c r="K67" s="1"/>
      <c r="L67" s="1"/>
      <c r="M67" s="1"/>
    </row>
    <row r="68" ht="15" customHeight="1">
      <c r="A68" s="1"/>
      <c r="B68" s="1" t="s">
        <v>642</v>
      </c>
      <c r="C68" s="83">
        <v>3207.13</v>
      </c>
      <c r="D68" s="1"/>
      <c r="E68" s="1"/>
      <c r="F68" s="1"/>
      <c r="G68" s="1"/>
      <c r="H68" s="1"/>
      <c r="I68" s="1"/>
      <c r="J68" s="1"/>
      <c r="K68" s="1"/>
      <c r="L68" s="1"/>
      <c r="M68" s="1"/>
    </row>
    <row r="69" ht="15" customHeight="1">
      <c r="A69" s="1"/>
      <c r="B69" s="1" t="s">
        <v>643</v>
      </c>
      <c r="C69" s="83">
        <v>3253.6</v>
      </c>
      <c r="D69" s="1"/>
      <c r="E69" s="1"/>
      <c r="F69" s="1"/>
      <c r="G69" s="1"/>
      <c r="H69" s="1"/>
      <c r="I69" s="1"/>
      <c r="J69" s="1"/>
      <c r="K69" s="1"/>
      <c r="L69" s="1"/>
      <c r="M69" s="1"/>
    </row>
    <row r="70" ht="15" customHeight="1">
      <c r="A70" s="1"/>
      <c r="B70" s="1" t="s">
        <v>644</v>
      </c>
      <c r="C70" s="83">
        <v>2737.54</v>
      </c>
      <c r="D70" s="1"/>
      <c r="E70" s="1"/>
      <c r="F70" s="1"/>
      <c r="G70" s="1"/>
      <c r="H70" s="1"/>
      <c r="I70" s="1"/>
      <c r="J70" s="1"/>
      <c r="K70" s="1"/>
      <c r="L70" s="1"/>
      <c r="M70" s="1"/>
    </row>
    <row r="71" ht="15" customHeight="1">
      <c r="A71" s="1"/>
      <c r="B71" s="1" t="s">
        <v>645</v>
      </c>
      <c r="C71" s="83">
        <v>2730.83</v>
      </c>
      <c r="D71" s="1"/>
      <c r="E71" s="1"/>
      <c r="F71" s="1"/>
      <c r="G71" s="1"/>
      <c r="H71" s="1"/>
      <c r="I71" s="1"/>
      <c r="J71" s="1"/>
      <c r="K71" s="1"/>
      <c r="L71" s="1"/>
      <c r="M71" s="1"/>
    </row>
    <row r="72" ht="15" customHeight="1">
      <c r="A72" s="1"/>
      <c r="B72" s="1" t="s">
        <v>646</v>
      </c>
      <c r="C72" s="25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ht="15" customHeight="1">
      <c r="A73" s="1"/>
      <c r="B73" s="1" t="s">
        <v>647</v>
      </c>
      <c r="C73" s="25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ht="15" customHeight="1">
      <c r="A74" s="1"/>
      <c r="B74" s="1" t="s">
        <v>648</v>
      </c>
      <c r="C74" s="25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ht="15" customHeight="1">
      <c r="A75" s="1"/>
      <c r="B75" s="1" t="s">
        <v>649</v>
      </c>
      <c r="C75" s="25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ht="15" customHeight="1">
      <c r="A76" s="1"/>
      <c r="B76" s="1" t="s">
        <v>650</v>
      </c>
      <c r="C76" s="25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ht="15" customHeight="1">
      <c r="A77" s="1"/>
      <c r="B77" s="1" t="s">
        <v>651</v>
      </c>
      <c r="C77" s="25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ht="15" customHeight="1">
      <c r="A78" s="1"/>
      <c r="B78" s="1" t="s">
        <v>652</v>
      </c>
      <c r="C78" s="83">
        <v>-31.67</v>
      </c>
      <c r="D78" s="1"/>
      <c r="E78" s="1"/>
      <c r="F78" s="1"/>
      <c r="G78" s="1"/>
      <c r="H78" s="1"/>
      <c r="I78" s="1"/>
      <c r="J78" s="1"/>
      <c r="K78" s="1"/>
      <c r="L78" s="1"/>
      <c r="M78" s="1"/>
    </row>
    <row r="79" ht="15" customHeight="1">
      <c r="A79" s="1"/>
      <c r="B79" s="1" t="s">
        <v>653</v>
      </c>
      <c r="C79" s="83">
        <v>-2962.5</v>
      </c>
      <c r="D79" s="1"/>
      <c r="E79" s="1"/>
      <c r="F79" s="1"/>
      <c r="G79" s="1"/>
      <c r="H79" s="1"/>
      <c r="I79" s="1"/>
      <c r="J79" s="1"/>
      <c r="K79" s="1"/>
      <c r="L79" s="1"/>
      <c r="M79" s="1"/>
    </row>
    <row r="80" ht="15" customHeight="1">
      <c r="A80" s="1"/>
      <c r="B80" s="1" t="s">
        <v>654</v>
      </c>
      <c r="C80" s="25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ht="15" customHeight="1">
      <c r="A81" s="1"/>
      <c r="B81" s="1" t="s">
        <v>655</v>
      </c>
      <c r="C81" s="25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ht="15" customHeight="1">
      <c r="A82" s="1"/>
      <c r="B82" s="1" t="s">
        <v>656</v>
      </c>
      <c r="C82" s="83">
        <v>375.81</v>
      </c>
      <c r="D82" s="1"/>
      <c r="E82" s="1"/>
      <c r="F82" s="1"/>
      <c r="G82" s="1"/>
      <c r="H82" s="1"/>
      <c r="I82" s="1"/>
      <c r="J82" s="1"/>
      <c r="K82" s="1"/>
      <c r="L82" s="1"/>
      <c r="M82" s="1"/>
    </row>
    <row r="83" ht="15" customHeight="1">
      <c r="A83" s="1"/>
      <c r="B83" s="1" t="s">
        <v>657</v>
      </c>
      <c r="C83" s="83">
        <v>385</v>
      </c>
      <c r="D83" s="1"/>
      <c r="E83" s="1"/>
      <c r="F83" s="1"/>
      <c r="G83" s="1"/>
      <c r="H83" s="1"/>
      <c r="I83" s="1"/>
      <c r="J83" s="1"/>
      <c r="K83" s="1"/>
      <c r="L83" s="1"/>
      <c r="M83" s="1"/>
    </row>
    <row r="84" ht="15" customHeight="1">
      <c r="A84" s="1"/>
      <c r="B84" s="1" t="s">
        <v>658</v>
      </c>
      <c r="C84" s="83">
        <v>500</v>
      </c>
      <c r="D84" s="1"/>
      <c r="E84" s="1"/>
      <c r="F84" s="1"/>
      <c r="G84" s="1"/>
      <c r="H84" s="1"/>
      <c r="I84" s="1"/>
      <c r="J84" s="1"/>
      <c r="K84" s="1"/>
      <c r="L84" s="1"/>
      <c r="M84" s="1"/>
    </row>
    <row r="85" ht="15" customHeight="1">
      <c r="A85" s="1"/>
      <c r="B85" s="1" t="s">
        <v>659</v>
      </c>
      <c r="C85" s="83">
        <v>290</v>
      </c>
      <c r="D85" s="1"/>
      <c r="E85" s="1"/>
      <c r="F85" s="1"/>
      <c r="G85" s="1"/>
      <c r="H85" s="1"/>
      <c r="I85" s="1"/>
      <c r="J85" s="1"/>
      <c r="K85" s="1"/>
      <c r="L85" s="1"/>
      <c r="M85" s="1"/>
    </row>
    <row r="86" ht="15" customHeight="1">
      <c r="A86" s="1"/>
      <c r="B86" s="1" t="s">
        <v>660</v>
      </c>
      <c r="C86" s="83">
        <v>50.66</v>
      </c>
      <c r="D86" s="1"/>
      <c r="E86" s="1"/>
      <c r="F86" s="1"/>
      <c r="G86" s="1"/>
      <c r="H86" s="1"/>
      <c r="I86" s="1"/>
      <c r="J86" s="1"/>
      <c r="K86" s="1"/>
      <c r="L86" s="1"/>
      <c r="M86" s="1"/>
    </row>
    <row r="87" ht="15" customHeight="1">
      <c r="A87" s="1"/>
      <c r="B87" s="1" t="s">
        <v>661</v>
      </c>
      <c r="C87" s="83">
        <v>31</v>
      </c>
      <c r="D87" s="1"/>
      <c r="E87" s="1"/>
      <c r="F87" s="1"/>
      <c r="G87" s="1"/>
      <c r="H87" s="1"/>
      <c r="I87" s="1"/>
      <c r="J87" s="1"/>
      <c r="K87" s="1"/>
      <c r="L87" s="1"/>
      <c r="M87" s="1"/>
    </row>
    <row r="88" ht="15" customHeight="1">
      <c r="A88" s="1"/>
      <c r="B88" s="1" t="s">
        <v>662</v>
      </c>
      <c r="C88" s="25" t="s">
        <v>663</v>
      </c>
      <c r="D88" s="1"/>
      <c r="E88" s="1"/>
      <c r="F88" s="1"/>
      <c r="G88" s="1"/>
      <c r="H88" s="1"/>
      <c r="I88" s="1"/>
      <c r="J88" s="1"/>
      <c r="K88" s="1"/>
      <c r="L88" s="1"/>
      <c r="M88" s="1"/>
    </row>
    <row r="89" ht="15" customHeight="1">
      <c r="A89" s="1"/>
      <c r="B89" s="1" t="s">
        <v>664</v>
      </c>
      <c r="C89" s="83">
        <v>1.46</v>
      </c>
      <c r="D89" s="1"/>
      <c r="E89" s="1"/>
      <c r="F89" s="1"/>
      <c r="G89" s="1"/>
      <c r="H89" s="1"/>
      <c r="I89" s="1"/>
      <c r="J89" s="1"/>
      <c r="K89" s="1"/>
      <c r="L89" s="1"/>
      <c r="M89" s="1"/>
    </row>
    <row r="90" ht="15" customHeight="1">
      <c r="A90" s="1"/>
      <c r="B90" s="1" t="s">
        <v>665</v>
      </c>
      <c r="C90" s="83">
        <v>263.94</v>
      </c>
      <c r="D90" s="1"/>
      <c r="E90" s="1"/>
      <c r="F90" s="1"/>
      <c r="G90" s="1"/>
      <c r="H90" s="1"/>
      <c r="I90" s="1"/>
      <c r="J90" s="1"/>
      <c r="K90" s="1"/>
      <c r="L90" s="1"/>
      <c r="M90" s="1"/>
    </row>
    <row r="91" ht="15" customHeight="1">
      <c r="A91" s="1"/>
      <c r="B91" s="1" t="s">
        <v>666</v>
      </c>
      <c r="C91" s="25" t="s">
        <v>667</v>
      </c>
      <c r="D91" s="1"/>
      <c r="E91" s="1"/>
      <c r="F91" s="1"/>
      <c r="G91" s="1"/>
      <c r="H91" s="1"/>
      <c r="I91" s="1"/>
      <c r="J91" s="1"/>
      <c r="K91" s="1"/>
      <c r="L91" s="1"/>
      <c r="M91" s="1"/>
    </row>
    <row r="92" ht="15" customHeight="1">
      <c r="A92" s="1"/>
      <c r="B92" s="1" t="s">
        <v>668</v>
      </c>
      <c r="C92" s="78">
        <v>46313</v>
      </c>
      <c r="D92" s="1"/>
      <c r="E92" s="1"/>
      <c r="F92" s="1"/>
      <c r="G92" s="1"/>
      <c r="H92" s="1"/>
      <c r="I92" s="1"/>
      <c r="J92" s="1"/>
      <c r="K92" s="1"/>
      <c r="L92" s="1"/>
      <c r="M92" s="1"/>
    </row>
    <row r="93" ht="15" customHeight="1">
      <c r="A93" s="1"/>
      <c r="B93" s="1" t="s">
        <v>669</v>
      </c>
      <c r="C93" s="82" t="s">
        <v>670</v>
      </c>
      <c r="D93" s="1"/>
      <c r="E93" s="1"/>
      <c r="F93" s="1"/>
      <c r="G93" s="1"/>
      <c r="H93" s="1"/>
      <c r="I93" s="1"/>
      <c r="J93" s="1"/>
      <c r="K93" s="1"/>
      <c r="L93" s="1"/>
      <c r="M93" s="1"/>
    </row>
    <row r="94" ht="15" customHeight="1">
      <c r="A94" s="1"/>
      <c r="B94" s="1"/>
      <c r="C94" s="25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ht="15" customHeight="1">
      <c r="A95" s="1"/>
      <c r="B95" s="3" t="s">
        <v>671</v>
      </c>
      <c r="C95" s="25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ht="15" customHeight="1">
      <c r="A96" s="1"/>
      <c r="B96" s="1" t="s">
        <v>672</v>
      </c>
      <c r="C96" s="25" t="s">
        <v>591</v>
      </c>
      <c r="D96" s="1"/>
      <c r="E96" s="1"/>
      <c r="F96" s="1"/>
      <c r="G96" s="1"/>
      <c r="H96" s="1"/>
      <c r="I96" s="1"/>
      <c r="J96" s="1"/>
      <c r="K96" s="1"/>
      <c r="L96" s="1"/>
      <c r="M96" s="1"/>
    </row>
    <row r="97" ht="15" customHeight="1">
      <c r="A97" s="1"/>
      <c r="B97" s="1" t="s">
        <v>673</v>
      </c>
      <c r="C97" s="25" t="s">
        <v>674</v>
      </c>
      <c r="D97" s="1"/>
      <c r="E97" s="1"/>
      <c r="F97" s="1"/>
      <c r="G97" s="1"/>
      <c r="H97" s="1"/>
      <c r="I97" s="1"/>
      <c r="J97" s="1"/>
      <c r="K97" s="1"/>
      <c r="L97" s="1"/>
      <c r="M97" s="1"/>
    </row>
    <row r="98" ht="15" customHeight="1">
      <c r="A98" s="1"/>
      <c r="B98" s="1" t="s">
        <v>675</v>
      </c>
      <c r="C98" s="25" t="s">
        <v>591</v>
      </c>
      <c r="D98" s="1"/>
      <c r="E98" s="1"/>
      <c r="F98" s="1"/>
      <c r="G98" s="1"/>
      <c r="H98" s="1"/>
      <c r="I98" s="1"/>
      <c r="J98" s="1"/>
      <c r="K98" s="1"/>
      <c r="L98" s="1"/>
      <c r="M98" s="1"/>
    </row>
    <row r="99" ht="15" customHeight="1">
      <c r="A99" s="1"/>
      <c r="B99" s="1" t="s">
        <v>676</v>
      </c>
      <c r="C99" s="25" t="s">
        <v>677</v>
      </c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ht="15" customHeight="1">
      <c r="A100" s="1"/>
      <c r="B100" s="1"/>
      <c r="C100" s="25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ht="15" customHeight="1">
      <c r="A101" s="1"/>
      <c r="B101" s="3" t="s">
        <v>678</v>
      </c>
      <c r="C101" s="25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ht="15" customHeight="1">
      <c r="A102" s="1"/>
      <c r="B102" s="84" t="s">
        <v>583</v>
      </c>
      <c r="C102" s="84" t="s">
        <v>679</v>
      </c>
      <c r="D102" s="84" t="s">
        <v>680</v>
      </c>
      <c r="E102" s="84" t="s">
        <v>681</v>
      </c>
      <c r="F102" s="84" t="s">
        <v>682</v>
      </c>
      <c r="G102" s="84" t="s">
        <v>683</v>
      </c>
      <c r="H102" s="84" t="s">
        <v>684</v>
      </c>
      <c r="I102" s="84" t="s">
        <v>685</v>
      </c>
      <c r="J102" s="84" t="s">
        <v>686</v>
      </c>
      <c r="K102" s="84" t="s">
        <v>687</v>
      </c>
      <c r="L102" s="84" t="s">
        <v>688</v>
      </c>
      <c r="M102" s="84" t="s">
        <v>689</v>
      </c>
    </row>
    <row r="103" ht="15" customHeight="1">
      <c r="A103" s="1"/>
      <c r="B103" s="78">
        <v>45747</v>
      </c>
      <c r="C103" s="78">
        <v>45770</v>
      </c>
      <c r="D103" s="68">
        <v>1</v>
      </c>
      <c r="E103" s="68">
        <v>1.04</v>
      </c>
      <c r="F103" s="68">
        <v>1</v>
      </c>
      <c r="G103" s="68">
        <v>1.03</v>
      </c>
      <c r="H103" s="52">
        <v>4640.27</v>
      </c>
      <c r="I103" s="52">
        <v>4720.18</v>
      </c>
      <c r="J103" s="17">
        <f t="shared" si="0" ref="J103:L108">E103-D103</f>
        <v>0.040000000000000036</v>
      </c>
      <c r="K103" s="17" t="b">
        <f t="shared" si="1" ref="K103:K108">E103&gt;D103</f>
        <v>1</v>
      </c>
      <c r="L103" s="17">
        <f t="shared" si="0"/>
        <v>0.030000000000000027</v>
      </c>
      <c r="M103" s="14">
        <f t="shared" si="2" ref="M103:M108">I103-H103</f>
        <v>79.90999999999985</v>
      </c>
    </row>
    <row r="104" ht="15" customHeight="1">
      <c r="A104" s="1"/>
      <c r="B104" s="78">
        <v>45838</v>
      </c>
      <c r="C104" s="78">
        <v>45868</v>
      </c>
      <c r="D104" s="68">
        <v>1.21</v>
      </c>
      <c r="E104" s="68">
        <v>1.33</v>
      </c>
      <c r="F104" s="68">
        <v>1.2</v>
      </c>
      <c r="G104" s="68">
        <v>1.35</v>
      </c>
      <c r="H104" s="52">
        <v>5004.16</v>
      </c>
      <c r="I104" s="52">
        <v>5171.39</v>
      </c>
      <c r="J104" s="17">
        <f t="shared" si="0"/>
        <v>0.1200000000000001</v>
      </c>
      <c r="K104" s="17" t="b">
        <f t="shared" si="1"/>
        <v>1</v>
      </c>
      <c r="L104" s="17">
        <f t="shared" si="0"/>
        <v>0.15000000000000013</v>
      </c>
      <c r="M104" s="14">
        <f t="shared" si="2"/>
        <v>167.23000000000047</v>
      </c>
    </row>
    <row r="105" ht="15" customHeight="1">
      <c r="A105" s="1"/>
      <c r="B105" s="78">
        <v>45930</v>
      </c>
      <c r="C105" s="78">
        <v>45952</v>
      </c>
      <c r="D105" s="68">
        <v>1.22</v>
      </c>
      <c r="E105" s="68">
        <v>1.26</v>
      </c>
      <c r="F105" s="68">
        <v>1.22</v>
      </c>
      <c r="G105" s="68">
        <v>1.24</v>
      </c>
      <c r="H105" s="52">
        <v>5230.55</v>
      </c>
      <c r="I105" s="52">
        <v>5324.17</v>
      </c>
      <c r="J105" s="17">
        <f t="shared" si="0"/>
        <v>0.040000000000000036</v>
      </c>
      <c r="K105" s="17" t="b">
        <f t="shared" si="1"/>
        <v>1</v>
      </c>
      <c r="L105" s="17">
        <f t="shared" si="0"/>
        <v>0.020000000000000018</v>
      </c>
      <c r="M105" s="14">
        <f t="shared" si="2"/>
        <v>93.61999999999989</v>
      </c>
    </row>
    <row r="106" ht="15" customHeight="1">
      <c r="A106" s="1"/>
      <c r="B106" s="78">
        <v>46022</v>
      </c>
      <c r="C106" s="78">
        <v>46050</v>
      </c>
      <c r="D106" s="68">
        <v>1.17</v>
      </c>
      <c r="E106" s="68">
        <v>1.27</v>
      </c>
      <c r="F106" s="68">
        <v>1.16</v>
      </c>
      <c r="G106" s="68">
        <v>1.26</v>
      </c>
      <c r="H106" s="52">
        <v>5239.44</v>
      </c>
      <c r="I106" s="52">
        <v>5344.79</v>
      </c>
      <c r="J106" s="17">
        <f t="shared" si="0"/>
        <v>0.10000000000000009</v>
      </c>
      <c r="K106" s="17" t="b">
        <f t="shared" si="1"/>
        <v>1</v>
      </c>
      <c r="L106" s="17">
        <f t="shared" si="0"/>
        <v>0.10000000000000009</v>
      </c>
      <c r="M106" s="14">
        <f t="shared" si="2"/>
        <v>105.35000000000036</v>
      </c>
    </row>
    <row r="107" ht="15" customHeight="1">
      <c r="A107" s="1"/>
      <c r="B107" s="78">
        <v>46112</v>
      </c>
      <c r="C107" s="78">
        <v>46134</v>
      </c>
      <c r="D107" s="68">
        <v>1.36</v>
      </c>
      <c r="E107" s="68">
        <v>1.47</v>
      </c>
      <c r="F107" s="68">
        <v>1.36</v>
      </c>
      <c r="G107" s="68">
        <v>1.45</v>
      </c>
      <c r="H107" s="52">
        <v>5755.88</v>
      </c>
      <c r="I107" s="52">
        <v>5841.49</v>
      </c>
      <c r="J107" s="17">
        <f t="shared" si="0"/>
        <v>0.10999999999999988</v>
      </c>
      <c r="K107" s="17" t="b">
        <f t="shared" si="1"/>
        <v>1</v>
      </c>
      <c r="L107" s="17">
        <f t="shared" si="0"/>
        <v>0.08999999999999986</v>
      </c>
      <c r="M107" s="14">
        <f t="shared" si="2"/>
        <v>85.60999999999967</v>
      </c>
    </row>
    <row r="108" ht="15" customHeight="1">
      <c r="A108" s="1"/>
      <c r="B108" s="78">
        <v>46203</v>
      </c>
      <c r="C108" s="78">
        <v>46232</v>
      </c>
      <c r="D108" s="68">
        <v>1.68</v>
      </c>
      <c r="E108" s="68">
        <v>1.82</v>
      </c>
      <c r="F108" s="68">
        <v>1.67</v>
      </c>
      <c r="G108" s="68">
        <v>1.81</v>
      </c>
      <c r="H108" s="52">
        <v>6671.31</v>
      </c>
      <c r="I108" s="52">
        <v>6722.24</v>
      </c>
      <c r="J108" s="17">
        <f t="shared" si="0"/>
        <v>0.14000000000000012</v>
      </c>
      <c r="K108" s="17" t="b">
        <f t="shared" si="1"/>
        <v>1</v>
      </c>
      <c r="L108" s="17">
        <f t="shared" si="0"/>
        <v>0.14000000000000012</v>
      </c>
      <c r="M108" s="14">
        <f t="shared" si="2"/>
        <v>50.92999999999938</v>
      </c>
    </row>
    <row r="109" ht="15" customHeight="1">
      <c r="A109" s="1"/>
      <c r="B109" s="1"/>
      <c r="C109" s="25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ht="15" customHeight="1">
      <c r="A110" s="1"/>
      <c r="B110" s="3" t="s">
        <v>690</v>
      </c>
      <c r="C110" s="25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ht="15" customHeight="1">
      <c r="A111" s="1"/>
      <c r="B111" s="1" t="s">
        <v>691</v>
      </c>
      <c r="C111" s="52">
        <v>330.3</v>
      </c>
      <c r="D111" s="1" t="s">
        <v>692</v>
      </c>
      <c r="E111" s="1"/>
      <c r="F111" s="1"/>
      <c r="G111" s="1"/>
      <c r="H111" s="1"/>
      <c r="I111" s="1"/>
      <c r="J111" s="1"/>
      <c r="K111" s="1"/>
      <c r="L111" s="1"/>
      <c r="M111" s="1"/>
    </row>
    <row r="112" ht="15" customHeight="1">
      <c r="A112" s="1"/>
      <c r="B112" s="1" t="s">
        <v>693</v>
      </c>
      <c r="C112" s="78">
        <v>46311</v>
      </c>
      <c r="D112" s="1" t="s">
        <v>694</v>
      </c>
      <c r="E112" s="1"/>
      <c r="F112" s="1"/>
      <c r="G112" s="1"/>
      <c r="H112" s="1"/>
      <c r="I112" s="1"/>
      <c r="J112" s="1"/>
      <c r="K112" s="1"/>
      <c r="L112" s="1"/>
      <c r="M112" s="1"/>
    </row>
    <row r="113" ht="15" customHeight="1">
      <c r="A113" s="1"/>
      <c r="B113" s="1" t="s">
        <v>695</v>
      </c>
      <c r="C113" s="14" t="str">
        <f>IF(C111&gt;10,"large",IF(C111&gt;=2,"mid",IF(C111&gt;=0.3,"small","micro")))</f>
        <v>large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ht="15" customHeight="1">
      <c r="A114" s="1"/>
      <c r="B114" s="1" t="s">
        <v>697</v>
      </c>
      <c r="C114" s="25" t="b">
        <v>1</v>
      </c>
      <c r="D114" s="1" t="s">
        <v>698</v>
      </c>
      <c r="E114" s="1"/>
      <c r="F114" s="1"/>
      <c r="G114" s="1"/>
      <c r="H114" s="1"/>
      <c r="I114" s="1"/>
      <c r="J114" s="1"/>
      <c r="K114" s="1"/>
      <c r="L114" s="1"/>
      <c r="M114" s="1"/>
    </row>
    <row r="115" ht="15" customHeight="1">
      <c r="A115" s="1"/>
      <c r="B115" s="1" t="s">
        <v>699</v>
      </c>
      <c r="C115" s="15">
        <f>IF(OR(C113="large",C114=TRUE),0.78,IF(C113="mid",0.7,0.6))</f>
        <v>0.78</v>
      </c>
      <c r="D115" s="1" t="s">
        <v>700</v>
      </c>
      <c r="E115" s="1"/>
      <c r="F115" s="1"/>
      <c r="G115" s="1"/>
      <c r="H115" s="1"/>
      <c r="I115" s="1"/>
      <c r="J115" s="1"/>
      <c r="K115" s="1"/>
      <c r="L115" s="1"/>
      <c r="M115" s="1"/>
    </row>
    <row r="116" ht="15" customHeight="1">
      <c r="A116" s="1"/>
      <c r="B116" s="1" t="s">
        <v>701</v>
      </c>
      <c r="C116" s="55">
        <f>SUM(IF(E103&gt;D103,1,0),IF(E104&gt;D104,1,0),IF(E105&gt;D105,1,0),IF(E106&gt;D106,1,0),IF(E107&gt;D107,1,0),IF(E108&gt;D108,1,0))</f>
        <v>6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ht="15" customHeight="1">
      <c r="A117" s="1"/>
      <c r="B117" s="1" t="s">
        <v>702</v>
      </c>
      <c r="C117" s="55">
        <f>COUNT(E103:E108)</f>
        <v>6</v>
      </c>
      <c r="D117" s="1" t="s">
        <v>703</v>
      </c>
      <c r="E117" s="1"/>
      <c r="F117" s="1"/>
      <c r="G117" s="1"/>
      <c r="H117" s="1"/>
      <c r="I117" s="1"/>
      <c r="J117" s="1"/>
      <c r="K117" s="1"/>
      <c r="L117" s="1"/>
      <c r="M117" s="1"/>
    </row>
    <row r="118" ht="15" customHeight="1">
      <c r="A118" s="1"/>
      <c r="B118" s="1" t="s">
        <v>704</v>
      </c>
      <c r="C118" s="56">
        <v>8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ht="15" customHeight="1">
      <c r="A119" s="1"/>
      <c r="B119" s="1" t="s">
        <v>705</v>
      </c>
      <c r="C119" s="15">
        <f>(C118*C115+C116)/(C118+C117)</f>
        <v>0.8742857142857143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ht="15" customHeight="1">
      <c r="A120" s="1"/>
      <c r="B120" s="1" t="s">
        <v>706</v>
      </c>
      <c r="C120" s="79">
        <v>-0.025</v>
      </c>
      <c r="D120" s="1" t="s">
        <v>707</v>
      </c>
      <c r="E120" s="1"/>
      <c r="F120" s="1"/>
      <c r="G120" s="1"/>
      <c r="H120" s="1"/>
      <c r="I120" s="1"/>
      <c r="J120" s="1"/>
      <c r="K120" s="1"/>
      <c r="L120" s="1"/>
      <c r="M120" s="1"/>
    </row>
    <row r="121" ht="15" customHeight="1">
      <c r="A121" s="1"/>
      <c r="B121" s="1" t="s">
        <v>708</v>
      </c>
      <c r="C121" s="15">
        <f>C119+C120</f>
        <v>0.8492857142857143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ht="15" customHeight="1">
      <c r="A122" s="1"/>
      <c r="B122" s="1" t="s">
        <v>47</v>
      </c>
      <c r="C122" s="25" t="s">
        <v>48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ht="15" customHeight="1">
      <c r="A123" s="1"/>
      <c r="B123" s="1" t="s">
        <v>709</v>
      </c>
      <c r="C123" s="17">
        <f>AVERAGE(J103:J108)</f>
        <v>0.09166666666666672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ht="15" customHeight="1">
      <c r="A124" s="1"/>
      <c r="B124" s="1" t="s">
        <v>710</v>
      </c>
      <c r="C124" s="17">
        <f>J105</f>
        <v>0.040000000000000036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ht="15" customHeight="1">
      <c r="A125" s="1"/>
      <c r="B125" s="1" t="s">
        <v>711</v>
      </c>
      <c r="C125" s="17">
        <f>MIN(J103:J108)</f>
        <v>0.040000000000000036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ht="15" customHeight="1">
      <c r="A126" s="1"/>
      <c r="B126" s="1"/>
      <c r="C126" s="25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ht="15" customHeight="1">
      <c r="A127" s="1"/>
      <c r="B127" s="3" t="s">
        <v>712</v>
      </c>
      <c r="C127" s="25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ht="15" customHeight="1">
      <c r="A128" s="1"/>
      <c r="B128" s="1" t="s">
        <v>713</v>
      </c>
      <c r="C128" s="68">
        <v>2.18</v>
      </c>
      <c r="D128" s="1" t="s">
        <v>714</v>
      </c>
      <c r="E128" s="1"/>
      <c r="F128" s="1"/>
      <c r="G128" s="1"/>
      <c r="H128" s="1"/>
      <c r="I128" s="1"/>
      <c r="J128" s="1"/>
      <c r="K128" s="1"/>
      <c r="L128" s="1"/>
      <c r="M128" s="1"/>
    </row>
    <row r="129" ht="15" customHeight="1">
      <c r="A129" s="1"/>
      <c r="B129" s="1" t="s">
        <v>715</v>
      </c>
      <c r="C129" s="52">
        <v>8130</v>
      </c>
      <c r="D129" s="1" t="s">
        <v>716</v>
      </c>
      <c r="E129" s="1"/>
      <c r="F129" s="1"/>
      <c r="G129" s="1"/>
      <c r="H129" s="1"/>
      <c r="I129" s="1"/>
      <c r="J129" s="1"/>
      <c r="K129" s="1"/>
      <c r="L129" s="1"/>
      <c r="M129" s="1"/>
    </row>
    <row r="130" ht="1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ht="1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2026-10-19T23:45:18Z</dcterms:created>
</cp:coreProperties>
</file>