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Aeronautics" sheetId="3" r:id="rId4"/>
    <sheet name="Segment - MFC" sheetId="4" r:id="rId5"/>
    <sheet name="Segment - RMS" sheetId="5" r:id="rId6"/>
    <sheet name="Segment - Space" sheetId="6" r:id="rId7"/>
    <sheet name="Income Statement" sheetId="7" r:id="rId8"/>
    <sheet name="Balance Sheet" sheetId="8" r:id="rId9"/>
    <sheet name="Cash Flow Statement" sheetId="9" r:id="rId10"/>
    <sheet name="Geo" sheetId="10" r:id="rId11"/>
    <sheet name="Share Count" sheetId="11" r:id="rId12"/>
    <sheet name="Guidance" sheetId="12" r:id="rId13"/>
    <sheet name="Inputs" sheetId="13" r:id="rId14"/>
    <sheet name="Sources" sheetId="14" r:id="rId15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27" authorId="0">
      <text>
        <t>Starting prior 0.66 (large-cap / S&amp;P 500 cohort, 3 beats in 6 quarters) less quarter-specific updates; see Inputs section D and artifacts/prior-calibration.json.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54" authorId="0">
      <text>
        <t>Space acquired Amentum Rapid Solutions on Jun 26 2025 ($360M); revenue contribution not disclosed. Ultra Maritime expected to close 4Q26 (S30).</t>
      </text>
    </comment>
    <comment ref="H92" authorId="0">
      <text>
        <t>Assumption: below 2Q26 ($375M) per CFO, Sep 17 2026: "Q3 may not have the same number of risk retirements that Q2 or Q4 had" (S15). Memo cross-check only.</t>
      </text>
    </comment>
    <comment ref="D92" authorId="0">
      <text>
        <t>S7 | Q4 2025 release | "increased segment operating profit by approximately $275 million"</t>
      </text>
    </comment>
    <comment ref="H110" authorId="0">
      <text>
        <t>S3 | Q2 2026 release | Third quarter 2026: 13 weeks (fourth quarter 2026: 14 weeks)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N10" authorId="0">
      <text>
        <t>S13 (Q3 2024 release) | Backlog Dec. 31, 2023 | 60,156</t>
      </text>
    </comment>
    <comment ref="H25" authorId="0">
      <text>
        <t>Assumption: 1.0x placeholder (backlog not an EPS driver).</t>
      </text>
    </comment>
    <comment ref="H28" authorId="0">
      <text>
        <t>Assumption: conversion set so 3Q26E sales ~ $7.8B: 2Q26A $8.11B x seasonal 3Q/2Q ratio (3Q25 $7.26B vs loss-adjusted 2Q25 $7.78B = 0.93) plus F-35 Lot 18-19 volume growth; FY26 guide $31.7-32.7B (S14).</t>
      </text>
    </comment>
    <comment ref="H188" authorId="0">
      <text>
        <t>Assumption: held flat at 2Q26A (memo only; eliminated in consolidation).</t>
      </text>
    </comment>
    <comment ref="H193" authorId="0">
      <text>
        <t>Not forecast: deliveries do not drive percentage-of-completion revenue; no pre-release Q3 count found.</t>
      </text>
    </comment>
    <comment ref="H196" authorId="0">
      <text>
        <t>Not forecast: deliveries do not drive percentage-of-completion revenue; no pre-release Q3 count found.</t>
      </text>
    </comment>
    <comment ref="H199" authorId="0">
      <text>
        <t>Not forecast: deliveries do not drive percentage-of-completion revenue; no pre-release Q3 count found.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N10" authorId="0">
      <text>
        <t>S13 (Q3 2024 release) | Backlog Dec. 31, 2023 | 32,229</t>
      </text>
    </comment>
    <comment ref="H25" authorId="0">
      <text>
        <t>Assumption: 1.0x placeholder. PAC-3 7-yr UCA (S17) inclusion timing not disclosed; backlog is not an EPS driver.</t>
      </text>
    </comment>
    <comment ref="H28" authorId="0">
      <text>
        <t>Assumption: conversion set so 3Q26E sales ~ $4.30B: 2Q26A $4.10B x 3Q25/2Q25 ratio (1.056) on PAC-3/THAAD ramps; opening backlog inflated by THAAD multi-year UCA, so the rate falls mechanically.</t>
      </text>
    </comment>
    <comment ref="H188" authorId="0">
      <text>
        <t>Assumption: held flat at 2Q26A (memo only; eliminated in consolidation).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N10" authorId="0">
      <text>
        <t>S13 (Q3 2024 release) | Backlog Dec. 31, 2023 | 37,726</t>
      </text>
    </comment>
    <comment ref="H25" authorId="0">
      <text>
        <t>Assumption: 1.0x placeholder (backlog not an EPS driver).</t>
      </text>
    </comment>
    <comment ref="H28" authorId="0">
      <text>
        <t>Assumption: conversion set so 3Q26E sales ~ $4.50B: 2Q26A $4.35B x ~1.03 (3Q25 vs loss-adjusted 2Q25) plus radar ramp; FY26 guide $17.7-18.1B (S14).</t>
      </text>
    </comment>
    <comment ref="H188" authorId="0">
      <text>
        <t>Assumption: held flat at 2Q26A (memo only; eliminated in consolidation).</t>
      </text>
    </comment>
    <comment ref="H193" authorId="0">
      <text>
        <t>Not forecast: deliveries do not drive percentage-of-completion revenue; no pre-release Q3 count found.</t>
      </text>
    </comment>
    <comment ref="H196" authorId="0">
      <text>
        <t>Not forecast: deliveries do not drive percentage-of-completion revenue; no pre-release Q3 count found.</t>
      </text>
    </comment>
    <comment ref="H199" authorId="0">
      <text>
        <t>Not forecast: deliveries do not drive percentage-of-completion revenue; no pre-release Q3 count found.</t>
      </text>
    </comment>
    <comment ref="M163" authorId="0">
      <text>
        <t>S4 | 2Q26 10-Q, 2Q25 comparative | Other (14) as reported (adjustment, not economic sales).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N10" authorId="0">
      <text>
        <t>S13 (Q3 2024 release) | Backlog Dec. 31, 2023 | 30,456</t>
      </text>
    </comment>
    <comment ref="H25" authorId="0">
      <text>
        <t>Assumption: 1.0x placeholder (backlog not an EPS driver).</t>
      </text>
    </comment>
    <comment ref="H28" authorId="0">
      <text>
        <t>Assumption: conversion set so 3Q26E sales ~ $3.55B: 2Q26A $3.50B x 3Q25/2Q25 ratio (1.015); FY26 guide $13.85-14.05B (S14).</t>
      </text>
    </comment>
    <comment ref="H188" authorId="0">
      <text>
        <t>Assumption: held flat at 2Q26A (memo only; eliminated in consolidation).</t>
      </text>
    </comment>
    <comment ref="H163" authorId="0">
      <text>
        <t>Residual (by construction). Negative because region share inputs H127+H137+H147+H157 = 100.1% while international customer share H103 = 1.7%. Which non-US share to trim is forecaster judgment - left unresolved; segment sales, OP and EPS unaffected.</t>
      </text>
    </comment>
    <comment ref="D143" authorId="0">
      <text>
        <t>Derived 4Q25 = FY25 Asia Pacific 109 (S8, 10-K) less 9M25 128 (S10). Negative reflects FY-vs-9M reclassification, not economic quarterly sales.</t>
      </text>
    </comment>
    <comment ref="J109" authorId="0">
      <text>
        <t>S10 | 3Q25 10-Q, 3Q24 comparative | U.S. commercial and other (67) as reported (adjustment, not economic sales).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H32" authorId="0">
      <text>
        <t>Assumption: 90.0% (2Q26 89.8%, 1Q26 90.3%, 4Q25 90.2%, 3Q25 89.5%).</t>
      </text>
    </comment>
    <comment ref="H35" authorId="0">
      <text>
        <t>Residual: total operating costs (from segment OP build) less product costs, impairment and other unallocated.</t>
      </text>
    </comment>
    <comment ref="H42" authorId="0">
      <text>
        <t>Approximation: FAS/CAS operating adjustment + intangible amortization + other, net (2Q26: 317 vs 308 reported).</t>
      </text>
    </comment>
    <comment ref="H55" authorId="0">
      <text>
        <t>Assumption: equity earnings lower on ULA Vulcan grounding (S18); 1Q26 (15), 2Q26 33.</t>
      </text>
    </comment>
    <comment ref="H64" authorId="0">
      <text>
        <t>Assumption: no new term debt in 3Q26 (8-K Aug 27 2026 credit facility only, S32); 1Q26 (269), 2Q26 (266).</t>
      </text>
    </comment>
    <comment ref="H67" authorId="0">
      <text>
        <t>Guidance: non-service FAS pension expense (320) for 2026 = (80)/quarter (S3 Selected Financial Data).</t>
      </text>
    </comment>
    <comment ref="H70" authorId="0">
      <text>
        <t>Assumption: in line with 2Q26 (45); 1Q26 60, 3Q25 43.</t>
      </text>
    </comment>
    <comment ref="H79" authorId="0">
      <text>
        <t>Assumption: 1H26 ETR 15.9% (S3); 2026 EPS guide raised partly on lower ETR.</t>
      </text>
    </comment>
    <comment ref="H93" authorId="0">
      <text>
        <t>Guidance: FAS/CAS operating adjustment ~$1,685M for 2026 (S3); 1Q26 421, 2Q26 422.</t>
      </text>
    </comment>
    <comment ref="H96" authorId="0">
      <text>
        <t>Assumption: none pre-announced for 3Q26.</t>
      </text>
    </comment>
    <comment ref="H99" authorId="0">
      <text>
        <t>Guidance: ~$(200)M for 2026 (S3); (50) per quarter in 1H26.</t>
      </text>
    </comment>
    <comment ref="H102" authorId="0">
      <text>
        <t>Assumption: (95). 2026 guide ~(490) implies (152)/qtr in 2H but FY25 guide (355) vs actual (210) was conservative; S&amp;P 500 +2.0% in Q3 (S19) -&gt; small deferred-comp gain.</t>
      </text>
    </comment>
    <comment ref="G129" authorId="0">
      <text>
        <t>S7 | Q4 2025 release | $713M + $428M + $71M after-tax (2Q25)</t>
      </text>
    </comment>
    <comment ref="H129" authorId="0">
      <text>
        <t>Assumption: no special items forecast (none pre-announced).</t>
      </text>
    </comment>
    <comment ref="G130" authorId="0">
      <text>
        <t>S7 | Q4 2025 release | ($52 million, or $0.22 per share, after-tax)</t>
      </text>
    </comment>
    <comment ref="H130" authorId="0">
      <text>
        <t>Assumption: no special items forecast (none pre-announced).</t>
      </text>
    </comment>
    <comment ref="G131" authorId="0">
      <text>
        <t>S7 | Q4 2025 release | ($377 million, or $1.63 per share, after-tax)</t>
      </text>
    </comment>
    <comment ref="H131" authorId="0">
      <text>
        <t>Assumption: no special items forecast (none pre-announced).</t>
      </text>
    </comment>
    <comment ref="G132" authorId="0">
      <text>
        <t>S7 | Q4 2025 release | $109 million benefit ... IRS; S11 | $103 million ... uncertain tax position</t>
      </text>
    </comment>
    <comment ref="H132" authorId="0">
      <text>
        <t>Assumption: no special items forecast (none pre-announced).</t>
      </text>
    </comment>
    <comment ref="C136" authorId="0">
      <text>
        <t>LMT_history.csv: eps_normalized_actual equals eps_gaap_actual in all six quarters (incl. 4Q25 5.80 with pension settlement) -&gt; CapIQ normalized basis = GAAP for LMT.</t>
      </text>
    </comment>
    <comment ref="H48" authorId="0">
      <text>
        <t>3Q26E: true by construction - H35 (service costs) is the residual H45-H29-H41-H42, so this check cannot fail. Not an independent test; see Cover rows 52-55.</t>
      </text>
    </comment>
    <comment ref="H111" authorId="0">
      <text>
        <t>3Q26E: true by construction - H49 = H108-H55 and H58 = H49+H55, so H58 = H108 identically. Not an independent test.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28" authorId="0">
      <text>
        <t>Sep 28 2025 as originally reported: capitalized software was in other noncurrent assets; from Dec 31 2025 it is included in PP&amp;E (S5/S3 presentation).</t>
      </text>
    </comment>
    <comment ref="C40" authorId="0">
      <text>
        <t>Sep 28 2025 as originally reported (S9): includes capitalized software, which from Dec 31 2025 is presented in PP&amp;E (S7 shows Dec-25 capitalized software 2,417). Recast 3Q25 split not disclosed in available sources - pre-recast basis.</t>
      </text>
    </comment>
    <comment ref="D29" authorId="0">
      <text>
        <t>Includes presentation reclass of capitalized software into PP&amp;E (Dec-25 2,417 per S7); not a capex-driven change.</t>
      </text>
    </comment>
    <comment ref="D41" authorId="0">
      <text>
        <t>Includes presentation reclass of capitalized software out of other noncurrent assets (Dec-25 2,417 per S7).</t>
      </text>
    </comment>
    <comment ref="H30" authorId="0">
      <text>
        <t>Y/Y vs pre-recast 3Q25 (C28 excludes capitalized software) - not like-for-like. Combined PP&amp;E + other noncurrent assets is comparable.</t>
      </text>
    </comment>
    <comment ref="H42" authorId="0">
      <text>
        <t>Y/Y vs pre-recast 3Q25 (C40 includes capitalized software) - not like-for-like. Combined PP&amp;E + other noncurrent assets is comparable.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H13" authorId="0">
      <text>
        <t>Assumption: 1H26 D&amp;A 798 -&gt; ~400/qtr incl. $50M intangible amortization.</t>
      </text>
    </comment>
    <comment ref="H19" authorId="0">
      <text>
        <t>Assumption: 1H26 538 (CAMT relief); assume moderation.</t>
      </text>
    </comment>
    <comment ref="H31" authorId="0">
      <text>
        <t>Assumption: 1Q26/2Q26 run-rate 92.</t>
      </text>
    </comment>
    <comment ref="H37" authorId="0">
      <text>
        <t>Assumption: Continued unbilled build on munitions ramps.</t>
      </text>
    </comment>
    <comment ref="H46" authorId="0">
      <text>
        <t>Assumption: Advance payments on munitions framework/HOA contracts ("cash neutrality", S15).</t>
      </text>
    </comment>
    <comment ref="H59" authorId="0">
      <text>
        <t>Assumption: 2026 capex guide $2.0-2.4B (S3); 1H26 829 -&gt; 2H ~1,371.</t>
      </text>
    </comment>
    <comment ref="H69" authorId="0">
      <text>
        <t>Assumption: Ultra Maritime ($3.45B) financing expected with 4Q26 close (S30); none in 3Q26.</t>
      </text>
    </comment>
    <comment ref="H78" authorId="0">
      <text>
        <t>Assumption: no buybacks (none in 1H26).</t>
      </text>
    </comment>
    <comment ref="H98" authorId="0">
      <text>
        <t>3Q26E: true by construction - 'Balance Sheet'!H10 links to H95. Not an independent test; the independent 3Q26E test is 'Balance Sheet'!H95 (balances without a plug).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H13" authorId="0">
      <text>
        <t>Assumption: +0.1M from equity awards; no repurchases (none in 1H26; Jan 7 2026 executive order on buybacks, S29).</t>
      </text>
    </comment>
    <comment ref="H14" authorId="0">
      <text>
        <t>Assumption: 0.9M, in line with 2Q26 (0.9) and 3Q25 (0.9).</t>
      </text>
    </comment>
    <comment ref="F25" authorId="0">
      <text>
        <t>S4 | 10-Q Q2 2026 cover | 230,790,753 shares ... outstanding as of July 20, 2026</t>
      </text>
    </comment>
    <comment ref="D29" authorId="0">
      <text>
        <t>S7 | Q4 2025 release | $750 million to repurchase 1.6 million shares</t>
      </text>
    </comment>
    <comment ref="G29" authorId="0">
      <text>
        <t>S7 | Q4 2025 release | $3.0 billion to repurchase 6.6 million shares</t>
      </text>
    </comment>
    <comment ref="H29" authorId="0">
      <text>
        <t>Assumption: no buybacks in 3Q26 (none in 1H26).</t>
      </text>
    </comment>
    <comment ref="H35" authorId="0">
      <text>
        <t>Assumption: quarterly dividend $3.45 (raised to $3.45 in Oct 2025, S9).</t>
      </text>
    </comment>
  </commentList>
</comments>
</file>

<file path=xl/sharedStrings.xml><?xml version="1.0" encoding="utf-8"?>
<sst xmlns="http://schemas.openxmlformats.org/spreadsheetml/2006/main" count="4037" uniqueCount="802">
  <si>
    <t>Lockheed Martin Corporation (NYSE: LMT)</t>
  </si>
  <si>
    <t>Company Model — built by Shortcut</t>
  </si>
  <si>
    <t>$ millions, except per share</t>
  </si>
  <si>
    <t>Period</t>
  </si>
  <si>
    <t>3Q25A</t>
  </si>
  <si>
    <t>4Q25A</t>
  </si>
  <si>
    <t>1Q26A</t>
  </si>
  <si>
    <t>2Q26A</t>
  </si>
  <si>
    <t>FY25A</t>
  </si>
  <si>
    <t>3Q26E</t>
  </si>
  <si>
    <t>Period end</t>
  </si>
  <si>
    <t>Days in period</t>
  </si>
  <si>
    <t>Company profile</t>
  </si>
  <si>
    <t>Company</t>
  </si>
  <si>
    <t>Lockheed Martin Corporation</t>
  </si>
  <si>
    <t>Ticker / exchange</t>
  </si>
  <si>
    <t>LMT / New York Stock Exchange (NYSE:LMT)</t>
  </si>
  <si>
    <t>Fiscal year end</t>
  </si>
  <si>
    <t>December 31 (interim quarters close on the last Sunday of the quarter)</t>
  </si>
  <si>
    <t>Reporting currency</t>
  </si>
  <si>
    <t>USD; amounts in $ millions</t>
  </si>
  <si>
    <t>EPS basis</t>
  </si>
  <si>
    <t>Normalized diluted EPS per common share, USD (CapIQ); equals GAAP diluted EPS for LMT</t>
  </si>
  <si>
    <t>Forecast period</t>
  </si>
  <si>
    <t>FQ3 2026 — issuer quarter end 2026-09-27 (13 weeks); supplied label 2026-09-30</t>
  </si>
  <si>
    <t>Information cutoff</t>
  </si>
  <si>
    <t>2026-10-18 21:34:46 UTC</t>
  </si>
  <si>
    <t>Expected report date</t>
  </si>
  <si>
    <t>2026-10-22, before market open; call 08:30 ET (S16). CapIQ summary row shows 2026-10-20.</t>
  </si>
  <si>
    <t>Author</t>
  </si>
  <si>
    <t>Shortcut (model built by Shortcut)</t>
  </si>
  <si>
    <t>Headline: FQ3 2026 estimate vs consensus vs guidance</t>
  </si>
  <si>
    <t>Metric</t>
  </si>
  <si>
    <t>Shortcut estimate</t>
  </si>
  <si>
    <t>Consensus at cutoff (CapIQ)</t>
  </si>
  <si>
    <t>Variance</t>
  </si>
  <si>
    <t>Variance %</t>
  </si>
  <si>
    <t>Quarterly guidance midpoint</t>
  </si>
  <si>
    <t>FY26 guidance midpoint</t>
  </si>
  <si>
    <t>Basis / source</t>
  </si>
  <si>
    <t>Revenue ($M)</t>
  </si>
  <si>
    <t>Not issued</t>
  </si>
  <si>
    <t>Net sales</t>
  </si>
  <si>
    <t>Net income ($M, consensus basis)</t>
  </si>
  <si>
    <t>Not guided</t>
  </si>
  <si>
    <t>CapIQ net_income_excl_excep</t>
  </si>
  <si>
    <t>EPS — normalized diluted (consensus basis, $)</t>
  </si>
  <si>
    <t>CapIQ normalized mean, 14 est.</t>
  </si>
  <si>
    <t>EPS — GAAP diluted ($)</t>
  </si>
  <si>
    <t>CapIQ GAAP mean, 16 est.</t>
  </si>
  <si>
    <t>Overall check result</t>
  </si>
  <si>
    <t>Scope: historical-column ties + 3Q26E balance-sheet balance are independent; other 3Q26E ties hold by construction (D40:D50, rows 52-55)</t>
  </si>
  <si>
    <t>P(beat consensus EPS)</t>
  </si>
  <si>
    <t>Confidence</t>
  </si>
  <si>
    <t>Key forecast drivers (FQ3 2026E)</t>
  </si>
  <si>
    <t>Revenue growth Y/Y</t>
  </si>
  <si>
    <t>Business segment operating margin</t>
  </si>
  <si>
    <t>Net profit booking rate adjustments, memo ($M)</t>
  </si>
  <si>
    <t>Memo cross-check only, not a forecast driver: segment margins (segment row 180) are separate inputs; no EPS formula depends on it</t>
  </si>
  <si>
    <t>Consolidated operating profit ($M)</t>
  </si>
  <si>
    <t>Effective tax rate</t>
  </si>
  <si>
    <t>Weighted diluted shares (M)</t>
  </si>
  <si>
    <t>Free cash flow ($M)</t>
  </si>
  <si>
    <t>Check summary (detail in artifacts/checks.md)</t>
  </si>
  <si>
    <t>Revenue summary ties (segments, Geo, CapIQ revenue)</t>
  </si>
  <si>
    <t>3Q26E column: true by construction (not an independent test)</t>
  </si>
  <si>
    <t>Segment - Aeronautics cuts tie</t>
  </si>
  <si>
    <t>Segment - MFC cuts tie</t>
  </si>
  <si>
    <t>Segment - RMS cuts tie</t>
  </si>
  <si>
    <t>Segment - Space cuts tie</t>
  </si>
  <si>
    <t>Income Statement ties (OP bridge, EPS, CapIQ EPS)</t>
  </si>
  <si>
    <t>Balance Sheet balances</t>
  </si>
  <si>
    <t>3Q26E column: independent test (no balancing plug)</t>
  </si>
  <si>
    <t>Cash Flow ties to Balance Sheet cash</t>
  </si>
  <si>
    <t>Geo ties to total revenue</t>
  </si>
  <si>
    <t>Share Count EPS ties</t>
  </si>
  <si>
    <t>Cover ties to statements (estimate cells = IS / Share Count)</t>
  </si>
  <si>
    <t>3Q26E residual plugs (disclosed, not checks)</t>
  </si>
  <si>
    <t>Hist. low</t>
  </si>
  <si>
    <t>Hist. high</t>
  </si>
  <si>
    <t>Within range</t>
  </si>
  <si>
    <t>Service-cost residual (IS H35): % of service sales</t>
  </si>
  <si>
    <t>Space geography 'Other' residual ($M)</t>
  </si>
  <si>
    <t>Residual rows (IS H35; segment H75/H109/H163) absorb 3Q26E totals by construction; hist. = 3Q25A-2Q26A; F53:F54 flags are informational, outside C26.</t>
  </si>
  <si>
    <t>3Q26E service-cost ratio is 0.1pt above the quarterly high (FY25 91.5%) because IS H42 is modeled as total unallocated items (FAS/CAS + amortization + Other, net), not the historical MD&amp;A line (see IS R42). Space 'Other' = 0 after proportional rescaling of non-US region shares (Space R137). Neither affects EPS.</t>
  </si>
  <si>
    <t>Revenue summary</t>
  </si>
  <si>
    <t>3Q24A</t>
  </si>
  <si>
    <t>4Q24A</t>
  </si>
  <si>
    <t>1Q25A</t>
  </si>
  <si>
    <t>2Q25A</t>
  </si>
  <si>
    <t>FY24A</t>
  </si>
  <si>
    <t>9M24A YTD</t>
  </si>
  <si>
    <t>9M25A YTD</t>
  </si>
  <si>
    <t>Notes / sources</t>
  </si>
  <si>
    <t>Memo: reported prior-year comparatives / YTD (inputs for Y/Y and derived quarters)</t>
  </si>
  <si>
    <t>Sales by reported segment</t>
  </si>
  <si>
    <t>Aeronautics sales</t>
  </si>
  <si>
    <t>Segment - Aeronautics</t>
  </si>
  <si>
    <t>% Y/Y</t>
  </si>
  <si>
    <t>% Q/Q</t>
  </si>
  <si>
    <t>n/a</t>
  </si>
  <si>
    <t>Δ Q/Q (abs.)</t>
  </si>
  <si>
    <t>% of total revenue</t>
  </si>
  <si>
    <t>Δ Y/Y (bps)</t>
  </si>
  <si>
    <t>Δ Q/Q (bps)</t>
  </si>
  <si>
    <t>M&amp;A / scope impact</t>
  </si>
  <si>
    <t>n/d</t>
  </si>
  <si>
    <t>FX impact</t>
  </si>
  <si>
    <t>Organic growth</t>
  </si>
  <si>
    <t>MFC sales</t>
  </si>
  <si>
    <t>Segment - MFC</t>
  </si>
  <si>
    <t>RMS sales</t>
  </si>
  <si>
    <t>Segment - RMS</t>
  </si>
  <si>
    <t>Space sales</t>
  </si>
  <si>
    <t>Segment - Space</t>
  </si>
  <si>
    <t>Total revenue (net sales)</t>
  </si>
  <si>
    <t>Sum of segments</t>
  </si>
  <si>
    <t>Single-country note: revenue is multi-region (U.S. ~70%); see Geo tab for the five disclosed regions.</t>
  </si>
  <si>
    <t>Segment operating profit</t>
  </si>
  <si>
    <t>Aeronautics operating profit</t>
  </si>
  <si>
    <t>Operating margin</t>
  </si>
  <si>
    <t>MFC operating profit</t>
  </si>
  <si>
    <t>RMS operating profit</t>
  </si>
  <si>
    <t>Space operating profit</t>
  </si>
  <si>
    <t>Total segment operating profit</t>
  </si>
  <si>
    <t>Segment operating margin</t>
  </si>
  <si>
    <t>Consolidated drivers (memo)</t>
  </si>
  <si>
    <t>Net profit booking adjustments</t>
  </si>
  <si>
    <t>S4 (2Q26), S6 (1Q26), S10 (3Q25), S7 (4Q25); FY25 = $75M per 10-K net profit booking table (S8 filing). 1Q25/2Q25 not populated</t>
  </si>
  <si>
    <t>Δ Y/Y (abs.)</t>
  </si>
  <si>
    <t>% of segment operating profit</t>
  </si>
  <si>
    <t>Seg. margin excl. booking adj.</t>
  </si>
  <si>
    <t>Total backlog (sum of segments)</t>
  </si>
  <si>
    <t>Total net orders (sum of segments)</t>
  </si>
  <si>
    <t>3Q26E = sum of segment placeholders (all four segments use book-to-bill 1.0x in H25; MFC PAC-3 award not booked, see MFC R25). Not an orders forecast; no EPS path.</t>
  </si>
  <si>
    <t>Consolidated book-to-bill</t>
  </si>
  <si>
    <t>Δ Y/Y (x)</t>
  </si>
  <si>
    <t>Δ Q/Q (x)</t>
  </si>
  <si>
    <t>Weeks in fiscal period</t>
  </si>
  <si>
    <t>S3/S7 "Number of Weeks in Reporting Period": issuer-disclosed 2025 13/13/13/13, 2026 12/13/13/14 (verified). Row 7 days are calendar days between close dates and differ by design.</t>
  </si>
  <si>
    <t>Δ Y/Y (weeks)</t>
  </si>
  <si>
    <t>Δ Q/Q (weeks)</t>
  </si>
  <si>
    <t>Sales per week</t>
  </si>
  <si>
    <t>CapIQ revenue actual (Inputs)</t>
  </si>
  <si>
    <t>Check: revenue - CapIQ actual</t>
  </si>
  <si>
    <t>Check: Geo total - total revenue</t>
  </si>
  <si>
    <t>Check: all ties (TRUE = pass)</t>
  </si>
  <si>
    <t>Segment - Aeronautics — Aeronautics</t>
  </si>
  <si>
    <t>Backlog ladder (remaining performance obligations)</t>
  </si>
  <si>
    <t>Opening backlog</t>
  </si>
  <si>
    <t>Prior period closing backlog</t>
  </si>
  <si>
    <t>Less: sales recognized</t>
  </si>
  <si>
    <t>Net orders (derived)</t>
  </si>
  <si>
    <t>Closing backlog</t>
  </si>
  <si>
    <t>S3,S5,S7,S9,S11,S12,S13 backlog tables</t>
  </si>
  <si>
    <t>Average backlog</t>
  </si>
  <si>
    <t>Book-to-bill (orders / sales)</t>
  </si>
  <si>
    <t>Backlog conversion (% of opening)</t>
  </si>
  <si>
    <t>Net change in backlog (closing - opening)</t>
  </si>
  <si>
    <t>Sales by product / service (reported components)</t>
  </si>
  <si>
    <t>Products</t>
  </si>
  <si>
    <t>S3,S4 (2Q); S5,S6 (1Q); S9,S10 (3Q,9M); S8 (FY)</t>
  </si>
  <si>
    <t>Products % of segment sales</t>
  </si>
  <si>
    <t>Services</t>
  </si>
  <si>
    <t>Services % of segment sales</t>
  </si>
  <si>
    <t>Total Aeronautics sales</t>
  </si>
  <si>
    <t>Subtotal of reported components</t>
  </si>
  <si>
    <t>Sales by contract type</t>
  </si>
  <si>
    <t>Fixed-price</t>
  </si>
  <si>
    <t>Fixed-price % of sales</t>
  </si>
  <si>
    <t>Cost-reimbursable</t>
  </si>
  <si>
    <t>Cost-reimbursable % of sales</t>
  </si>
  <si>
    <t>Total by contract type</t>
  </si>
  <si>
    <t>Check: contract type - segment</t>
  </si>
  <si>
    <t>Sales by customer</t>
  </si>
  <si>
    <t>U.S. Government</t>
  </si>
  <si>
    <t>U.S. Government % of sales</t>
  </si>
  <si>
    <t>International (incl. FMS)</t>
  </si>
  <si>
    <t>International % of sales</t>
  </si>
  <si>
    <t>U.S. commercial and other</t>
  </si>
  <si>
    <t>U.S. commercial % of sales</t>
  </si>
  <si>
    <t>Total by customer</t>
  </si>
  <si>
    <t>Check: customer - segment</t>
  </si>
  <si>
    <t>Sales by geographic region</t>
  </si>
  <si>
    <t>United States</t>
  </si>
  <si>
    <t>United States % of sales</t>
  </si>
  <si>
    <t>Europe</t>
  </si>
  <si>
    <t>Europe % of sales</t>
  </si>
  <si>
    <t>Asia Pacific</t>
  </si>
  <si>
    <t>Asia Pacific % of sales</t>
  </si>
  <si>
    <t>Middle East</t>
  </si>
  <si>
    <t>Middle East % of sales</t>
  </si>
  <si>
    <t>Other</t>
  </si>
  <si>
    <t>Other % of sales</t>
  </si>
  <si>
    <t>Total by geography</t>
  </si>
  <si>
    <t>Check: geography - segment</t>
  </si>
  <si>
    <t>S3,S5,S7,S9 segment tables</t>
  </si>
  <si>
    <t>Other segment items (sales - OP)</t>
  </si>
  <si>
    <t>Memo: intersegment sales (eliminated; not in segment sales)</t>
  </si>
  <si>
    <t>Intersegment sales</t>
  </si>
  <si>
    <t>S4,S6,S10 Note 3; S8 R33</t>
  </si>
  <si>
    <t>Operating metrics (unit deliveries)</t>
  </si>
  <si>
    <t>F-35 deliveries (units)</t>
  </si>
  <si>
    <t>n/f</t>
  </si>
  <si>
    <t>S3,S5,S7,S9,S11,S12,S13 delivery tables</t>
  </si>
  <si>
    <t>F-16 deliveries (units)</t>
  </si>
  <si>
    <t>C-130J deliveries (units)</t>
  </si>
  <si>
    <t>F-35 sales, % of LMT sales (approx.)</t>
  </si>
  <si>
    <t>S4,S6,S10 Note 3</t>
  </si>
  <si>
    <t>F-35 program sales (approx.)</t>
  </si>
  <si>
    <t>Check: all cuts tie (TRUE = pass)</t>
  </si>
  <si>
    <t>Segment - MFC — Missiles and Fire Control (MFC)</t>
  </si>
  <si>
    <t>3Q26E 1.0x = placeholder (orders = sales). Funded/definitized portion of the Jul-29 $58.62B PAC-3 MSE multiyear award (S17) cannot be established from frozen sources, so H16:H19 orders/closing backlog are placeholders. No EPS path (sales use opening backlog x H28).</t>
  </si>
  <si>
    <t>Total MFC sales</t>
  </si>
  <si>
    <t>S4,S6,S10 Note 3; S8 R33. Issuer values verified: 9M25 P188 = 616 (S10); 1Q25 169 (S6) + 2Q25 231 (S4) + 3Q25 218 = 618, but S4 6M25 comparative 398 + 218 = 616. +/-2 vs RMS is issuer recast/rounding non-comparability; derived D188 inherits it. Not plugged.</t>
  </si>
  <si>
    <t>Segment - RMS — Rotary and Mission Systems (RMS)</t>
  </si>
  <si>
    <t>Total RMS sales</t>
  </si>
  <si>
    <t>S4,S6,S10 Note 3; S8 R33. Issuer values verified: 9M25 P188 = 1,778 (S10); 1Q25 564 (S6) + 2Q25 632 (S4) + 3Q25 580 = 1,776, but S4 6M25 comparative 1,198 + 580 = 1,778. +/-2 vs MFC is issuer recast/rounding non-comparability; derived D188 inherits it. Not plugged.</t>
  </si>
  <si>
    <t>Gov. helicopter deliveries</t>
  </si>
  <si>
    <t>Commercial helicopter deliveries</t>
  </si>
  <si>
    <t>Intl. military helicopter deliveries</t>
  </si>
  <si>
    <t>Segment - Space — Space</t>
  </si>
  <si>
    <t>Total Space sales</t>
  </si>
  <si>
    <t>3Q26E (H137/H147/H157): original judgment shares Europe 0.9% / Asia Pacific 0.8% / Middle East 0.1% summed 1.8% vs non-US share 1.7% (= International H103 = 1 - US H127), giving Other -3.55. Mechanically rescaled x(1.7%/1.8%) to sum to H103; US share, segment sales and OP unchanged; no EPS effect.</t>
  </si>
  <si>
    <t>S3,S4 (2Q); S5,S6 (1Q); S9,S10 (3Q,9M); S8 (FY). FY25 109 (S8 10-K R33) &lt; 9M25 128 (S10), both verified as reported; derived 4Q25 D143 = -19 (and D99 = 14) reflect FY vs YTD basis/recast non-comparability. Not plugged.</t>
  </si>
  <si>
    <t>Income Statement</t>
  </si>
  <si>
    <t>Consolidated statement of earnings</t>
  </si>
  <si>
    <t>Segment tabs (product sales)</t>
  </si>
  <si>
    <t>Segment tabs (service sales)</t>
  </si>
  <si>
    <t>Check: net sales - Revenue summary total (= 0)</t>
  </si>
  <si>
    <t>Cost of sales - products</t>
  </si>
  <si>
    <t>S4,S6,S10 MD&amp;A; S8 R3 (10-K)</t>
  </si>
  <si>
    <t>Product costs % of product sales</t>
  </si>
  <si>
    <t>Cost of sales - services</t>
  </si>
  <si>
    <t>S4,S6,S10 MD&amp;A; S8 R3 (10-K). 3Q26E = residual (H45 - H29 - H41 - H42); absorbs the H42 definition difference (see R42)</t>
  </si>
  <si>
    <t>Service costs % of service sales</t>
  </si>
  <si>
    <t>Impairment and other charges</t>
  </si>
  <si>
    <t>Equals unallocated item (below)</t>
  </si>
  <si>
    <t>Other unallocated, net</t>
  </si>
  <si>
    <t>S4,S6,S10 MD&amp;A; S8 R3 (10-K). 3Q26E is a modeled total = FAS/CAS H93 + amortization H99 + Other, net H102 (= row 105), not the historical MD&amp;A cost-line basis (history differs from row 105 by 1-41, avg 16.5). OP is set by the segment build (row 108), so EPS is unaffected; service cost H35 absorbs the difference.</t>
  </si>
  <si>
    <t>Total operating costs and expenses</t>
  </si>
  <si>
    <t>Check: cost lines - reported total (= 0)</t>
  </si>
  <si>
    <t>Gross profit</t>
  </si>
  <si>
    <t>Gross margin</t>
  </si>
  <si>
    <t>Other income (expense), net</t>
  </si>
  <si>
    <t>S3,S5,S7,S9</t>
  </si>
  <si>
    <t>Operating profit</t>
  </si>
  <si>
    <t>Interest expense</t>
  </si>
  <si>
    <t>Non-service FAS pension</t>
  </si>
  <si>
    <t>Other non-operating income, net</t>
  </si>
  <si>
    <t>Earnings before income taxes</t>
  </si>
  <si>
    <t>Income tax expense</t>
  </si>
  <si>
    <t>Net earnings to common</t>
  </si>
  <si>
    <t>Net margin</t>
  </si>
  <si>
    <t>Segment operating profit to consolidated operating profit</t>
  </si>
  <si>
    <t>Business segment OP (non-GAAP)</t>
  </si>
  <si>
    <t>FAS/CAS operating adjustment</t>
  </si>
  <si>
    <t>Intangible amortization</t>
  </si>
  <si>
    <t>Other, net (unallocated)</t>
  </si>
  <si>
    <t>S3,S5,S7,S9. 3Q26E -95 is the original judgment (deferred-comp MTM gain, S&amp;P 500 +2.03% in Q3, S19); MTM size not disclosed - unresolved. Reconciled to FY26 guide -490: 2H remaining -304, implied 4Q26 -209, even pacing -152 (Guidance rows 61-69).</t>
  </si>
  <si>
    <t>Total unallocated items</t>
  </si>
  <si>
    <t>Consolidated OP (segment build)</t>
  </si>
  <si>
    <t>Check: segment build - stated OP</t>
  </si>
  <si>
    <t>Per share (GAAP)</t>
  </si>
  <si>
    <t>Weighted avg. basic shares (M)</t>
  </si>
  <si>
    <t>Share Count</t>
  </si>
  <si>
    <t>Weighted avg. diluted shares (M)</t>
  </si>
  <si>
    <t>Basic EPS (GAAP)</t>
  </si>
  <si>
    <t>Diluted EPS (GAAP)</t>
  </si>
  <si>
    <t>GAAP to non-GAAP bridge (after-tax, $M) and EPS on consensus basis</t>
  </si>
  <si>
    <t>Net earnings (GAAP)</t>
  </si>
  <si>
    <t>Add: program reach-forward losses</t>
  </si>
  <si>
    <t>S7, S11</t>
  </si>
  <si>
    <t>Add: fixed-asset write-off (NGAD)</t>
  </si>
  <si>
    <t>Add: pension settlement charge</t>
  </si>
  <si>
    <t>Add/(less): discrete tax items</t>
  </si>
  <si>
    <t>Total issuer-identified items</t>
  </si>
  <si>
    <t>Net earnings excl. special items</t>
  </si>
  <si>
    <t>EPS excl. special items</t>
  </si>
  <si>
    <t>CapIQ normalization adjustments</t>
  </si>
  <si>
    <t>Net earnings - consensus basis</t>
  </si>
  <si>
    <t>Normalized diluted EPS</t>
  </si>
  <si>
    <t>Ties to CapIQ history and reported figures</t>
  </si>
  <si>
    <t>CapIQ normalized EPS actual</t>
  </si>
  <si>
    <t>CapIQ GAAP EPS actual</t>
  </si>
  <si>
    <t>Reported diluted EPS</t>
  </si>
  <si>
    <t>Check: computed - reported EPS</t>
  </si>
  <si>
    <t>Check: norm. EPS - CapIQ actual</t>
  </si>
  <si>
    <t>Check: IS ties (TRUE = pass)</t>
  </si>
  <si>
    <t>Balance Sheet</t>
  </si>
  <si>
    <t>Assets</t>
  </si>
  <si>
    <t>Cash and cash equivalents</t>
  </si>
  <si>
    <t>S3,S5,S7(recast in S3/S5),S9</t>
  </si>
  <si>
    <t>Receivables, net</t>
  </si>
  <si>
    <t>Contract assets</t>
  </si>
  <si>
    <t>Inventories</t>
  </si>
  <si>
    <t>Other current assets</t>
  </si>
  <si>
    <t>Total current assets</t>
  </si>
  <si>
    <t>PP&amp;E, net (incl. capitalized software)</t>
  </si>
  <si>
    <t>S3,S5,S7(recast in S3/S5),S9. 3Q25 C28 (S9) is pre-reclassification (capitalized software then in other noncurrent assets); no 3Q25 restatement in sources - not comparable. D29 and Y/Y H30 reflect reclassification, not activity.</t>
  </si>
  <si>
    <t>Goodwill</t>
  </si>
  <si>
    <t>Intangible assets, net</t>
  </si>
  <si>
    <t>Deferred income taxes</t>
  </si>
  <si>
    <t>Other noncurrent assets</t>
  </si>
  <si>
    <t>S3,S5,S7(recast in S3/S5),S9. 3Q25 C40 (S9) includes capitalized software (moved out from Dec-25, S7); not comparable - D41 and Y/Y H42 reflect reclassification.</t>
  </si>
  <si>
    <t>Total assets</t>
  </si>
  <si>
    <t>Liabilities</t>
  </si>
  <si>
    <t>Accounts payable</t>
  </si>
  <si>
    <t>Salaries, benefits and payroll taxes</t>
  </si>
  <si>
    <t>Contract liabilities</t>
  </si>
  <si>
    <t>Current maturities of long-term debt</t>
  </si>
  <si>
    <t>Other current liabilities</t>
  </si>
  <si>
    <t>Total current liabilities</t>
  </si>
  <si>
    <t>Long-term debt, net</t>
  </si>
  <si>
    <t>Accrued pension liabilities</t>
  </si>
  <si>
    <t>Other noncurrent liabilities</t>
  </si>
  <si>
    <t>Total liabilities</t>
  </si>
  <si>
    <t>Stockholders' equity</t>
  </si>
  <si>
    <t>Common stock, $1 par value</t>
  </si>
  <si>
    <t>Additional paid-in capital</t>
  </si>
  <si>
    <t>Retained earnings</t>
  </si>
  <si>
    <t>Accumulated OCI</t>
  </si>
  <si>
    <t>Total stockholders' equity</t>
  </si>
  <si>
    <t>Total liabilities and equity</t>
  </si>
  <si>
    <t>Check: assets - liab. - equity</t>
  </si>
  <si>
    <t>Balance sheet ratios</t>
  </si>
  <si>
    <t>Net debt (debt - cash)</t>
  </si>
  <si>
    <t>Net contract working capital</t>
  </si>
  <si>
    <t>Check: balances (TRUE = pass)</t>
  </si>
  <si>
    <t>Cash Flow Statement</t>
  </si>
  <si>
    <t>6M25A YTD</t>
  </si>
  <si>
    <t>6M26A YTD</t>
  </si>
  <si>
    <t>Operating activities</t>
  </si>
  <si>
    <t>Net earnings</t>
  </si>
  <si>
    <t>Depreciation and amortization</t>
  </si>
  <si>
    <t>S3,S5,S7,S9 (YTD); quarters derived</t>
  </si>
  <si>
    <t>Stock-based compensation</t>
  </si>
  <si>
    <t>Pension settlement charge</t>
  </si>
  <si>
    <t>Reach-forward losses</t>
  </si>
  <si>
    <t>Qualified DB pension plans</t>
  </si>
  <si>
    <t>Income taxes</t>
  </si>
  <si>
    <t>Other, net (operating)</t>
  </si>
  <si>
    <t>Cash from operating activities</t>
  </si>
  <si>
    <t>Investing activities</t>
  </si>
  <si>
    <t>Capital expenditures</t>
  </si>
  <si>
    <t>Other, net (investing)</t>
  </si>
  <si>
    <t>Cash used for investing</t>
  </si>
  <si>
    <t>Financing activities</t>
  </si>
  <si>
    <t>Issuance of long-term debt, net</t>
  </si>
  <si>
    <t>Repayments of long-term debt</t>
  </si>
  <si>
    <t>Commercial paper, net</t>
  </si>
  <si>
    <t>Repurchases of common stock</t>
  </si>
  <si>
    <t>Dividends paid</t>
  </si>
  <si>
    <t>Other, net (financing)</t>
  </si>
  <si>
    <t>Cash used for financing</t>
  </si>
  <si>
    <t>Net change in cash</t>
  </si>
  <si>
    <t>Cash at beginning of period</t>
  </si>
  <si>
    <t>Prior period ending cash</t>
  </si>
  <si>
    <t>Cash at end of period</t>
  </si>
  <si>
    <t>Check: ending cash - BS cash</t>
  </si>
  <si>
    <t>Free cash flow (issuer definition: cash from operations less capital expenditures)</t>
  </si>
  <si>
    <t>Free cash flow</t>
  </si>
  <si>
    <t>FCF margin (% of sales)</t>
  </si>
  <si>
    <t>FCF conversion (% of net earnings)</t>
  </si>
  <si>
    <t>Check: cash ties (TRUE = pass)</t>
  </si>
  <si>
    <t>Geo — sales by geographic region and customer</t>
  </si>
  <si>
    <t>Sales by geographic region (sum of segment disclosures)</t>
  </si>
  <si>
    <t>Segment tabs</t>
  </si>
  <si>
    <t>Total sales by geography</t>
  </si>
  <si>
    <t>International (non-U.S.)</t>
  </si>
  <si>
    <t>Check: geography - total revenue</t>
  </si>
  <si>
    <t>Sales by customer (sum of segment disclosures)</t>
  </si>
  <si>
    <t>Total sales by customer</t>
  </si>
  <si>
    <t>Check: customer - total revenue</t>
  </si>
  <si>
    <t>Check: Geo ties (TRUE = pass)</t>
  </si>
  <si>
    <t>Weighted average shares (millions)</t>
  </si>
  <si>
    <t>Weighted average basic shares</t>
  </si>
  <si>
    <t>S3,S5,S7,S9 statements of earnings</t>
  </si>
  <si>
    <t>Net change in basic shares</t>
  </si>
  <si>
    <t>Dilutive effect of RSUs / PSUs</t>
  </si>
  <si>
    <t>Weighted average diluted shares</t>
  </si>
  <si>
    <t>Shares outstanding, buybacks and dividends</t>
  </si>
  <si>
    <t>Shares outstanding, period end (M)</t>
  </si>
  <si>
    <t>Balance Sheet common stock ($1 par)</t>
  </si>
  <si>
    <t>Shares outstanding, 10-Q cover (M)</t>
  </si>
  <si>
    <t>S4 cover: 230,790,753 at Jul 20 2026; S6 cover: 230,563,608 at Apr 20 2026</t>
  </si>
  <si>
    <t>Share repurchases ($M)</t>
  </si>
  <si>
    <t>Shares repurchased (millions)</t>
  </si>
  <si>
    <t>S7</t>
  </si>
  <si>
    <t>Dividends paid ($M)</t>
  </si>
  <si>
    <t>Dividend per share declared ($)</t>
  </si>
  <si>
    <t>S9 ($3.45 from 4Q25), dividend history</t>
  </si>
  <si>
    <t>Shares for 3Q26 dividend (M)</t>
  </si>
  <si>
    <t>Forecast EPS share count</t>
  </si>
  <si>
    <t>EPS = net earnings / diluted shares</t>
  </si>
  <si>
    <t>Check: EPS vs Income Statement</t>
  </si>
  <si>
    <t>Check: EPS ties (TRUE = pass)</t>
  </si>
  <si>
    <t>Memo: 3Q26E share-count cross-check (not used in EPS; weighted-share judgment retained)</t>
  </si>
  <si>
    <t>Weighted basic less 10-Q cover count (M)</t>
  </si>
  <si>
    <t>Alt. A diluted: Jul-20 cover count + dilution (M)</t>
  </si>
  <si>
    <t>Alt. A EPS ($)</t>
  </si>
  <si>
    <t>Alt. B diluted: Jul-20 count + 2Q26 weighted-vs-cover gap + dilution (M)</t>
  </si>
  <si>
    <t>Alt. B EPS ($)</t>
  </si>
  <si>
    <t>Zero 3Q26 buybacks (H26) but basic 230.3 sits 0.49M below the Jul-20 cover count; the issuer's 2Q26 weighted basic was also 0.36M below its in-quarter Apr-20 count with zero buybacks, so a point count is not a weighted average. Unresolved; EPS kept on H17.</t>
  </si>
  <si>
    <t>Guidance</t>
  </si>
  <si>
    <t>Company guidance log (one row per guidance item)</t>
  </si>
  <si>
    <t>Date issued</t>
  </si>
  <si>
    <t>Low</t>
  </si>
  <si>
    <t>High</t>
  </si>
  <si>
    <t>Midpoint</t>
  </si>
  <si>
    <t>Actual</t>
  </si>
  <si>
    <t>Actual - midpoint</t>
  </si>
  <si>
    <t>Beat / miss</t>
  </si>
  <si>
    <t>Source</t>
  </si>
  <si>
    <t>FY2025</t>
  </si>
  <si>
    <t>Sales ($M)</t>
  </si>
  <si>
    <t>S11</t>
  </si>
  <si>
    <t>Business segment operating profit ($M)</t>
  </si>
  <si>
    <t>Diluted EPS ($)</t>
  </si>
  <si>
    <t>Cash from operations ($M)</t>
  </si>
  <si>
    <t>S9</t>
  </si>
  <si>
    <t>Capital expenditures ($M)</t>
  </si>
  <si>
    <t>FY2026</t>
  </si>
  <si>
    <t>n/a (period open)</t>
  </si>
  <si>
    <t>All metrics reaffirmed (sales 77,500-80,000; EPS 29.35-30.25)</t>
  </si>
  <si>
    <t>S5</t>
  </si>
  <si>
    <t>S3</t>
  </si>
  <si>
    <t>Total FAS/CAS pension adjustment ($M)</t>
  </si>
  <si>
    <t>FAS/CAS operating adjustment ($M)</t>
  </si>
  <si>
    <t>Intangible asset amortization ($M)</t>
  </si>
  <si>
    <t>Other, net unallocated ($M)</t>
  </si>
  <si>
    <t>Aeronautics sales ($M)</t>
  </si>
  <si>
    <t>S14</t>
  </si>
  <si>
    <t>Aeronautics operating profit ($M)</t>
  </si>
  <si>
    <t>MFC sales ($M)</t>
  </si>
  <si>
    <t>MFC operating profit ($M)</t>
  </si>
  <si>
    <t>RMS sales ($M)</t>
  </si>
  <si>
    <t>RMS operating profit ($M)</t>
  </si>
  <si>
    <t>Space sales ($M)</t>
  </si>
  <si>
    <t>Space operating profit ($M)</t>
  </si>
  <si>
    <t>2H2026</t>
  </si>
  <si>
    <t>Sales growth vs 2H2025 (%)</t>
  </si>
  <si>
    <t>* FY2025 EPS 'Miss' (J14, J19) is not a matched basis: actual is GAAP 21.49 incl. the $1.63/sh 4Q25 pension settlement charge, which guidance excluded. Excluding that charge only (~23.12) both rows would beat. FY2025 sales, segment OP, CFO and FCF landed above midpoints.</t>
  </si>
  <si>
    <t>Guidance-implied 3Q26 cross-check (FY26 Jul-23 midpoints)</t>
  </si>
  <si>
    <t>Item</t>
  </si>
  <si>
    <t>Segment OP ($M)</t>
  </si>
  <si>
    <t>Note</t>
  </si>
  <si>
    <t>FY2026 guidance midpoint</t>
  </si>
  <si>
    <t>1H2026 actual (1Q26A + 2Q26A)</t>
  </si>
  <si>
    <t>EPS sum of quarters (approximation)</t>
  </si>
  <si>
    <t>Implied 2H2026 at midpoint</t>
  </si>
  <si>
    <t>Shortcut 3Q26E</t>
  </si>
  <si>
    <t>3Q26E share of implied 2H (3Q = 13 of 27 weeks = 48.1%)</t>
  </si>
  <si>
    <t>Implied 4Q26 (14 weeks) at guidance midpoint</t>
  </si>
  <si>
    <t>Guidance record: FY25 sales, segment OP, CFO and FCF finished above Oct-25 midpoints; 2026 guide raised in Jul-26 -&gt; mildly conservative guider.</t>
  </si>
  <si>
    <t>FY26 'Other, net' unallocated reconciliation (3Q26E judgment retained; MTM size unresolved)</t>
  </si>
  <si>
    <t>Other, net ($M)</t>
  </si>
  <si>
    <t>EPS vs modeled 3Q26E ($)</t>
  </si>
  <si>
    <t>FY2026 guidance (Jul-23)</t>
  </si>
  <si>
    <t>2H2026 remaining at guide</t>
  </si>
  <si>
    <t>3Q26E modeled (judgment)</t>
  </si>
  <si>
    <t>Implied 4Q26 at guidance</t>
  </si>
  <si>
    <t>Even 2H pacing (memo only)</t>
  </si>
  <si>
    <t>EPS effect per $1M</t>
  </si>
  <si>
    <t>-95 is the original judgment (S&amp;P 500 +2.03% in Q3 implies a deferred-comp mark-to-market gain); its size is not disclosed, so it is retained and labelled unresolved. Even pacing is shown for sensitivity only and is not substituted.</t>
  </si>
  <si>
    <t>Inputs — S&amp;P Capital IQ files and prior calibration</t>
  </si>
  <si>
    <t>A. S&amp;P Capital IQ summary row (LMT_consensus.json -&gt; summary_row), complete and unedited</t>
  </si>
  <si>
    <t>Field</t>
  </si>
  <si>
    <t>Value</t>
  </si>
  <si>
    <t>ticker</t>
  </si>
  <si>
    <t>LMT</t>
  </si>
  <si>
    <t>LMT_consensus.json | summary_row | ticker: LMT</t>
  </si>
  <si>
    <t>company_name</t>
  </si>
  <si>
    <t>LMT_consensus.json | summary_row | company_name: Lockheed Martin Corporation</t>
  </si>
  <si>
    <t>exchange_ticker</t>
  </si>
  <si>
    <t>NYSE:LMT</t>
  </si>
  <si>
    <t>LMT_consensus.json | summary_row | exchange_ticker: NYSE:LMT</t>
  </si>
  <si>
    <t>capiq_company_id</t>
  </si>
  <si>
    <t>LMT_consensus.json | summary_row | capiq_company_id: 285827</t>
  </si>
  <si>
    <t>currency_basis</t>
  </si>
  <si>
    <t>USD</t>
  </si>
  <si>
    <t>LMT_consensus.json | summary_row | currency_basis: USD</t>
  </si>
  <si>
    <t>fiscal_year_end</t>
  </si>
  <si>
    <t>Dec-31</t>
  </si>
  <si>
    <t>LMT_consensus.json | summary_row | fiscal_year_end: Dec-31</t>
  </si>
  <si>
    <t>fiscal_quarter</t>
  </si>
  <si>
    <t>FQ3 2026 - Sep 2026</t>
  </si>
  <si>
    <t>LMT_consensus.json | summary_row | fiscal_quarter: FQ3 2026 - Sep 2026</t>
  </si>
  <si>
    <t>quarter_end_date</t>
  </si>
  <si>
    <t>LMT_consensus.json | summary_row | quarter_end_date: 2026-09-30</t>
  </si>
  <si>
    <t>expected_report_date</t>
  </si>
  <si>
    <t>LMT_consensus.json | summary_row | expected_report_date: 2026-10-20</t>
  </si>
  <si>
    <t>eps_basis</t>
  </si>
  <si>
    <t>normalized diluted and GAAP diluted, as labelled</t>
  </si>
  <si>
    <t>LMT_consensus.json | summary_row | eps_basis: normalized diluted and GAAP diluted, as labelled</t>
  </si>
  <si>
    <t>eps_normalized_estimates</t>
  </si>
  <si>
    <t>LMT_consensus.json | summary_row | eps_normalized_estimates: 14</t>
  </si>
  <si>
    <t>eps_normalized_contributors</t>
  </si>
  <si>
    <t>LMT_consensus.json | summary_row | eps_normalized_contributors: 14</t>
  </si>
  <si>
    <t>detail_tab_total_contributors</t>
  </si>
  <si>
    <t>blank in source (unavailable)</t>
  </si>
  <si>
    <t>eps_normalized_mean</t>
  </si>
  <si>
    <t>LMT_consensus.json | summary_row | eps_normalized_mean: 7.52</t>
  </si>
  <si>
    <t>eps_normalized_median</t>
  </si>
  <si>
    <t>LMT_consensus.json | summary_row | eps_normalized_median: 7.55</t>
  </si>
  <si>
    <t>eps_normalized_high</t>
  </si>
  <si>
    <t>LMT_consensus.json | summary_row | eps_normalized_high: 7.87</t>
  </si>
  <si>
    <t>eps_normalized_low</t>
  </si>
  <si>
    <t>LMT_consensus.json | summary_row | eps_normalized_low: 7.21</t>
  </si>
  <si>
    <t>eps_normalized_std_dev</t>
  </si>
  <si>
    <t>LMT_consensus.json | summary_row | eps_normalized_std_dev: 0.17</t>
  </si>
  <si>
    <t>eps_normalized_n_est</t>
  </si>
  <si>
    <t>LMT_consensus.json | summary_row | eps_normalized_n_est: 14</t>
  </si>
  <si>
    <t>eps_normalized_guidance</t>
  </si>
  <si>
    <t>eps_normalized_guidance_low</t>
  </si>
  <si>
    <t>eps_normalized_guidance_high</t>
  </si>
  <si>
    <t>eps_gaap_mean</t>
  </si>
  <si>
    <t>LMT_consensus.json | summary_row | eps_gaap_mean: 7.52</t>
  </si>
  <si>
    <t>eps_gaap_median</t>
  </si>
  <si>
    <t>LMT_consensus.json | summary_row | eps_gaap_median: 7.56</t>
  </si>
  <si>
    <t>eps_gaap_high</t>
  </si>
  <si>
    <t>LMT_consensus.json | summary_row | eps_gaap_high: 7.87</t>
  </si>
  <si>
    <t>eps_gaap_low</t>
  </si>
  <si>
    <t>LMT_consensus.json | summary_row | eps_gaap_low: 7.12</t>
  </si>
  <si>
    <t>eps_gaap_std_dev</t>
  </si>
  <si>
    <t>LMT_consensus.json | summary_row | eps_gaap_std_dev: 0.19</t>
  </si>
  <si>
    <t>eps_gaap_n_est</t>
  </si>
  <si>
    <t>LMT_consensus.json | summary_row | eps_gaap_n_est: 16</t>
  </si>
  <si>
    <t>eps_gaap_guidance</t>
  </si>
  <si>
    <t>eps_gaap_guidance_low</t>
  </si>
  <si>
    <t>eps_gaap_guidance_high</t>
  </si>
  <si>
    <t>revenue_mean</t>
  </si>
  <si>
    <t>LMT_consensus.json | summary_row | revenue_mean: 20462.89</t>
  </si>
  <si>
    <t>revenue_median</t>
  </si>
  <si>
    <t>LMT_consensus.json | summary_row | revenue_median: 20492.5</t>
  </si>
  <si>
    <t>revenue_high</t>
  </si>
  <si>
    <t>LMT_consensus.json | summary_row | revenue_high: 20870.0</t>
  </si>
  <si>
    <t>revenue_low</t>
  </si>
  <si>
    <t>LMT_consensus.json | summary_row | revenue_low: 19791.0</t>
  </si>
  <si>
    <t>revenue_std_dev</t>
  </si>
  <si>
    <t>LMT_consensus.json | summary_row | revenue_std_dev: 283.64</t>
  </si>
  <si>
    <t>revenue_n_est</t>
  </si>
  <si>
    <t>LMT_consensus.json | summary_row | revenue_n_est: 18</t>
  </si>
  <si>
    <t>revenue_guidance</t>
  </si>
  <si>
    <t>revenue_guidance_low</t>
  </si>
  <si>
    <t>revenue_guidance_high</t>
  </si>
  <si>
    <t>ebitda</t>
  </si>
  <si>
    <t>LMT_consensus.json | summary_row | ebitda: 2826.31</t>
  </si>
  <si>
    <t>ebit</t>
  </si>
  <si>
    <t>LMT_consensus.json | summary_row | ebit: 2468.17</t>
  </si>
  <si>
    <t>ebt_excl_excep</t>
  </si>
  <si>
    <t>LMT_consensus.json | summary_row | ebt_excl_excep: 2081.56</t>
  </si>
  <si>
    <t>ebt_gaap</t>
  </si>
  <si>
    <t>LMT_consensus.json | summary_row | ebt_gaap: 2084.34</t>
  </si>
  <si>
    <t>net_income_excl_excep</t>
  </si>
  <si>
    <t>LMT_consensus.json | summary_row | net_income_excl_excep: 1743.18</t>
  </si>
  <si>
    <t>net_income_gaap</t>
  </si>
  <si>
    <t>LMT_consensus.json | summary_row | net_income_gaap: 1738.55</t>
  </si>
  <si>
    <t>gross_margin_pct</t>
  </si>
  <si>
    <t>effective_tax_rate_pct</t>
  </si>
  <si>
    <t>d_and_a</t>
  </si>
  <si>
    <t>LMT_consensus.json | summary_row | d_and_a: 420.0</t>
  </si>
  <si>
    <t>capex</t>
  </si>
  <si>
    <t>cfo</t>
  </si>
  <si>
    <t>fcf</t>
  </si>
  <si>
    <t>interest_expense</t>
  </si>
  <si>
    <t>LMT_consensus.json | summary_row | interest_expense: -271.73</t>
  </si>
  <si>
    <t>net_debt</t>
  </si>
  <si>
    <t>LMT_consensus.json | summary_row | net_debt: 16707.0</t>
  </si>
  <si>
    <t>nav</t>
  </si>
  <si>
    <t>roe_pct</t>
  </si>
  <si>
    <t>target_price_mean</t>
  </si>
  <si>
    <t>LMT_consensus.json | summary_row | target_price_mean: 618.86</t>
  </si>
  <si>
    <t>target_price_median</t>
  </si>
  <si>
    <t>LMT_consensus.json | summary_row | target_price_median: 600.0</t>
  </si>
  <si>
    <t>target_price_high</t>
  </si>
  <si>
    <t>LMT_consensus.json | summary_row | target_price_high: 756.0</t>
  </si>
  <si>
    <t>target_price_low</t>
  </si>
  <si>
    <t>LMT_consensus.json | summary_row | target_price_low: 486.0</t>
  </si>
  <si>
    <t>target_price_std_dev</t>
  </si>
  <si>
    <t>LMT_consensus.json | summary_row | target_price_std_dev: 63.78</t>
  </si>
  <si>
    <t>target_price_n_est</t>
  </si>
  <si>
    <t>LMT_consensus.json | summary_row | target_price_n_est: 21</t>
  </si>
  <si>
    <t>recommendation</t>
  </si>
  <si>
    <t>Outperform</t>
  </si>
  <si>
    <t>LMT_consensus.json | summary_row | recommendation: Outperform</t>
  </si>
  <si>
    <t>recommendation_score</t>
  </si>
  <si>
    <t>LMT_consensus.json | summary_row | recommendation_score: 2.30</t>
  </si>
  <si>
    <t>last_close_price</t>
  </si>
  <si>
    <t>LMT_consensus.json | summary_row | last_close_price: 552.09</t>
  </si>
  <si>
    <t>wk52_high_low</t>
  </si>
  <si>
    <t>692.00/437.25</t>
  </si>
  <si>
    <t>LMT_consensus.json | summary_row | wk52_high_low: 692.00/437.25</t>
  </si>
  <si>
    <t>estimates_captured_at</t>
  </si>
  <si>
    <t>LMT_consensus.json | summary_row | estimates_captured_at: 2026-10-18</t>
  </si>
  <si>
    <t>notes</t>
  </si>
  <si>
    <t>Jun-2025 normalized actual 1.46 against 6.47 consensus reflects classified-program losses; CapIQ carries that charge inside normalized, so that quarter is an outlier</t>
  </si>
  <si>
    <t>LMT_consensus.json | summary_row | notes: Jun-2025 normalized actual 1.46 against 6.47 consensus reflects classified-program losses; CapIQ carries that charge inside normalized, so that quarter is an outlier</t>
  </si>
  <si>
    <t>B. S&amp;P Capital IQ six-quarter history (LMT_history.csv), complete and unedited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</si>
  <si>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</si>
  <si>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</si>
  <si>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</si>
  <si>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</si>
  <si>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</si>
  <si>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</si>
  <si>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</si>
  <si>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</si>
  <si>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beat (1/0)</t>
  </si>
  <si>
    <t>Normalized surprise ($/sh)</t>
  </si>
  <si>
    <t>GAAP surprise ($/sh)</t>
  </si>
  <si>
    <t>Note: CapIQ normalized actual equals GAAP actual in all six quarters; Jun-2025 (1.46) includes classified-program losses inside normalized (outlier kept: same basis).</t>
  </si>
  <si>
    <t>C. CapIQ consensus file metadata (LMT_consensus.json top level)</t>
  </si>
  <si>
    <t>source</t>
  </si>
  <si>
    <t>S&amp;P Capital IQ</t>
  </si>
  <si>
    <t>company</t>
  </si>
  <si>
    <t>fiscal_period</t>
  </si>
  <si>
    <t>as_of_date</t>
  </si>
  <si>
    <t>analyst_count</t>
  </si>
  <si>
    <t>consensus_eps</t>
  </si>
  <si>
    <t>Normalized diluted EPS per ordinary/common share, USD; verify issuer adjustments and share identity</t>
  </si>
  <si>
    <t>consensus_revenue_m</t>
  </si>
  <si>
    <t>currency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</si>
  <si>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</si>
  <si>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</si>
  <si>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</si>
  <si>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</si>
  <si>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</si>
  <si>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</si>
  <si>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</si>
  <si>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</si>
  <si>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</si>
  <si>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</si>
  <si>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</si>
  <si>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</si>
  <si>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</si>
  <si>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</si>
  <si>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</si>
  <si>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Coverage: issuer_defined_ebitda not applicable - LMT reports no EBITDA measure (C52 is CapIQ consensus, not issuer-defined). organic_revenue_growth unavailable - FX/M&amp;A contribution not disclosed (rows show n/d -&gt; n/a).</t>
  </si>
  <si>
    <t>D. Prior calibration (forecasting playbook v2: size and issuer history)</t>
  </si>
  <si>
    <t>Market capitalization ($B)</t>
  </si>
  <si>
    <t>S20 public.com: $127.42B as of Oct 16, 2026 (blank in CapIQ export)</t>
  </si>
  <si>
    <t>Market cap date</t>
  </si>
  <si>
    <t>Cross-check: last close x 10-Q cover shares ($B)</t>
  </si>
  <si>
    <t>$552.09 x 230.79M shares</t>
  </si>
  <si>
    <t>Size threshold: mid-cap floor ($B)</t>
  </si>
  <si>
    <t>Playbook: small $0.3-2B</t>
  </si>
  <si>
    <t>Size threshold: large-cap floor ($B)</t>
  </si>
  <si>
    <t>Playbook: mid $2-10B; large &gt; $10B</t>
  </si>
  <si>
    <t>Cohort prior: small</t>
  </si>
  <si>
    <t>Cohort prior: mid</t>
  </si>
  <si>
    <t>Pragmatic interpolation (playbook)</t>
  </si>
  <si>
    <t>Cohort prior: large or S&amp;P 500</t>
  </si>
  <si>
    <t>Size bucket</t>
  </si>
  <si>
    <t>S&amp;P 500 member</t>
  </si>
  <si>
    <t>S21 whichindex.com constituents as of Oct 16, 2026 (LMT weight 0.17%)</t>
  </si>
  <si>
    <t>Cohort prior (applied once)</t>
  </si>
  <si>
    <t>b = strict normalized beats (history)</t>
  </si>
  <si>
    <t>n = valid pairs (history)</t>
  </si>
  <si>
    <t>All six pairs kept: same CapIQ normalized basis; none excluded</t>
  </si>
  <si>
    <t>Pseudo-count (fixed)</t>
  </si>
  <si>
    <t>Starting probability = (8 x prior + b) / (8 + n)</t>
  </si>
  <si>
    <t>Update 1: CFO Q3 risk-retirement warning</t>
  </si>
  <si>
    <t>S15 Sep 17 2026: fewer Q3 risk retirements than Q2/Q4; CapIQ EBIT 2,468 implies ~10.7% segment margin vs model 10.4%</t>
  </si>
  <si>
    <t>Update 2: 14-week 4Q26 calendar shift</t>
  </si>
  <si>
    <t>Guidance-implied 2H sales split by weeks leaves model 3Q revenue 1.5% below consensus</t>
  </si>
  <si>
    <t>Update 3: model EPS vs consensus; charge history</t>
  </si>
  <si>
    <t>Model $7.50 vs $7.52; program charges in 2Q25 and 1Q26 add downside tail</t>
  </si>
  <si>
    <t>Final P(beat consensus EPS)</t>
  </si>
  <si>
    <t>low</t>
  </si>
  <si>
    <t>EPS sensitive to quarterly profit booking adjustments and charges</t>
  </si>
  <si>
    <t>Mean normalized surprise, 6 qtrs ($/sh)</t>
  </si>
  <si>
    <t>Median normalized surprise, 6 qtrs ($/sh)</t>
  </si>
  <si>
    <t>Mean surprise excl. Jun-2025 charge quarter ($/sh)</t>
  </si>
  <si>
    <t>Seasonal comparable 3Q25: +$0.60</t>
  </si>
  <si>
    <t>E. Newer / alternative consensus seen before cutoff (recorded separately; frozen CapIQ snapshot remains the scoring baseline)</t>
  </si>
  <si>
    <t>Provider (source ID)</t>
  </si>
  <si>
    <t>Date</t>
  </si>
  <si>
    <t>EPS</t>
  </si>
  <si>
    <t>MarketBeat via ad-hoc-news (S25)</t>
  </si>
  <si>
    <t>Fiscal AI via Yahoo/The Fly (S24)</t>
  </si>
  <si>
    <t>Zacks (S23)</t>
  </si>
  <si>
    <t>Equibles compiled FY26 EPS (S26)</t>
  </si>
  <si>
    <t>FY2026 EPS, 19 analysts (not quarterly)</t>
  </si>
  <si>
    <t>Sources</t>
  </si>
  <si>
    <t>Source register</t>
  </si>
  <si>
    <t>ID</t>
  </si>
  <si>
    <t>Publication date</t>
  </si>
  <si>
    <t>Publisher</t>
  </si>
  <si>
    <t>URL or file</t>
  </si>
  <si>
    <t>What it feeds</t>
  </si>
  <si>
    <t>S1</t>
  </si>
  <si>
    <t>LMT_consensus.json (attached)</t>
  </si>
  <si>
    <t>Frozen consensus (EPS 7.52, revenue 20,462.89), summary row -&gt; Inputs A/C, Cover</t>
  </si>
  <si>
    <t>S2</t>
  </si>
  <si>
    <t>LMT_history.csv (attached)</t>
  </si>
  <si>
    <t>Six-quarter actual vs consensus -&gt; Inputs B, prior calibration, CapIQ tie checks</t>
  </si>
  <si>
    <t>Lockheed Martin (8-K Ex. 99.1)</t>
  </si>
  <si>
    <t>https://www.sec.gov/Archives/edgar/data/936468/000162828026049277/ex991q22026.htm</t>
  </si>
  <si>
    <t>2Q26/2Q25/6M statements, segments, backlog, deliveries, weeks, FY26 guidance (Jul)</t>
  </si>
  <si>
    <t>S4</t>
  </si>
  <si>
    <t>Lockheed Martin (10-Q)</t>
  </si>
  <si>
    <t>https://www.sec.gov/Archives/edgar/data/936468/000162828026049411/lmt-20260628.htm</t>
  </si>
  <si>
    <t>2Q26/2Q25 sales disaggregation, intersegment, profit booking adj., F-35 share, share count</t>
  </si>
  <si>
    <t>https://www.sec.gov/Archives/edgar/data/936468/000162828026026683/ex991q12026.htm</t>
  </si>
  <si>
    <t>1Q26/1Q25 statements, segments, Mar-26 backlog, recast Dec-25 balance sheet</t>
  </si>
  <si>
    <t>S6</t>
  </si>
  <si>
    <t>https://www.sec.gov/Archives/edgar/data/936468/000162828026026836/lmt-20260329.htm</t>
  </si>
  <si>
    <t>1Q26/1Q25 disaggregation, intersegment, profit booking adj., F-35 share</t>
  </si>
  <si>
    <t>https://www.sec.gov/Archives/edgar/data/936468/000162828026003970/ex991q42025.htm</t>
  </si>
  <si>
    <t>4Q25/FY25 statements, special items, FY25 cash flow, FY26 initial guidance</t>
  </si>
  <si>
    <t>S8</t>
  </si>
  <si>
    <t>Lockheed Martin (10-K)</t>
  </si>
  <si>
    <t>https://www.sec.gov/Archives/edgar/data/936468/000162828026004195/R33.htm</t>
  </si>
  <si>
    <t>FY25/FY24 disaggregation and intersegment sales (XBRL R33 of 10-K lmt-20251231.htm)</t>
  </si>
  <si>
    <t>https://www.sec.gov/Archives/edgar/data/936468/000162828025045582/ex991q32025.htm</t>
  </si>
  <si>
    <t>3Q25/3Q24/9M statements, Sep-25 balance sheet, 9M25 cash flow, FY25 guidance (Oct)</t>
  </si>
  <si>
    <t>S10</t>
  </si>
  <si>
    <t>https://www.sec.gov/Archives/edgar/data/936468/000162828025045693/lmt-20250928.htm</t>
  </si>
  <si>
    <t>3Q25/3Q24/9M disaggregation, intersegment, profit booking adj., F-35 share</t>
  </si>
  <si>
    <t>https://www.sec.gov/Archives/edgar/data/936468/000162828025035502/ex991q22025.htm</t>
  </si>
  <si>
    <t>Jun-25 backlog, 2Q25 deliveries, 2Q25 special items, FY25 guidance (Jul)</t>
  </si>
  <si>
    <t>S12</t>
  </si>
  <si>
    <t>https://www.sec.gov/Archives/edgar/data/936468/000093646825000031/ex991q12025.htm</t>
  </si>
  <si>
    <t>Mar-25 backlog, 1Q25 deliveries</t>
  </si>
  <si>
    <t>S13</t>
  </si>
  <si>
    <t>https://www.sec.gov/Archives/edgar/data/936468/000093646824000107/ex991q32024.htm</t>
  </si>
  <si>
    <t>Sep-24 and Dec-23 backlog, 3Q24 deliveries</t>
  </si>
  <si>
    <t>StockAnalysis (call transcript)</t>
  </si>
  <si>
    <t>https://stockanalysis.com/stocks/lmt/transcripts/653563-q2-2026/</t>
  </si>
  <si>
    <t>Segment FY26 guidance, 2H26 growth 7-12%, ULA impact on Space</t>
  </si>
  <si>
    <t>S15</t>
  </si>
  <si>
    <t>Investing.com (conference transcript)</t>
  </si>
  <si>
    <t>https://www.investing.com/news/transcripts/lockheed-martin-at-morgan-stanley-laguna-conference-mission-shift-93CH-4906081</t>
  </si>
  <si>
    <t>CFO: Q3 fewer risk retirements than Q2/Q4 -&gt; profit booking assumption, P(beat) update</t>
  </si>
  <si>
    <t>S16</t>
  </si>
  <si>
    <t>Lockheed Martin (news release)</t>
  </si>
  <si>
    <t>https://news.lockheedmartin.com/2026-10-01-Lockheed-Martin-Announces-Third-Quarter-2026-Earnings-Results-Webcast</t>
  </si>
  <si>
    <t>Expected report date Oct 22 2026 (target not yet released at cutoff)</t>
  </si>
  <si>
    <t>S17</t>
  </si>
  <si>
    <t>https://news.lockheedmartin.com/2026-07-29-Department-of-War-Awards-Lockheed-Martin-58-62B-for-Multiyear-PAC-3-MSE-Production-to-Strengthen-the-Arsenal-of-Freedom</t>
  </si>
  <si>
    <t>PAC-3 MSE multiyear award (Jul 29 2026, after the Jun-28 quarter end; not in Jun-28 backlog) -&gt; 3Q26 order context only. Jun-28 MFC backlog 87,882 (S3) includes the THAAD $35B multi-year contract.</t>
  </si>
  <si>
    <t>S18</t>
  </si>
  <si>
    <t>LineVest (citing Bloomberg)</t>
  </si>
  <si>
    <t>https://linevestnews.com/article/2026-08-18-ula-united-launch-alliance-1-5-billion-private-bonds-vulcan-grounding-lmt-ba</t>
  </si>
  <si>
    <t>ULA liquidity / Vulcan grounding -&gt; Space margin, other income</t>
  </si>
  <si>
    <t>S19</t>
  </si>
  <si>
    <t>Morningstar / Dow Jones</t>
  </si>
  <si>
    <t>https://www.morningstar.com/news/dow-jones/202609307962/sp-500-rises-203-this-quarter-to-765154-data-talk</t>
  </si>
  <si>
    <t>S&amp;P 500 +2.03% in Q3 -&gt; deferred-comp mark in Other, net</t>
  </si>
  <si>
    <t>S20</t>
  </si>
  <si>
    <t>Public.com</t>
  </si>
  <si>
    <t>https://public.com/stocks/lmt/market-cap</t>
  </si>
  <si>
    <t>Market cap $127.42B (prior calibration)</t>
  </si>
  <si>
    <t>S21</t>
  </si>
  <si>
    <t>WhichIndex</t>
  </si>
  <si>
    <t>https://whichindex.com/indexes/sp-500/</t>
  </si>
  <si>
    <t>S&amp;P 500 membership (prior calibration)</t>
  </si>
  <si>
    <t>S22</t>
  </si>
  <si>
    <t>Seeking Alpha (news)</t>
  </si>
  <si>
    <t>https://seekingalpha.com/news/4653710-defense-earnings-preview-strong-backlogs-meet-supply-chain-and-margin-risks</t>
  </si>
  <si>
    <t>Peer calendar: RTX/NOC/GE report the week of Oct 20 (no peer results before cutoff)</t>
  </si>
  <si>
    <t>S23</t>
  </si>
  <si>
    <t>Zacks via Yahoo Finance</t>
  </si>
  <si>
    <t>https://finance.yahoo.com/markets/stocks/articles/lmt-shares-added-portfolio-ahead-110900828.html</t>
  </si>
  <si>
    <t>Newer consensus EPS 7.48 / revenue $20.35B (recorded separately)</t>
  </si>
  <si>
    <t>S24</t>
  </si>
  <si>
    <t>Yahoo Finance (The Fly / Fiscal AI)</t>
  </si>
  <si>
    <t>https://finance.yahoo.com/markets/stocks/articles/lmt-gets-price-target-cut-170426243.html</t>
  </si>
  <si>
    <t>Fiscal AI consensus EPS 7.43 / revenue $20.44B (recorded separately)</t>
  </si>
  <si>
    <t>S25</t>
  </si>
  <si>
    <t>ad-hoc-news (MarketBeat data)</t>
  </si>
  <si>
    <t>https://www.ad-hoc-news.de/boerse/news/corporate-news/konsens-erwartet-7-56-dollar-je-aktie-fuer-die-lockheed-martin-aktie/70263110</t>
  </si>
  <si>
    <t>MarketBeat consensus EPS 7.56 / revenue $20.45B (recorded separately)</t>
  </si>
  <si>
    <t>S26</t>
  </si>
  <si>
    <t>Equibles</t>
  </si>
  <si>
    <t>https://equibles.com/stocks/lmt/analyst-estimates</t>
  </si>
  <si>
    <t>FY26 EPS consensus 30.42 (19 analysts); page states 'Captured 2026-10-17 21:08 UTC'</t>
  </si>
  <si>
    <t>S27</t>
  </si>
  <si>
    <t>Seeking Alpha (analysis)</t>
  </si>
  <si>
    <t>https://seekingalpha.com/article/4952375-lockheed-martin-q3-earnings-preview-buy-despite-recent-pullback</t>
  </si>
  <si>
    <t>Preview: near-term Q3 may be mixed (capacity constraints)</t>
  </si>
  <si>
    <t>S28</t>
  </si>
  <si>
    <t>U.S. Senate (Warren/Lee)</t>
  </si>
  <si>
    <t>https://www.warren.senate.gov/newsroom/press-releases/warren-lee-publish-new-bipartisan-analysis-revealing-progress-on-limiting-defense-contractor-stock-buybacks-urge-pentagon-to-support-codifying-reforms-in-law/</t>
  </si>
  <si>
    <t>Defense primes cut buybacks in 2026 -&gt; no repurchase assumption</t>
  </si>
  <si>
    <t>S29</t>
  </si>
  <si>
    <t>The White House</t>
  </si>
  <si>
    <t>https://www.whitehouse.gov/presidential-actions/2026/01/prioritizing-the-warfighter-in-defense-contracting/</t>
  </si>
  <si>
    <t>Executive order on contractor buybacks/dividends -&gt; share count assumption</t>
  </si>
  <si>
    <t>S30</t>
  </si>
  <si>
    <t>https://news.lockheedmartin.com/2026-07-06-Lockheed-Martin-to-Acquire-Ultra-Maritime-Solutions</t>
  </si>
  <si>
    <t>Ultra Maritime ($3.45B) expected to close 4Q26 -&gt; no M&amp;A scope in 3Q26</t>
  </si>
  <si>
    <t>S31</t>
  </si>
  <si>
    <t>Lockheed Martin (8-K)</t>
  </si>
  <si>
    <t>https://www.sec.gov/Archives/edgar/data/936468/000119312526371750/d177255d8k.htm</t>
  </si>
  <si>
    <t>New 364-day revolver, no borrowings -&gt; interest expense assumption</t>
  </si>
  <si>
    <t>S32</t>
  </si>
  <si>
    <t>Same filing as S31 (referenced in Income Statement note)</t>
  </si>
  <si>
    <t>Tab coverage: all standard tabs carry content (four reported segments; five disclosed regions -&gt; Geo tab kept). No Dates, Consensus or Checks tab by design; check summary in artifacts/checks.md.</t>
  </si>
  <si>
    <t>Inputs tab holds the complete CapIQ summary row and six history rows as required by the task, plus the prior-calibration block.</t>
  </si>
  <si>
    <t>Target-quarter (FQ3 2026) actual results were not available at the cutoff (report scheduled Oct 22 2026, S16) and were not used.</t>
  </si>
  <si>
    <t>Retrieval: web sources were retrieved 2026-10-20 (UTC), after the 2026-10-18 21:34 UTC cutoff, via web_fetch / web search; no pre-cutoff page snapshots exist. All publication or page-stated as-of dates are on or before 2026-10-18 (S20/S21 as of Oct 16). Live pages may have changed after the cutoff - a documented process limitation, not a post-cutoff source. Size bucket is robust: frozen CapIQ close x 10-Q shares = $127.4B (Inputs C116).</t>
  </si>
</sst>
</file>

<file path=xl/styles.xml><?xml version="1.0" encoding="utf-8"?>
<styleSheet xmlns="http://schemas.openxmlformats.org/spreadsheetml/2006/main">
  <numFmts count="13">
    <numFmt numFmtId="164" formatCode="#,##0.0_);(#,##0.0);–_)"/>
    <numFmt numFmtId="165" formatCode="General"/>
    <numFmt numFmtId="166" formatCode="#,##0&quot; bps&quot;;(#,##0&quot; bps&quot;);–"/>
    <numFmt numFmtId="167" formatCode="0"/>
    <numFmt numFmtId="168" formatCode="yyyy-mm-dd"/>
    <numFmt numFmtId="169" formatCode="0.0%_);(0.0%);–_)"/>
    <numFmt numFmtId="170" formatCode="0.0x"/>
    <numFmt numFmtId="171" formatCode="$0.00_);($0.00);–_)"/>
    <numFmt numFmtId="172" formatCode="#,##0_);(#,##0);–_)"/>
    <numFmt numFmtId="173" formatCode="0.0%"/>
    <numFmt numFmtId="174" formatCode="@"/>
    <numFmt numFmtId="175" formatCode="0.0x_);(0.0x)"/>
    <numFmt numFmtId="176" formatCode="$0.000_);($0.000);–_)"/>
  </numFmts>
  <fonts count="23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/>
      <i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1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65" fontId="4" fillId="2" borderId="1" xfId="0" applyNumberFormat="1" applyFont="1" applyFill="1" applyBorder="1" applyAlignment="1" applyProtection="1">
      <alignment horizontal="general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2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5" fontId="4" fillId="2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left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65" fontId="4" fillId="2" borderId="1" xfId="0" applyNumberFormat="1" applyFont="1" applyFill="1" applyBorder="1" applyAlignment="1" applyProtection="1">
      <alignment horizontal="left" vertical="bottom"/>
      <protection locked="1" hidden="0"/>
    </xf>
    <xf numFmtId="164" fontId="4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1" fillId="2" borderId="3" xfId="0" applyNumberFormat="1" applyFont="1" applyFill="1" applyBorder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left" vertical="bottom"/>
      <protection locked="1" hidden="0"/>
    </xf>
    <xf numFmtId="165" fontId="4" fillId="2" borderId="1" xfId="0" applyNumberFormat="1" applyFont="1" applyFill="1" applyBorder="1" applyAlignment="1" applyProtection="1">
      <alignment horizontal="left" vertical="bottom" wrapText="1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left" vertical="bottom" indent="2"/>
      <protection locked="1" hidden="0"/>
    </xf>
    <xf numFmtId="169" fontId="3" fillId="3" borderId="0" xfId="0" applyNumberFormat="1" applyFont="1" applyFill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5" fontId="4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left" vertical="bottom" indent="1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4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9" fontId="6" fillId="3" borderId="0" xfId="0" applyNumberFormat="1" applyFont="1" applyFill="1" applyAlignment="1" applyProtection="1">
      <alignment horizontal="right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left" vertical="bottom" indent="3"/>
      <protection locked="1" hidden="0"/>
    </xf>
    <xf numFmtId="171" fontId="8" fillId="0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7" fontId="1" fillId="3" borderId="3" xfId="0" applyNumberFormat="1" applyFont="1" applyFill="1" applyBorder="1" applyAlignment="1" applyProtection="1">
      <alignment horizontal="right" vertical="bottom"/>
      <protection locked="1" hidden="0"/>
    </xf>
    <xf numFmtId="165" fontId="1" fillId="2" borderId="3" xfId="0" applyNumberFormat="1" applyFont="1" applyFill="1" applyBorder="1" applyAlignment="1" applyProtection="1">
      <alignment horizontal="left" vertical="bottom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left" vertical="bottom" indent="1"/>
      <protection locked="1" hidden="0"/>
    </xf>
    <xf numFmtId="165" fontId="4" fillId="2" borderId="2" xfId="0" applyNumberFormat="1" applyFont="1" applyFill="1" applyBorder="1" applyAlignment="1" applyProtection="1">
      <alignment horizontal="lef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lef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64" fontId="4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71" fontId="9" fillId="0" borderId="0" xfId="0" applyNumberFormat="1" applyFont="1" applyFill="1" applyAlignment="1" applyProtection="1">
      <alignment horizontal="right" vertical="bottom"/>
      <protection locked="1" hidden="0"/>
    </xf>
    <xf numFmtId="164" fontId="10" fillId="3" borderId="0" xfId="0" applyNumberFormat="1" applyFont="1" applyFill="1" applyAlignment="1" applyProtection="1">
      <alignment horizontal="right" vertical="bottom"/>
      <protection locked="1" hidden="0"/>
    </xf>
    <xf numFmtId="165" fontId="1" fillId="2" borderId="3" xfId="0" applyNumberFormat="1" applyFont="1" applyFill="1" applyBorder="1" applyAlignment="1" applyProtection="1">
      <alignment horizontal="general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10" fillId="0" borderId="0" xfId="0" applyNumberFormat="1" applyFont="1" applyFill="1" applyAlignment="1" applyProtection="1">
      <alignment horizontal="right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65" fontId="4" fillId="2" borderId="1" xfId="0" applyNumberFormat="1" applyFont="1" applyFill="1" applyBorder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165" fontId="10" fillId="0" borderId="0" xfId="0" applyNumberFormat="1" applyFont="1" applyFill="1" applyAlignment="1" applyProtection="1">
      <alignment horizontal="lef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73" fontId="11" fillId="0" borderId="0" xfId="0" applyNumberFormat="1" applyFont="1" applyFill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9" fontId="9" fillId="0" borderId="0" xfId="0" applyNumberFormat="1" applyFont="1" applyFill="1" applyAlignment="1" applyProtection="1">
      <alignment horizontal="right" vertical="bottom"/>
      <protection locked="1" hidden="0"/>
    </xf>
    <xf numFmtId="174" fontId="1" fillId="0" borderId="0" xfId="0" applyNumberFormat="1" applyFont="1" applyFill="1" applyAlignment="1" applyProtection="1">
      <alignment horizontal="right" vertical="bottom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165" fontId="4" fillId="2" borderId="1" xfId="0" applyNumberFormat="1" applyFont="1" applyFill="1" applyBorder="1" applyAlignment="1" applyProtection="1">
      <alignment horizontal="right" vertical="bottom" wrapText="1"/>
      <protection locked="1" hidden="0"/>
    </xf>
    <xf numFmtId="165" fontId="1" fillId="2" borderId="0" xfId="0" applyNumberFormat="1" applyFont="1" applyFill="1" applyAlignment="1" applyProtection="1">
      <alignment horizontal="lef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5" fontId="12" fillId="0" borderId="0" xfId="0" applyNumberFormat="1" applyFont="1" applyFill="1" applyAlignment="1" applyProtection="1">
      <alignment horizontal="left" vertical="bottom"/>
      <protection locked="1" hidden="0"/>
    </xf>
    <xf numFmtId="165" fontId="7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71" fontId="4" fillId="3" borderId="0" xfId="0" applyNumberFormat="1" applyFont="1" applyFill="1" applyAlignment="1" applyProtection="1">
      <alignment horizontal="right" vertical="bottom"/>
      <protection locked="1" hidden="0"/>
    </xf>
    <xf numFmtId="171" fontId="9" fillId="3" borderId="0" xfId="0" applyNumberFormat="1" applyFont="1" applyFill="1" applyAlignment="1" applyProtection="1">
      <alignment horizontal="right" vertical="bottom"/>
      <protection locked="1" hidden="0"/>
    </xf>
    <xf numFmtId="171" fontId="4" fillId="0" borderId="2" xfId="0" applyNumberFormat="1" applyFont="1" applyFill="1" applyBorder="1" applyAlignment="1" applyProtection="1">
      <alignment horizontal="right" vertical="bottom"/>
      <protection locked="1" hidden="0"/>
    </xf>
    <xf numFmtId="171" fontId="2" fillId="3" borderId="0" xfId="0" applyNumberFormat="1" applyFont="1" applyFill="1" applyAlignment="1" applyProtection="1">
      <alignment horizontal="right" vertical="bottom"/>
      <protection locked="1" hidden="0"/>
    </xf>
    <xf numFmtId="169" fontId="9" fillId="3" borderId="0" xfId="0" applyNumberFormat="1" applyFont="1" applyFill="1" applyAlignment="1" applyProtection="1">
      <alignment horizontal="right" vertical="bottom"/>
      <protection locked="1" hidden="0"/>
    </xf>
    <xf numFmtId="164" fontId="9" fillId="3" borderId="0" xfId="0" applyNumberFormat="1" applyFont="1" applyFill="1" applyAlignment="1" applyProtection="1">
      <alignment horizontal="right" vertical="bottom"/>
      <protection locked="1" hidden="0"/>
    </xf>
    <xf numFmtId="171" fontId="3" fillId="0" borderId="0" xfId="0" applyNumberFormat="1" applyFont="1" applyFill="1" applyAlignment="1" applyProtection="1">
      <alignment horizontal="right" vertical="bottom"/>
      <protection locked="1" hidden="0"/>
    </xf>
    <xf numFmtId="164" fontId="8" fillId="3" borderId="0" xfId="0" applyNumberFormat="1" applyFont="1" applyFill="1" applyAlignment="1" applyProtection="1">
      <alignment horizontal="right" vertical="bottom"/>
      <protection locked="1" hidden="0"/>
    </xf>
    <xf numFmtId="171" fontId="4" fillId="3" borderId="2" xfId="0" applyNumberFormat="1" applyFont="1" applyFill="1" applyBorder="1" applyAlignment="1" applyProtection="1">
      <alignment horizontal="right" vertical="bottom"/>
      <protection locked="1" hidden="0"/>
    </xf>
    <xf numFmtId="172" fontId="2" fillId="3" borderId="0" xfId="0" applyNumberFormat="1" applyFont="1" applyFill="1" applyAlignment="1" applyProtection="1">
      <alignment horizontal="right" vertical="bottom"/>
      <protection locked="1" hidden="0"/>
    </xf>
    <xf numFmtId="165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2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9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3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5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6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9" fillId="2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19" fillId="2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1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9" fillId="0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19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5" fontId="19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6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19050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30"/>
  <sheetViews>
    <sheetView showGridLines="0" tabSelected="1" workbookViewId="0"/>
  </sheetViews>
  <sheetFormatPr defaultColWidth="8.42578125" defaultRowHeight="15"/>
  <cols>
    <col min="1" max="1" width="2" customWidth="1"/>
    <col min="2" max="2" width="60" customWidth="1"/>
    <col min="3" max="8" width="12" customWidth="1"/>
    <col min="9" max="9" width="30" customWidth="1"/>
  </cols>
  <sheetData>
    <row r="1" ht="49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12</v>
      </c>
      <c r="C9" s="13"/>
      <c r="D9" s="13"/>
      <c r="E9" s="13"/>
      <c r="F9" s="13"/>
      <c r="G9" s="13"/>
      <c r="H9" s="13"/>
      <c r="I9" s="1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9" t="s">
        <v>13</v>
      </c>
      <c r="C10" s="9" t="s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9" t="s">
        <v>15</v>
      </c>
      <c r="C11" s="9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9" t="s">
        <v>17</v>
      </c>
      <c r="C12" s="9" t="s">
        <v>18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9" t="s">
        <v>19</v>
      </c>
      <c r="C13" s="9" t="s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9" t="s">
        <v>21</v>
      </c>
      <c r="C14" s="9" t="s">
        <v>22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9" t="s">
        <v>23</v>
      </c>
      <c r="C15" s="9" t="s">
        <v>24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9" t="s">
        <v>25</v>
      </c>
      <c r="C16" s="9" t="s">
        <v>26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9" t="s">
        <v>27</v>
      </c>
      <c r="C17" s="9" t="s">
        <v>28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9" t="s">
        <v>29</v>
      </c>
      <c r="C18" s="9" t="s">
        <v>30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3" t="s">
        <v>31</v>
      </c>
      <c r="C20" s="13"/>
      <c r="D20" s="13"/>
      <c r="E20" s="13"/>
      <c r="F20" s="13"/>
      <c r="G20" s="13"/>
      <c r="H20" s="13"/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5.5">
      <c r="A21" s="1"/>
      <c r="B21" s="17" t="s">
        <v>32</v>
      </c>
      <c r="C21" s="72" t="s">
        <v>33</v>
      </c>
      <c r="D21" s="72" t="s">
        <v>34</v>
      </c>
      <c r="E21" s="72" t="s">
        <v>35</v>
      </c>
      <c r="F21" s="72" t="s">
        <v>36</v>
      </c>
      <c r="G21" s="72" t="s">
        <v>37</v>
      </c>
      <c r="H21" s="72" t="s">
        <v>38</v>
      </c>
      <c r="I21" s="17" t="s">
        <v>39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9" t="s">
        <v>40</v>
      </c>
      <c r="C22" s="56">
        <f>'Revenue summary'!H50</f>
        <v>20150.217999999997</v>
      </c>
      <c r="D22" s="35">
        <f>Inputs!C43</f>
        <v>20462.89</v>
      </c>
      <c r="E22" s="2">
        <f>C22-D22</f>
        <v>-312.6720000000023</v>
      </c>
      <c r="F22" s="18">
        <f>C22/D22-1</f>
        <v>-0.015279953124900825</v>
      </c>
      <c r="G22" s="23" t="s">
        <v>41</v>
      </c>
      <c r="H22" s="35">
        <f>Guidance!G30</f>
        <v>80750</v>
      </c>
      <c r="I22" s="11" t="s">
        <v>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9" t="s">
        <v>43</v>
      </c>
      <c r="C23" s="56">
        <f>'Income Statement'!H137</f>
        <v>1733.5374353759996</v>
      </c>
      <c r="D23" s="35">
        <f>Inputs!C56</f>
        <v>1743.18</v>
      </c>
      <c r="E23" s="2">
        <f>C23-D23</f>
        <v>-9.642564624000443</v>
      </c>
      <c r="F23" s="18">
        <f>C23/D23-1</f>
        <v>-0.0055315943413764</v>
      </c>
      <c r="G23" s="23" t="s">
        <v>41</v>
      </c>
      <c r="H23" s="2" t="s">
        <v>44</v>
      </c>
      <c r="I23" s="11" t="s">
        <v>45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9" t="s">
        <v>46</v>
      </c>
      <c r="C24" s="38">
        <f>'Income Statement'!H138</f>
        <v>7.497999287958476</v>
      </c>
      <c r="D24" s="59">
        <f>Inputs!C25</f>
        <v>7.52</v>
      </c>
      <c r="E24" s="31">
        <f>C24-D24</f>
        <v>-0.022000712041523762</v>
      </c>
      <c r="F24" s="18">
        <f>C24/D24-1</f>
        <v>-0.0029256266012664955</v>
      </c>
      <c r="G24" s="23" t="s">
        <v>41</v>
      </c>
      <c r="H24" s="59">
        <f>Guidance!G32</f>
        <v>30.299999999999997</v>
      </c>
      <c r="I24" s="11" t="s">
        <v>47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9" t="s">
        <v>48</v>
      </c>
      <c r="C25" s="38">
        <f>'Income Statement'!H123</f>
        <v>7.497999287958476</v>
      </c>
      <c r="D25" s="59">
        <f>Inputs!C34</f>
        <v>7.52</v>
      </c>
      <c r="E25" s="31">
        <f>C25-D25</f>
        <v>-0.022000712041523762</v>
      </c>
      <c r="F25" s="18">
        <f>C25/D25-1</f>
        <v>-0.0029256266012664955</v>
      </c>
      <c r="G25" s="23" t="s">
        <v>41</v>
      </c>
      <c r="H25" s="59">
        <f>Guidance!G32</f>
        <v>30.299999999999997</v>
      </c>
      <c r="I25" s="11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46" t="s">
        <v>50</v>
      </c>
      <c r="C26" s="26" t="str">
        <f>IF(AND(C40,C41,C42,C43,C44,C45,C46,C47,C48,C49,C50),"PASS","FAIL")</f>
        <v>PASS</v>
      </c>
      <c r="D26" s="90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46" t="s">
        <v>52</v>
      </c>
      <c r="C27" s="64">
        <f>Inputs!C132</f>
        <v>0.47</v>
      </c>
      <c r="D27" s="90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46" t="s">
        <v>53</v>
      </c>
      <c r="C28" s="62" t="str">
        <f>Inputs!C133</f>
        <v>low</v>
      </c>
      <c r="D28" s="9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9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3" t="s">
        <v>54</v>
      </c>
      <c r="C30" s="13"/>
      <c r="D30" s="93"/>
      <c r="E30" s="13"/>
      <c r="F30" s="13"/>
      <c r="G30" s="13"/>
      <c r="H30" s="13"/>
      <c r="I30" s="1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9" t="s">
        <v>55</v>
      </c>
      <c r="C31" s="69">
        <f>'Revenue summary'!H51</f>
        <v>0.08282110806598952</v>
      </c>
      <c r="D31" s="9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9" t="s">
        <v>56</v>
      </c>
      <c r="C32" s="69">
        <f>'Revenue summary'!H87</f>
        <v>0.10373491423268968</v>
      </c>
      <c r="D32" s="9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9" t="s">
        <v>57</v>
      </c>
      <c r="C33" s="35">
        <f>'Revenue summary'!H92</f>
        <v>290</v>
      </c>
      <c r="D33" s="90" t="s">
        <v>58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9" t="s">
        <v>59</v>
      </c>
      <c r="C34" s="35">
        <f>'Income Statement'!H58</f>
        <v>2366.2811359999996</v>
      </c>
      <c r="D34" s="9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9" t="s">
        <v>60</v>
      </c>
      <c r="C35" s="69">
        <f>'Income Statement'!H79</f>
        <v>0.159</v>
      </c>
      <c r="D35" s="9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9" t="s">
        <v>61</v>
      </c>
      <c r="C36" s="35">
        <f>'Income Statement'!H117</f>
        <v>231.2</v>
      </c>
      <c r="D36" s="9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9" t="s">
        <v>62</v>
      </c>
      <c r="C37" s="35">
        <f>'Cash Flow Statement'!H101</f>
        <v>2015.5374353759998</v>
      </c>
      <c r="D37" s="9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9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3" t="s">
        <v>63</v>
      </c>
      <c r="C39" s="13"/>
      <c r="D39" s="93"/>
      <c r="E39" s="13"/>
      <c r="F39" s="13"/>
      <c r="G39" s="13"/>
      <c r="H39" s="13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9" t="s">
        <v>64</v>
      </c>
      <c r="C40" s="77" t="b">
        <f>AND('Revenue summary'!C119:H119)</f>
        <v>1</v>
      </c>
      <c r="D40" s="90" t="s">
        <v>65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9" t="s">
        <v>66</v>
      </c>
      <c r="C41" s="77" t="b">
        <f>AND('Segment - Aeronautics'!C212:H212)</f>
        <v>1</v>
      </c>
      <c r="D41" s="90" t="s">
        <v>65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9" t="s">
        <v>67</v>
      </c>
      <c r="C42" s="77" t="b">
        <f>AND('Segment - MFC'!C192:H192)</f>
        <v>1</v>
      </c>
      <c r="D42" s="90" t="s">
        <v>65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9" t="s">
        <v>68</v>
      </c>
      <c r="C43" s="77" t="b">
        <f>AND('Segment - RMS'!C203:H203)</f>
        <v>1</v>
      </c>
      <c r="D43" s="90" t="s">
        <v>65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9" t="s">
        <v>69</v>
      </c>
      <c r="C44" s="77" t="b">
        <f>AND('Segment - Space'!C192:H192)</f>
        <v>1</v>
      </c>
      <c r="D44" s="90" t="s">
        <v>65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9" t="s">
        <v>70</v>
      </c>
      <c r="C45" s="77" t="b">
        <f>AND('Income Statement'!C146:H146)</f>
        <v>1</v>
      </c>
      <c r="D45" s="90" t="s">
        <v>65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9" t="s">
        <v>71</v>
      </c>
      <c r="C46" s="77" t="b">
        <f>AND('Balance Sheet'!C103:H103)</f>
        <v>1</v>
      </c>
      <c r="D46" s="90" t="s">
        <v>72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9" t="s">
        <v>73</v>
      </c>
      <c r="C47" s="77" t="b">
        <f>AND('Cash Flow Statement'!C110:H110)</f>
        <v>1</v>
      </c>
      <c r="D47" s="90" t="s">
        <v>65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9" t="s">
        <v>74</v>
      </c>
      <c r="C48" s="77" t="b">
        <f>AND(Geo!C105:H105)</f>
        <v>1</v>
      </c>
      <c r="D48" s="90" t="s">
        <v>65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9" t="s">
        <v>75</v>
      </c>
      <c r="C49" s="77" t="b">
        <f>AND('Share Count'!C44:H44)</f>
        <v>1</v>
      </c>
      <c r="D49" s="90" t="s">
        <v>65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9" t="s">
        <v>76</v>
      </c>
      <c r="C50" s="77" t="b">
        <f>AND(ABS(C24-'Share Count'!H42)&lt;0.000001,ABS(C22-'Income Statement'!H22)&lt;0.001,ABS(C23-'Share Count'!H41)&lt;0.001)</f>
        <v>1</v>
      </c>
      <c r="D50" s="90" t="s">
        <v>65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95" t="s">
        <v>77</v>
      </c>
      <c r="C52" s="92" t="s">
        <v>9</v>
      </c>
      <c r="D52" s="92" t="s">
        <v>78</v>
      </c>
      <c r="E52" s="92" t="s">
        <v>79</v>
      </c>
      <c r="F52" s="92" t="s">
        <v>80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89" t="s">
        <v>81</v>
      </c>
      <c r="C53" s="97">
        <f>'Income Statement'!H38</f>
        <v>0.881973947652012</v>
      </c>
      <c r="D53" s="97">
        <f>MIN('Income Statement'!C38:F38)</f>
        <v>0.8705275924802911</v>
      </c>
      <c r="E53" s="97">
        <f>MAX('Income Statement'!C38:F38)</f>
        <v>0.880835781913157</v>
      </c>
      <c r="F53" s="94" t="b">
        <f>AND(C53&gt;=D53,C53&lt;=E53)</f>
        <v>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89" t="s">
        <v>82</v>
      </c>
      <c r="C54" s="96">
        <f>'Segment - Space'!H163</f>
        <v>0</v>
      </c>
      <c r="D54" s="96">
        <f>MIN('Segment - Space'!C163:F163)</f>
        <v>0</v>
      </c>
      <c r="E54" s="96">
        <f>MAX('Segment - Space'!C163:F163)</f>
        <v>0</v>
      </c>
      <c r="F54" s="91" t="b">
        <f>C54&gt;=0</f>
        <v>1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90" t="s">
        <v>83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90" t="s">
        <v>84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85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95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9" t="s">
        <v>96</v>
      </c>
      <c r="C10" s="35">
        <f>'Segment - Aeronautics'!C56</f>
        <v>7256</v>
      </c>
      <c r="D10" s="35">
        <f>'Segment - Aeronautics'!D56</f>
        <v>8524</v>
      </c>
      <c r="E10" s="35">
        <f>'Segment - Aeronautics'!E56</f>
        <v>6953</v>
      </c>
      <c r="F10" s="35">
        <f>'Segment - Aeronautics'!F56</f>
        <v>8112</v>
      </c>
      <c r="G10" s="35">
        <f>'Segment - Aeronautics'!G56</f>
        <v>30257</v>
      </c>
      <c r="H10" s="34">
        <f>'Segment - Aeronautics'!H56</f>
        <v>7800.085999999999</v>
      </c>
      <c r="I10" s="1"/>
      <c r="J10" s="35">
        <f>'Segment - Aeronautics'!J56</f>
        <v>6487</v>
      </c>
      <c r="K10" s="35">
        <f>'Segment - Aeronautics'!K56</f>
        <v>8009</v>
      </c>
      <c r="L10" s="35">
        <f>'Segment - Aeronautics'!L56</f>
        <v>7057</v>
      </c>
      <c r="M10" s="35">
        <f>'Segment - Aeronautics'!M56</f>
        <v>7420</v>
      </c>
      <c r="N10" s="35">
        <f>'Segment - Aeronautics'!N56</f>
        <v>28618</v>
      </c>
      <c r="O10" s="35">
        <f>'Segment - Aeronautics'!O56</f>
        <v>20609</v>
      </c>
      <c r="P10" s="35">
        <f>'Segment - Aeronautics'!P56</f>
        <v>21733</v>
      </c>
      <c r="Q10" s="1"/>
      <c r="R10" s="9" t="s">
        <v>97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5" t="s">
        <v>98</v>
      </c>
      <c r="C11" s="18">
        <f>IF(AND(ISNUMBER(C10),ISNUMBER(J10)),IF(OR(J10&gt;0,AND(J10&lt;0,C10&lt;0)),C10/J10-1,"n/m"),"n/a")</f>
        <v>0.11854478187143513</v>
      </c>
      <c r="D11" s="18">
        <f>IF(AND(ISNUMBER(D10),ISNUMBER(K10)),IF(OR(K10&gt;0,AND(K10&lt;0,D10&lt;0)),D10/K10-1,"n/m"),"n/a")</f>
        <v>0.06430265950805336</v>
      </c>
      <c r="E11" s="18">
        <f>IF(AND(ISNUMBER(E10),ISNUMBER(L10)),IF(OR(L10&gt;0,AND(L10&lt;0,E10&lt;0)),E10/L10-1,"n/m"),"n/a")</f>
        <v>-0.01473714042794394</v>
      </c>
      <c r="F11" s="18">
        <f>IF(AND(ISNUMBER(F10),ISNUMBER(M10)),IF(OR(M10&gt;0,AND(M10&lt;0,F10&lt;0)),F10/M10-1,"n/m"),"n/a")</f>
        <v>0.09326145552560638</v>
      </c>
      <c r="G11" s="18">
        <f>IF(AND(ISNUMBER(G10),ISNUMBER(N10)),IF(OR(N10&gt;0,AND(N10&lt;0,G10&lt;0)),G10/N10-1,"n/m"),"n/a")</f>
        <v>0.05727164721503941</v>
      </c>
      <c r="H11" s="21">
        <f>IF(AND(ISNUMBER(H10),ISNUMBER(C10)),IF(OR(C10&gt;0,AND(C10&lt;0,H10&lt;0)),H10/C10-1,"n/m"),"n/a")</f>
        <v>0.0749842888643879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25" t="s">
        <v>99</v>
      </c>
      <c r="C12" s="18">
        <f>IF(AND(ISNUMBER(C10),ISNUMBER(M10)),IF(OR(M10&gt;0,AND(M10&lt;0,C10&lt;0)),C10/M10-1,"n/m"),"n/a")</f>
        <v>-0.022102425876010745</v>
      </c>
      <c r="D12" s="18">
        <f>IF(AND(ISNUMBER(D10),ISNUMBER(C10)),IF(OR(C10&gt;0,AND(C10&lt;0,D10&lt;0)),D10/C10-1,"n/m"),"n/a")</f>
        <v>0.17475192943770668</v>
      </c>
      <c r="E12" s="18">
        <f>IF(AND(ISNUMBER(E10),ISNUMBER(D10)),IF(OR(D10&gt;0,AND(D10&lt;0,E10&lt;0)),E10/D10-1,"n/m"),"n/a")</f>
        <v>-0.18430314406381976</v>
      </c>
      <c r="F12" s="18">
        <f>IF(AND(ISNUMBER(F10),ISNUMBER(E10)),IF(OR(E10&gt;0,AND(E10&lt;0,F10&lt;0)),F10/E10-1,"n/m"),"n/a")</f>
        <v>0.1666906371350496</v>
      </c>
      <c r="G12" s="18" t="s">
        <v>100</v>
      </c>
      <c r="H12" s="21">
        <f>IF(AND(ISNUMBER(H10),ISNUMBER(F10)),IF(OR(F10&gt;0,AND(F10&lt;0,H10&lt;0)),H10/F10-1,"n/m"),"n/a")</f>
        <v>-0.03845093688362933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101</v>
      </c>
      <c r="C13" s="2">
        <f>IF(AND(ISNUMBER(C10),ISNUMBER(M10)),C10-M10,"n/a")</f>
        <v>-164</v>
      </c>
      <c r="D13" s="2">
        <f>IF(AND(ISNUMBER(D10),ISNUMBER(C10)),D10-C10,"n/a")</f>
        <v>1268</v>
      </c>
      <c r="E13" s="2">
        <f>IF(AND(ISNUMBER(E10),ISNUMBER(D10)),E10-D10,"n/a")</f>
        <v>-1571</v>
      </c>
      <c r="F13" s="2">
        <f>IF(AND(ISNUMBER(F10),ISNUMBER(E10)),F10-E10,"n/a")</f>
        <v>1159</v>
      </c>
      <c r="G13" s="2" t="s">
        <v>100</v>
      </c>
      <c r="H13" s="7">
        <f>IF(AND(ISNUMBER(H10),ISNUMBER(F10)),H10-F10,"n/a")</f>
        <v>-311.91400000000067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5" t="s">
        <v>102</v>
      </c>
      <c r="C14" s="18">
        <f>IF(AND(ISNUMBER(C10),ISNUMBER(C50)),C10/C50,"n/a")</f>
        <v>0.3899188564673008</v>
      </c>
      <c r="D14" s="18">
        <f>IF(AND(ISNUMBER(D10),ISNUMBER(D50)),D10/D50,"n/a")</f>
        <v>0.4194675458884897</v>
      </c>
      <c r="E14" s="18">
        <f>IF(AND(ISNUMBER(E10),ISNUMBER(E50)),E10/E50,"n/a")</f>
        <v>0.38582764552466564</v>
      </c>
      <c r="F14" s="18">
        <f>IF(AND(ISNUMBER(F10),ISNUMBER(F50)),F10/F50,"n/a")</f>
        <v>0.40432637192842547</v>
      </c>
      <c r="G14" s="18">
        <f>IF(AND(ISNUMBER(G10),ISNUMBER(G50)),G10/G50,"n/a")</f>
        <v>0.40316863873787445</v>
      </c>
      <c r="H14" s="21">
        <f>IF(AND(ISNUMBER(H10),ISNUMBER(H50)),H10/H50,"n/a")</f>
        <v>0.3870968542375075</v>
      </c>
      <c r="I14" s="1"/>
      <c r="J14" s="18">
        <f>IF(AND(ISNUMBER(J10),ISNUMBER(J50)),J10/J50,"n/a")</f>
        <v>0.37926800748362954</v>
      </c>
      <c r="K14" s="18">
        <f>IF(AND(ISNUMBER(K10),ISNUMBER(K50)),K10/K50,"n/a")</f>
        <v>0.430082697884223</v>
      </c>
      <c r="L14" s="18">
        <f>IF(AND(ISNUMBER(L10),ISNUMBER(L50)),L10/L50,"n/a")</f>
        <v>0.3928631074987474</v>
      </c>
      <c r="M14" s="18">
        <f>IF(AND(ISNUMBER(M10),ISNUMBER(M50)),M10/M50,"n/a")</f>
        <v>0.40870283668410906</v>
      </c>
      <c r="N14" s="18">
        <f>IF(AND(ISNUMBER(N10),ISNUMBER(N50)),N10/N50,"n/a")</f>
        <v>0.40282645721605226</v>
      </c>
      <c r="O14" s="18">
        <f>IF(AND(ISNUMBER(O10),ISNUMBER(O50)),O10/O50,"n/a")</f>
        <v>0.3931439690200492</v>
      </c>
      <c r="P14" s="18">
        <f>IF(AND(ISNUMBER(P10),ISNUMBER(P50)),P10/P50,"n/a")</f>
        <v>0.39711659692656276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20" t="s">
        <v>103</v>
      </c>
      <c r="C15" s="5">
        <f>IF(AND(ISNUMBER(C14),ISNUMBER(J14)),(C14-J14)*10000,"n/a")</f>
        <v>106.50848983671246</v>
      </c>
      <c r="D15" s="5">
        <f>IF(AND(ISNUMBER(D14),ISNUMBER(K14)),(D14-K14)*10000,"n/a")</f>
        <v>-106.15151995733262</v>
      </c>
      <c r="E15" s="5">
        <f>IF(AND(ISNUMBER(E14),ISNUMBER(L14)),(E14-L14)*10000,"n/a")</f>
        <v>-70.35461974081781</v>
      </c>
      <c r="F15" s="5">
        <f>IF(AND(ISNUMBER(F14),ISNUMBER(M14)),(F14-M14)*10000,"n/a")</f>
        <v>-43.76464755683595</v>
      </c>
      <c r="G15" s="5">
        <f>IF(AND(ISNUMBER(G14),ISNUMBER(N14)),(G14-N14)*10000,"n/a")</f>
        <v>3.4218152182219352</v>
      </c>
      <c r="H15" s="30">
        <f>IF(AND(ISNUMBER(H14),ISNUMBER(C14)),(H14-C14)*10000,"n/a")</f>
        <v>-28.220022297932857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20" t="s">
        <v>104</v>
      </c>
      <c r="C16" s="5">
        <f>IF(AND(ISNUMBER(C14),ISNUMBER(M14)),(C14-M14)*10000,"n/a")</f>
        <v>-187.8398021680827</v>
      </c>
      <c r="D16" s="5">
        <f>IF(AND(ISNUMBER(D14),ISNUMBER(C14)),(D14-C14)*10000,"n/a")</f>
        <v>295.48689421188936</v>
      </c>
      <c r="E16" s="5">
        <f>IF(AND(ISNUMBER(E14),ISNUMBER(D14)),(E14-D14)*10000,"n/a")</f>
        <v>-336.3990036382408</v>
      </c>
      <c r="F16" s="5">
        <f>IF(AND(ISNUMBER(F14),ISNUMBER(E14)),(F14-E14)*10000,"n/a")</f>
        <v>184.98726403759824</v>
      </c>
      <c r="G16" s="5" t="s">
        <v>100</v>
      </c>
      <c r="H16" s="30">
        <f>IF(AND(ISNUMBER(H14),ISNUMBER(F14)),(H14-F14)*10000,"n/a")</f>
        <v>-172.29517690917962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5" t="s">
        <v>105</v>
      </c>
      <c r="C17" s="18" t="s">
        <v>106</v>
      </c>
      <c r="D17" s="18" t="s">
        <v>106</v>
      </c>
      <c r="E17" s="18" t="s">
        <v>106</v>
      </c>
      <c r="F17" s="18" t="s">
        <v>106</v>
      </c>
      <c r="G17" s="18" t="s">
        <v>106</v>
      </c>
      <c r="H17" s="21" t="s">
        <v>106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25" t="s">
        <v>107</v>
      </c>
      <c r="C18" s="18" t="s">
        <v>106</v>
      </c>
      <c r="D18" s="18" t="s">
        <v>106</v>
      </c>
      <c r="E18" s="18" t="s">
        <v>106</v>
      </c>
      <c r="F18" s="18" t="s">
        <v>106</v>
      </c>
      <c r="G18" s="18" t="s">
        <v>106</v>
      </c>
      <c r="H18" s="21" t="s">
        <v>106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25" t="s">
        <v>108</v>
      </c>
      <c r="C19" s="18" t="str">
        <f>IF(AND(ISNUMBER(C11),ISNUMBER(C17),ISNUMBER(C18)),(1+C11)/((1+C17)*(1+C18))-1,"n/a")</f>
        <v>n/a</v>
      </c>
      <c r="D19" s="18" t="str">
        <f>IF(AND(ISNUMBER(D11),ISNUMBER(D17),ISNUMBER(D18)),(1+D11)/((1+D17)*(1+D18))-1,"n/a")</f>
        <v>n/a</v>
      </c>
      <c r="E19" s="18" t="str">
        <f>IF(AND(ISNUMBER(E11),ISNUMBER(E17),ISNUMBER(E18)),(1+E11)/((1+E17)*(1+E18))-1,"n/a")</f>
        <v>n/a</v>
      </c>
      <c r="F19" s="18" t="str">
        <f>IF(AND(ISNUMBER(F11),ISNUMBER(F17),ISNUMBER(F18)),(1+F11)/((1+F17)*(1+F18))-1,"n/a")</f>
        <v>n/a</v>
      </c>
      <c r="G19" s="18" t="str">
        <f>IF(AND(ISNUMBER(G11),ISNUMBER(G17),ISNUMBER(G18)),(1+G11)/((1+G17)*(1+G18))-1,"n/a")</f>
        <v>n/a</v>
      </c>
      <c r="H19" s="21" t="str">
        <f>IF(AND(ISNUMBER(H11),ISNUMBER(H17),ISNUMBER(H18)),(1+H11)/((1+H17)*(1+H18))-1,"n/a")</f>
        <v>n/a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9" t="s">
        <v>109</v>
      </c>
      <c r="C20" s="35">
        <f>'Segment - MFC'!C56</f>
        <v>3624</v>
      </c>
      <c r="D20" s="35">
        <f>'Segment - MFC'!D56</f>
        <v>4020</v>
      </c>
      <c r="E20" s="35">
        <f>'Segment - MFC'!E56</f>
        <v>3649</v>
      </c>
      <c r="F20" s="35">
        <f>'Segment - MFC'!F56</f>
        <v>4101</v>
      </c>
      <c r="G20" s="35">
        <f>'Segment - MFC'!G56</f>
        <v>14450</v>
      </c>
      <c r="H20" s="34">
        <f>'Segment - MFC'!H56</f>
        <v>4297.4298</v>
      </c>
      <c r="I20" s="1"/>
      <c r="J20" s="35">
        <f>'Segment - MFC'!J56</f>
        <v>3175</v>
      </c>
      <c r="K20" s="35">
        <f>'Segment - MFC'!K56</f>
        <v>3412</v>
      </c>
      <c r="L20" s="35">
        <f>'Segment - MFC'!L56</f>
        <v>3373</v>
      </c>
      <c r="M20" s="35">
        <f>'Segment - MFC'!M56</f>
        <v>3433</v>
      </c>
      <c r="N20" s="35">
        <f>'Segment - MFC'!N56</f>
        <v>12682</v>
      </c>
      <c r="O20" s="35">
        <f>'Segment - MFC'!O56</f>
        <v>9270</v>
      </c>
      <c r="P20" s="35">
        <f>'Segment - MFC'!P56</f>
        <v>10430</v>
      </c>
      <c r="Q20" s="1"/>
      <c r="R20" s="9" t="s">
        <v>110</v>
      </c>
      <c r="S20" s="1"/>
      <c r="T20" s="1"/>
      <c r="U20" s="1"/>
      <c r="V20" s="1"/>
      <c r="W20" s="1"/>
      <c r="X20" s="1"/>
      <c r="Y20" s="1"/>
      <c r="Z20" s="1"/>
    </row>
    <row r="21">
      <c r="A21" s="1"/>
      <c r="B21" s="25" t="s">
        <v>98</v>
      </c>
      <c r="C21" s="18">
        <f>IF(AND(ISNUMBER(C20),ISNUMBER(J20)),IF(OR(J20&gt;0,AND(J20&lt;0,C20&lt;0)),C20/J20-1,"n/m"),"n/a")</f>
        <v>0.1414173228346456</v>
      </c>
      <c r="D21" s="18">
        <f>IF(AND(ISNUMBER(D20),ISNUMBER(K20)),IF(OR(K20&gt;0,AND(K20&lt;0,D20&lt;0)),D20/K20-1,"n/m"),"n/a")</f>
        <v>0.17819460726846414</v>
      </c>
      <c r="E21" s="18">
        <f>IF(AND(ISNUMBER(E20),ISNUMBER(L20)),IF(OR(L20&gt;0,AND(L20&lt;0,E20&lt;0)),E20/L20-1,"n/m"),"n/a")</f>
        <v>0.08182626741772903</v>
      </c>
      <c r="F21" s="18">
        <f>IF(AND(ISNUMBER(F20),ISNUMBER(M20)),IF(OR(M20&gt;0,AND(M20&lt;0,F20&lt;0)),F20/M20-1,"n/m"),"n/a")</f>
        <v>0.19458199825225742</v>
      </c>
      <c r="G21" s="18">
        <f>IF(AND(ISNUMBER(G20),ISNUMBER(N20)),IF(OR(N20&gt;0,AND(N20&lt;0,G20&lt;0)),G20/N20-1,"n/m"),"n/a")</f>
        <v>0.13941018766756041</v>
      </c>
      <c r="H21" s="21">
        <f>IF(AND(ISNUMBER(H20),ISNUMBER(C20)),IF(OR(C20&gt;0,AND(C20&lt;0,H20&lt;0)),H20/C20-1,"n/m"),"n/a")</f>
        <v>0.1858249999999999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25" t="s">
        <v>99</v>
      </c>
      <c r="C22" s="18">
        <f>IF(AND(ISNUMBER(C20),ISNUMBER(M20)),IF(OR(M20&gt;0,AND(M20&lt;0,C20&lt;0)),C20/M20-1,"n/m"),"n/a")</f>
        <v>0.05563646956015145</v>
      </c>
      <c r="D22" s="18">
        <f>IF(AND(ISNUMBER(D20),ISNUMBER(C20)),IF(OR(C20&gt;0,AND(C20&lt;0,D20&lt;0)),D20/C20-1,"n/m"),"n/a")</f>
        <v>0.10927152317880795</v>
      </c>
      <c r="E22" s="18">
        <f>IF(AND(ISNUMBER(E20),ISNUMBER(D20)),IF(OR(D20&gt;0,AND(D20&lt;0,E20&lt;0)),E20/D20-1,"n/m"),"n/a")</f>
        <v>-0.09228855721393037</v>
      </c>
      <c r="F22" s="18">
        <f>IF(AND(ISNUMBER(F20),ISNUMBER(E20)),IF(OR(E20&gt;0,AND(E20&lt;0,F20&lt;0)),F20/E20-1,"n/m"),"n/a")</f>
        <v>0.12386955330227467</v>
      </c>
      <c r="G22" s="18" t="s">
        <v>100</v>
      </c>
      <c r="H22" s="21">
        <f>IF(AND(ISNUMBER(H20),ISNUMBER(F20)),IF(OR(F20&gt;0,AND(F20&lt;0,H20&lt;0)),H20/F20-1,"n/m"),"n/a")</f>
        <v>0.04789802487198247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4" t="s">
        <v>101</v>
      </c>
      <c r="C23" s="2">
        <f>IF(AND(ISNUMBER(C20),ISNUMBER(M20)),C20-M20,"n/a")</f>
        <v>191</v>
      </c>
      <c r="D23" s="2">
        <f>IF(AND(ISNUMBER(D20),ISNUMBER(C20)),D20-C20,"n/a")</f>
        <v>396</v>
      </c>
      <c r="E23" s="2">
        <f>IF(AND(ISNUMBER(E20),ISNUMBER(D20)),E20-D20,"n/a")</f>
        <v>-371</v>
      </c>
      <c r="F23" s="2">
        <f>IF(AND(ISNUMBER(F20),ISNUMBER(E20)),F20-E20,"n/a")</f>
        <v>452</v>
      </c>
      <c r="G23" s="2" t="s">
        <v>100</v>
      </c>
      <c r="H23" s="7">
        <f>IF(AND(ISNUMBER(H20),ISNUMBER(F20)),H20-F20,"n/a")</f>
        <v>196.4297999999999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25" t="s">
        <v>102</v>
      </c>
      <c r="C24" s="18">
        <f>IF(AND(ISNUMBER(C20),ISNUMBER(C50)),C20/C50,"n/a")</f>
        <v>0.19474447847815574</v>
      </c>
      <c r="D24" s="18">
        <f>IF(AND(ISNUMBER(D20),ISNUMBER(D50)),D20/D50,"n/a")</f>
        <v>0.1978249101914276</v>
      </c>
      <c r="E24" s="18">
        <f>IF(AND(ISNUMBER(E20),ISNUMBER(E50)),E20/E50,"n/a")</f>
        <v>0.20248598856889186</v>
      </c>
      <c r="F24" s="18">
        <f>IF(AND(ISNUMBER(F20),ISNUMBER(F50)),F20/F50,"n/a")</f>
        <v>0.20440612071973285</v>
      </c>
      <c r="G24" s="18">
        <f>IF(AND(ISNUMBER(G20),ISNUMBER(G50)),G20/G50,"n/a")</f>
        <v>0.19254343886579256</v>
      </c>
      <c r="H24" s="21">
        <f>IF(AND(ISNUMBER(H20),ISNUMBER(H50)),H20/H50,"n/a")</f>
        <v>0.2132696430381051</v>
      </c>
      <c r="I24" s="1"/>
      <c r="J24" s="18">
        <f>IF(AND(ISNUMBER(J20),ISNUMBER(J50)),J20/J50,"n/a")</f>
        <v>0.1856290926099158</v>
      </c>
      <c r="K24" s="18">
        <f>IF(AND(ISNUMBER(K20),ISNUMBER(K50)),K20/K50,"n/a")</f>
        <v>0.18322414348619911</v>
      </c>
      <c r="L24" s="18">
        <f>IF(AND(ISNUMBER(L20),ISNUMBER(L50)),L20/L50,"n/a")</f>
        <v>0.18777487056727718</v>
      </c>
      <c r="M24" s="18">
        <f>IF(AND(ISNUMBER(M20),ISNUMBER(M50)),M20/M50,"n/a")</f>
        <v>0.18909391352244562</v>
      </c>
      <c r="N24" s="18">
        <f>IF(AND(ISNUMBER(N20),ISNUMBER(N50)),N20/N50,"n/a")</f>
        <v>0.17851160564728405</v>
      </c>
      <c r="O24" s="18">
        <f>IF(AND(ISNUMBER(O20),ISNUMBER(O50)),O20/O50,"n/a")</f>
        <v>0.1768375269453082</v>
      </c>
      <c r="P24" s="18">
        <f>IF(AND(ISNUMBER(P20),ISNUMBER(P50)),P20/P50,"n/a")</f>
        <v>0.190582345094743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20" t="s">
        <v>103</v>
      </c>
      <c r="C25" s="5">
        <f>IF(AND(ISNUMBER(C24),ISNUMBER(J24)),(C24-J24)*10000,"n/a")</f>
        <v>91.15385868239927</v>
      </c>
      <c r="D25" s="5">
        <f>IF(AND(ISNUMBER(D24),ISNUMBER(K24)),(D24-K24)*10000,"n/a")</f>
        <v>146.00766705228475</v>
      </c>
      <c r="E25" s="5">
        <f>IF(AND(ISNUMBER(E24),ISNUMBER(L24)),(E24-L24)*10000,"n/a")</f>
        <v>147.11118001614676</v>
      </c>
      <c r="F25" s="5">
        <f>IF(AND(ISNUMBER(F24),ISNUMBER(M24)),(F24-M24)*10000,"n/a")</f>
        <v>153.12207197287236</v>
      </c>
      <c r="G25" s="5">
        <f>IF(AND(ISNUMBER(G24),ISNUMBER(N24)),(G24-N24)*10000,"n/a")</f>
        <v>140.3183321850851</v>
      </c>
      <c r="H25" s="30">
        <f>IF(AND(ISNUMBER(H24),ISNUMBER(C24)),(H24-C24)*10000,"n/a")</f>
        <v>185.25164559949374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20" t="s">
        <v>104</v>
      </c>
      <c r="C26" s="5">
        <f>IF(AND(ISNUMBER(C24),ISNUMBER(M24)),(C24-M24)*10000,"n/a")</f>
        <v>56.50564955710119</v>
      </c>
      <c r="D26" s="5">
        <f>IF(AND(ISNUMBER(D24),ISNUMBER(C24)),(D24-C24)*10000,"n/a")</f>
        <v>30.804317132718527</v>
      </c>
      <c r="E26" s="5">
        <f>IF(AND(ISNUMBER(E24),ISNUMBER(D24)),(E24-D24)*10000,"n/a")</f>
        <v>46.61078377464267</v>
      </c>
      <c r="F26" s="5">
        <f>IF(AND(ISNUMBER(F24),ISNUMBER(E24)),(F24-E24)*10000,"n/a")</f>
        <v>19.201321508409976</v>
      </c>
      <c r="G26" s="5" t="s">
        <v>100</v>
      </c>
      <c r="H26" s="30">
        <f>IF(AND(ISNUMBER(H24),ISNUMBER(F24)),(H24-F24)*10000,"n/a")</f>
        <v>88.63522318372257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25" t="s">
        <v>105</v>
      </c>
      <c r="C27" s="18" t="s">
        <v>106</v>
      </c>
      <c r="D27" s="18" t="s">
        <v>106</v>
      </c>
      <c r="E27" s="18" t="s">
        <v>106</v>
      </c>
      <c r="F27" s="18" t="s">
        <v>106</v>
      </c>
      <c r="G27" s="18" t="s">
        <v>106</v>
      </c>
      <c r="H27" s="21" t="s">
        <v>106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107</v>
      </c>
      <c r="C28" s="18" t="s">
        <v>106</v>
      </c>
      <c r="D28" s="18" t="s">
        <v>106</v>
      </c>
      <c r="E28" s="18" t="s">
        <v>106</v>
      </c>
      <c r="F28" s="18" t="s">
        <v>106</v>
      </c>
      <c r="G28" s="18" t="s">
        <v>106</v>
      </c>
      <c r="H28" s="21" t="s">
        <v>106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5" t="s">
        <v>108</v>
      </c>
      <c r="C29" s="18" t="str">
        <f>IF(AND(ISNUMBER(C21),ISNUMBER(C27),ISNUMBER(C28)),(1+C21)/((1+C27)*(1+C28))-1,"n/a")</f>
        <v>n/a</v>
      </c>
      <c r="D29" s="18" t="str">
        <f>IF(AND(ISNUMBER(D21),ISNUMBER(D27),ISNUMBER(D28)),(1+D21)/((1+D27)*(1+D28))-1,"n/a")</f>
        <v>n/a</v>
      </c>
      <c r="E29" s="18" t="str">
        <f>IF(AND(ISNUMBER(E21),ISNUMBER(E27),ISNUMBER(E28)),(1+E21)/((1+E27)*(1+E28))-1,"n/a")</f>
        <v>n/a</v>
      </c>
      <c r="F29" s="18" t="str">
        <f>IF(AND(ISNUMBER(F21),ISNUMBER(F27),ISNUMBER(F28)),(1+F21)/((1+F27)*(1+F28))-1,"n/a")</f>
        <v>n/a</v>
      </c>
      <c r="G29" s="18" t="str">
        <f>IF(AND(ISNUMBER(G21),ISNUMBER(G27),ISNUMBER(G28)),(1+G21)/((1+G27)*(1+G28))-1,"n/a")</f>
        <v>n/a</v>
      </c>
      <c r="H29" s="21" t="str">
        <f>IF(AND(ISNUMBER(H21),ISNUMBER(H27),ISNUMBER(H28)),(1+H21)/((1+H27)*(1+H28))-1,"n/a")</f>
        <v>n/a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9" t="s">
        <v>111</v>
      </c>
      <c r="C30" s="35">
        <f>'Segment - RMS'!C56</f>
        <v>4373</v>
      </c>
      <c r="D30" s="35">
        <f>'Segment - RMS'!D56</f>
        <v>4616</v>
      </c>
      <c r="E30" s="35">
        <f>'Segment - RMS'!E56</f>
        <v>3991</v>
      </c>
      <c r="F30" s="35">
        <f>'Segment - RMS'!F56</f>
        <v>4354</v>
      </c>
      <c r="G30" s="35">
        <f>'Segment - RMS'!G56</f>
        <v>17312</v>
      </c>
      <c r="H30" s="34">
        <f>'Segment - RMS'!H56</f>
        <v>4501.3766</v>
      </c>
      <c r="I30" s="1"/>
      <c r="J30" s="35">
        <f>'Segment - RMS'!J56</f>
        <v>4367</v>
      </c>
      <c r="K30" s="35">
        <f>'Segment - RMS'!K56</f>
        <v>4261</v>
      </c>
      <c r="L30" s="35">
        <f>'Segment - RMS'!L56</f>
        <v>4328</v>
      </c>
      <c r="M30" s="35">
        <f>'Segment - RMS'!M56</f>
        <v>3995</v>
      </c>
      <c r="N30" s="35">
        <f>'Segment - RMS'!N56</f>
        <v>17264</v>
      </c>
      <c r="O30" s="35">
        <f>'Segment - RMS'!O56</f>
        <v>13003</v>
      </c>
      <c r="P30" s="35">
        <f>'Segment - RMS'!P56</f>
        <v>12696</v>
      </c>
      <c r="Q30" s="1"/>
      <c r="R30" s="9" t="s">
        <v>112</v>
      </c>
      <c r="S30" s="1"/>
      <c r="T30" s="1"/>
      <c r="U30" s="1"/>
      <c r="V30" s="1"/>
      <c r="W30" s="1"/>
      <c r="X30" s="1"/>
      <c r="Y30" s="1"/>
      <c r="Z30" s="1"/>
    </row>
    <row r="31">
      <c r="A31" s="1"/>
      <c r="B31" s="25" t="s">
        <v>98</v>
      </c>
      <c r="C31" s="18">
        <f>IF(AND(ISNUMBER(C30),ISNUMBER(J30)),IF(OR(J30&gt;0,AND(J30&lt;0,C30&lt;0)),C30/J30-1,"n/m"),"n/a")</f>
        <v>0.0013739409205404396</v>
      </c>
      <c r="D31" s="18">
        <f>IF(AND(ISNUMBER(D30),ISNUMBER(K30)),IF(OR(K30&gt;0,AND(K30&lt;0,D30&lt;0)),D30/K30-1,"n/m"),"n/a")</f>
        <v>0.08331377610889468</v>
      </c>
      <c r="E31" s="18">
        <f>IF(AND(ISNUMBER(E30),ISNUMBER(L30)),IF(OR(L30&gt;0,AND(L30&lt;0,E30&lt;0)),E30/L30-1,"n/m"),"n/a")</f>
        <v>-0.0778650646950092</v>
      </c>
      <c r="F31" s="18">
        <f>IF(AND(ISNUMBER(F30),ISNUMBER(M30)),IF(OR(M30&gt;0,AND(M30&lt;0,F30&lt;0)),F30/M30-1,"n/m"),"n/a")</f>
        <v>0.08986232790988735</v>
      </c>
      <c r="G31" s="18">
        <f>IF(AND(ISNUMBER(G30),ISNUMBER(N30)),IF(OR(N30&gt;0,AND(N30&lt;0,G30&lt;0)),G30/N30-1,"n/m"),"n/a")</f>
        <v>0.002780352177942591</v>
      </c>
      <c r="H31" s="21">
        <f>IF(AND(ISNUMBER(H30),ISNUMBER(C30)),IF(OR(C30&gt;0,AND(C30&lt;0,H30&lt;0)),H30/C30-1,"n/m"),"n/a")</f>
        <v>0.029356643036816843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25" t="s">
        <v>99</v>
      </c>
      <c r="C32" s="18">
        <f>IF(AND(ISNUMBER(C30),ISNUMBER(M30)),IF(OR(M30&gt;0,AND(M30&lt;0,C30&lt;0)),C30/M30-1,"n/m"),"n/a")</f>
        <v>0.0946182728410514</v>
      </c>
      <c r="D32" s="18">
        <f>IF(AND(ISNUMBER(D30),ISNUMBER(C30)),IF(OR(C30&gt;0,AND(C30&lt;0,D30&lt;0)),D30/C30-1,"n/m"),"n/a")</f>
        <v>0.05556825977589752</v>
      </c>
      <c r="E32" s="18">
        <f>IF(AND(ISNUMBER(E30),ISNUMBER(D30)),IF(OR(D30&gt;0,AND(D30&lt;0,E30&lt;0)),E30/D30-1,"n/m"),"n/a")</f>
        <v>-0.1353986135181976</v>
      </c>
      <c r="F32" s="18">
        <f>IF(AND(ISNUMBER(F30),ISNUMBER(E30)),IF(OR(E30&gt;0,AND(E30&lt;0,F30&lt;0)),F30/E30-1,"n/m"),"n/a")</f>
        <v>0.09095464795790531</v>
      </c>
      <c r="G32" s="18" t="s">
        <v>100</v>
      </c>
      <c r="H32" s="21">
        <f>IF(AND(ISNUMBER(H30),ISNUMBER(F30)),IF(OR(F30&gt;0,AND(F30&lt;0,H30&lt;0)),H30/F30-1,"n/m"),"n/a")</f>
        <v>0.03384855305466239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4" t="s">
        <v>101</v>
      </c>
      <c r="C33" s="2">
        <f>IF(AND(ISNUMBER(C30),ISNUMBER(M30)),C30-M30,"n/a")</f>
        <v>378</v>
      </c>
      <c r="D33" s="2">
        <f>IF(AND(ISNUMBER(D30),ISNUMBER(C30)),D30-C30,"n/a")</f>
        <v>243</v>
      </c>
      <c r="E33" s="2">
        <f>IF(AND(ISNUMBER(E30),ISNUMBER(D30)),E30-D30,"n/a")</f>
        <v>-625</v>
      </c>
      <c r="F33" s="2">
        <f>IF(AND(ISNUMBER(F30),ISNUMBER(E30)),F30-E30,"n/a")</f>
        <v>363</v>
      </c>
      <c r="G33" s="2" t="s">
        <v>100</v>
      </c>
      <c r="H33" s="7">
        <f>IF(AND(ISNUMBER(H30),ISNUMBER(F30)),H30-F30,"n/a")</f>
        <v>147.3765999999996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25" t="s">
        <v>102</v>
      </c>
      <c r="C34" s="18">
        <f>IF(AND(ISNUMBER(C30),ISNUMBER(C50)),C30/C50,"n/a")</f>
        <v>0.23499382019452952</v>
      </c>
      <c r="D34" s="18">
        <f>IF(AND(ISNUMBER(D30),ISNUMBER(D50)),D30/D50,"n/a")</f>
        <v>0.22715417548348998</v>
      </c>
      <c r="E34" s="18">
        <f>IF(AND(ISNUMBER(E30),ISNUMBER(E50)),E30/E50,"n/a")</f>
        <v>0.22146384773320016</v>
      </c>
      <c r="F34" s="18">
        <f>IF(AND(ISNUMBER(F30),ISNUMBER(F50)),F30/F50,"n/a")</f>
        <v>0.21701639834521258</v>
      </c>
      <c r="G34" s="18">
        <f>IF(AND(ISNUMBER(G30),ISNUMBER(G50)),G30/G50,"n/a")</f>
        <v>0.23067903208613155</v>
      </c>
      <c r="H34" s="21">
        <f>IF(AND(ISNUMBER(H30),ISNUMBER(H50)),H30/H50,"n/a")</f>
        <v>0.223390962817375</v>
      </c>
      <c r="I34" s="1"/>
      <c r="J34" s="18">
        <f>IF(AND(ISNUMBER(J30),ISNUMBER(J50)),J30/J50,"n/a")</f>
        <v>0.2553203928905519</v>
      </c>
      <c r="K34" s="18">
        <f>IF(AND(ISNUMBER(K30),ISNUMBER(K50)),K30/K50,"n/a")</f>
        <v>0.2288153796584685</v>
      </c>
      <c r="L34" s="18">
        <f>IF(AND(ISNUMBER(L30),ISNUMBER(L50)),L30/L50,"n/a")</f>
        <v>0.24093970940266102</v>
      </c>
      <c r="M34" s="18">
        <f>IF(AND(ISNUMBER(M30),ISNUMBER(M50)),M30/M50,"n/a")</f>
        <v>0.22004957312035253</v>
      </c>
      <c r="N34" s="18">
        <f>IF(AND(ISNUMBER(N30),ISNUMBER(N50)),N30/N50,"n/a")</f>
        <v>0.24300775586616555</v>
      </c>
      <c r="O34" s="18">
        <f>IF(AND(ISNUMBER(O30),ISNUMBER(O50)),O30/O50,"n/a")</f>
        <v>0.24804944583277694</v>
      </c>
      <c r="P34" s="18">
        <f>IF(AND(ISNUMBER(P30),ISNUMBER(P50)),P30/P50,"n/a")</f>
        <v>0.23198786704917135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20" t="s">
        <v>103</v>
      </c>
      <c r="C35" s="5">
        <f>IF(AND(ISNUMBER(C34),ISNUMBER(J34)),(C34-J34)*10000,"n/a")</f>
        <v>-203.26572696022393</v>
      </c>
      <c r="D35" s="5">
        <f>IF(AND(ISNUMBER(D34),ISNUMBER(K34)),(D34-K34)*10000,"n/a")</f>
        <v>-16.612041749785035</v>
      </c>
      <c r="E35" s="5">
        <f>IF(AND(ISNUMBER(E34),ISNUMBER(L34)),(E34-L34)*10000,"n/a")</f>
        <v>-194.75861669460858</v>
      </c>
      <c r="F35" s="5">
        <f>IF(AND(ISNUMBER(F34),ISNUMBER(M34)),(F34-M34)*10000,"n/a")</f>
        <v>-30.33174775139952</v>
      </c>
      <c r="G35" s="5">
        <f>IF(AND(ISNUMBER(G34),ISNUMBER(N34)),(G34-N34)*10000,"n/a")</f>
        <v>-123.28723780033995</v>
      </c>
      <c r="H35" s="30">
        <f>IF(AND(ISNUMBER(H34),ISNUMBER(C34)),(H34-C34)*10000,"n/a")</f>
        <v>-116.02857377154524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20" t="s">
        <v>104</v>
      </c>
      <c r="C36" s="5">
        <f>IF(AND(ISNUMBER(C34),ISNUMBER(M34)),(C34-M34)*10000,"n/a")</f>
        <v>149.4424707417699</v>
      </c>
      <c r="D36" s="5">
        <f>IF(AND(ISNUMBER(D34),ISNUMBER(C34)),(D34-C34)*10000,"n/a")</f>
        <v>-78.3964471103954</v>
      </c>
      <c r="E36" s="5">
        <f>IF(AND(ISNUMBER(E34),ISNUMBER(D34)),(E34-D34)*10000,"n/a")</f>
        <v>-56.903277502898256</v>
      </c>
      <c r="F36" s="5">
        <f>IF(AND(ISNUMBER(F34),ISNUMBER(E34)),(F34-E34)*10000,"n/a")</f>
        <v>-44.47449387987579</v>
      </c>
      <c r="G36" s="5" t="s">
        <v>100</v>
      </c>
      <c r="H36" s="30">
        <f>IF(AND(ISNUMBER(H34),ISNUMBER(F34)),(H34-F34)*10000,"n/a")</f>
        <v>63.745644721624195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25" t="s">
        <v>105</v>
      </c>
      <c r="C37" s="18" t="s">
        <v>106</v>
      </c>
      <c r="D37" s="18" t="s">
        <v>106</v>
      </c>
      <c r="E37" s="18" t="s">
        <v>106</v>
      </c>
      <c r="F37" s="18" t="s">
        <v>106</v>
      </c>
      <c r="G37" s="18" t="s">
        <v>106</v>
      </c>
      <c r="H37" s="21" t="s">
        <v>106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5" t="s">
        <v>107</v>
      </c>
      <c r="C38" s="18" t="s">
        <v>106</v>
      </c>
      <c r="D38" s="18" t="s">
        <v>106</v>
      </c>
      <c r="E38" s="18" t="s">
        <v>106</v>
      </c>
      <c r="F38" s="18" t="s">
        <v>106</v>
      </c>
      <c r="G38" s="18" t="s">
        <v>106</v>
      </c>
      <c r="H38" s="21" t="s">
        <v>106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25" t="s">
        <v>108</v>
      </c>
      <c r="C39" s="18" t="str">
        <f>IF(AND(ISNUMBER(C31),ISNUMBER(C37),ISNUMBER(C38)),(1+C31)/((1+C37)*(1+C38))-1,"n/a")</f>
        <v>n/a</v>
      </c>
      <c r="D39" s="18" t="str">
        <f>IF(AND(ISNUMBER(D31),ISNUMBER(D37),ISNUMBER(D38)),(1+D31)/((1+D37)*(1+D38))-1,"n/a")</f>
        <v>n/a</v>
      </c>
      <c r="E39" s="18" t="str">
        <f>IF(AND(ISNUMBER(E31),ISNUMBER(E37),ISNUMBER(E38)),(1+E31)/((1+E37)*(1+E38))-1,"n/a")</f>
        <v>n/a</v>
      </c>
      <c r="F39" s="18" t="str">
        <f>IF(AND(ISNUMBER(F31),ISNUMBER(F37),ISNUMBER(F38)),(1+F31)/((1+F37)*(1+F38))-1,"n/a")</f>
        <v>n/a</v>
      </c>
      <c r="G39" s="18" t="str">
        <f>IF(AND(ISNUMBER(G31),ISNUMBER(G37),ISNUMBER(G38)),(1+G31)/((1+G37)*(1+G38))-1,"n/a")</f>
        <v>n/a</v>
      </c>
      <c r="H39" s="21" t="str">
        <f>IF(AND(ISNUMBER(H31),ISNUMBER(H37),ISNUMBER(H38)),(1+H31)/((1+H37)*(1+H38))-1,"n/a")</f>
        <v>n/a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9" t="s">
        <v>113</v>
      </c>
      <c r="C40" s="35">
        <f>'Segment - Space'!C56</f>
        <v>3356</v>
      </c>
      <c r="D40" s="35">
        <f>'Segment - Space'!D56</f>
        <v>3161</v>
      </c>
      <c r="E40" s="35">
        <f>'Segment - Space'!E56</f>
        <v>3428</v>
      </c>
      <c r="F40" s="35">
        <f>'Segment - Space'!F56</f>
        <v>3496</v>
      </c>
      <c r="G40" s="35">
        <f>'Segment - Space'!G56</f>
        <v>13029</v>
      </c>
      <c r="H40" s="34">
        <f>'Segment - Space'!H56</f>
        <v>3551.3255999999997</v>
      </c>
      <c r="I40" s="1"/>
      <c r="J40" s="35">
        <f>'Segment - Space'!J56</f>
        <v>3075</v>
      </c>
      <c r="K40" s="35">
        <f>'Segment - Space'!K56</f>
        <v>2940</v>
      </c>
      <c r="L40" s="35">
        <f>'Segment - Space'!L56</f>
        <v>3205</v>
      </c>
      <c r="M40" s="35">
        <f>'Segment - Space'!M56</f>
        <v>3307</v>
      </c>
      <c r="N40" s="35">
        <f>'Segment - Space'!N56</f>
        <v>12479</v>
      </c>
      <c r="O40" s="35">
        <f>'Segment - Space'!O56</f>
        <v>9539</v>
      </c>
      <c r="P40" s="35">
        <f>'Segment - Space'!P56</f>
        <v>9868</v>
      </c>
      <c r="Q40" s="1"/>
      <c r="R40" s="9" t="s">
        <v>114</v>
      </c>
      <c r="S40" s="1"/>
      <c r="T40" s="1"/>
      <c r="U40" s="1"/>
      <c r="V40" s="1"/>
      <c r="W40" s="1"/>
      <c r="X40" s="1"/>
      <c r="Y40" s="1"/>
      <c r="Z40" s="1"/>
    </row>
    <row r="41">
      <c r="A41" s="1"/>
      <c r="B41" s="25" t="s">
        <v>98</v>
      </c>
      <c r="C41" s="18">
        <f>IF(AND(ISNUMBER(C40),ISNUMBER(J40)),IF(OR(J40&gt;0,AND(J40&lt;0,C40&lt;0)),C40/J40-1,"n/m"),"n/a")</f>
        <v>0.09138211382113814</v>
      </c>
      <c r="D41" s="18">
        <f>IF(AND(ISNUMBER(D40),ISNUMBER(K40)),IF(OR(K40&gt;0,AND(K40&lt;0,D40&lt;0)),D40/K40-1,"n/m"),"n/a")</f>
        <v>0.07517006802721093</v>
      </c>
      <c r="E41" s="18">
        <f>IF(AND(ISNUMBER(E40),ISNUMBER(L40)),IF(OR(L40&gt;0,AND(L40&lt;0,E40&lt;0)),E40/L40-1,"n/m"),"n/a")</f>
        <v>0.06957878315132615</v>
      </c>
      <c r="F41" s="18">
        <f>IF(AND(ISNUMBER(F40),ISNUMBER(M40)),IF(OR(M40&gt;0,AND(M40&lt;0,F40&lt;0)),F40/M40-1,"n/m"),"n/a")</f>
        <v>0.057151496824916936</v>
      </c>
      <c r="G41" s="18">
        <f>IF(AND(ISNUMBER(G40),ISNUMBER(N40)),IF(OR(N40&gt;0,AND(N40&lt;0,G40&lt;0)),G40/N40-1,"n/m"),"n/a")</f>
        <v>0.044074044394582845</v>
      </c>
      <c r="H41" s="21">
        <f>IF(AND(ISNUMBER(H40),ISNUMBER(C40)),IF(OR(C40&gt;0,AND(C40&lt;0,H40&lt;0)),H40/C40-1,"n/m"),"n/a")</f>
        <v>0.05820190703218109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25" t="s">
        <v>99</v>
      </c>
      <c r="C42" s="18">
        <f>IF(AND(ISNUMBER(C40),ISNUMBER(M40)),IF(OR(M40&gt;0,AND(M40&lt;0,C40&lt;0)),C40/M40-1,"n/m"),"n/a")</f>
        <v>0.014817054732385815</v>
      </c>
      <c r="D42" s="18">
        <f>IF(AND(ISNUMBER(D40),ISNUMBER(C40)),IF(OR(C40&gt;0,AND(C40&lt;0,D40&lt;0)),D40/C40-1,"n/m"),"n/a")</f>
        <v>-0.05810488676996428</v>
      </c>
      <c r="E42" s="18">
        <f>IF(AND(ISNUMBER(E40),ISNUMBER(D40)),IF(OR(D40&gt;0,AND(D40&lt;0,E40&lt;0)),E40/D40-1,"n/m"),"n/a")</f>
        <v>0.08446694084150574</v>
      </c>
      <c r="F42" s="18">
        <f>IF(AND(ISNUMBER(F40),ISNUMBER(E40)),IF(OR(E40&gt;0,AND(E40&lt;0,F40&lt;0)),F40/E40-1,"n/m"),"n/a")</f>
        <v>0.019836639439906545</v>
      </c>
      <c r="G42" s="18" t="s">
        <v>100</v>
      </c>
      <c r="H42" s="21">
        <f>IF(AND(ISNUMBER(H40),ISNUMBER(F40)),IF(OR(F40&gt;0,AND(F40&lt;0,H40&lt;0)),H40/F40-1,"n/m"),"n/a")</f>
        <v>0.015825400457665895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4" t="s">
        <v>101</v>
      </c>
      <c r="C43" s="2">
        <f>IF(AND(ISNUMBER(C40),ISNUMBER(M40)),C40-M40,"n/a")</f>
        <v>49</v>
      </c>
      <c r="D43" s="2">
        <f>IF(AND(ISNUMBER(D40),ISNUMBER(C40)),D40-C40,"n/a")</f>
        <v>-195</v>
      </c>
      <c r="E43" s="2">
        <f>IF(AND(ISNUMBER(E40),ISNUMBER(D40)),E40-D40,"n/a")</f>
        <v>267</v>
      </c>
      <c r="F43" s="2">
        <f>IF(AND(ISNUMBER(F40),ISNUMBER(E40)),F40-E40,"n/a")</f>
        <v>68</v>
      </c>
      <c r="G43" s="2" t="s">
        <v>100</v>
      </c>
      <c r="H43" s="7">
        <f>IF(AND(ISNUMBER(H40),ISNUMBER(F40)),H40-F40,"n/a")</f>
        <v>55.32559999999967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5" t="s">
        <v>102</v>
      </c>
      <c r="C44" s="18">
        <f>IF(AND(ISNUMBER(C40),ISNUMBER(C50)),C40/C50,"n/a")</f>
        <v>0.18034284486001398</v>
      </c>
      <c r="D44" s="18">
        <f>IF(AND(ISNUMBER(D40),ISNUMBER(D50)),D40/D50,"n/a")</f>
        <v>0.15555336843659268</v>
      </c>
      <c r="E44" s="18">
        <f>IF(AND(ISNUMBER(E40),ISNUMBER(E50)),E40/E50,"n/a")</f>
        <v>0.19022251817324232</v>
      </c>
      <c r="F44" s="18">
        <f>IF(AND(ISNUMBER(F40),ISNUMBER(F50)),F40/F50,"n/a")</f>
        <v>0.17425110900662913</v>
      </c>
      <c r="G44" s="18">
        <f>IF(AND(ISNUMBER(G40),ISNUMBER(G50)),G40/G50,"n/a")</f>
        <v>0.17360889031020146</v>
      </c>
      <c r="H44" s="21">
        <f>IF(AND(ISNUMBER(H40),ISNUMBER(H50)),H40/H50,"n/a")</f>
        <v>0.17624253990701244</v>
      </c>
      <c r="I44" s="1"/>
      <c r="J44" s="18">
        <f>IF(AND(ISNUMBER(J40),ISNUMBER(J50)),J40/J50,"n/a")</f>
        <v>0.1797825070159027</v>
      </c>
      <c r="K44" s="18">
        <f>IF(AND(ISNUMBER(K40),ISNUMBER(K50)),K40/K50,"n/a")</f>
        <v>0.15787777897110944</v>
      </c>
      <c r="L44" s="18">
        <f>IF(AND(ISNUMBER(L40),ISNUMBER(L50)),L40/L50,"n/a")</f>
        <v>0.17842231253131438</v>
      </c>
      <c r="M44" s="18">
        <f>IF(AND(ISNUMBER(M40),ISNUMBER(M50)),M40/M50,"n/a")</f>
        <v>0.18215367667309282</v>
      </c>
      <c r="N44" s="18">
        <f>IF(AND(ISNUMBER(N40),ISNUMBER(N50)),N40/N50,"n/a")</f>
        <v>0.17565418127049814</v>
      </c>
      <c r="O44" s="18">
        <f>IF(AND(ISNUMBER(O40),ISNUMBER(O50)),O40/O50,"n/a")</f>
        <v>0.18196905820186565</v>
      </c>
      <c r="P44" s="18">
        <f>IF(AND(ISNUMBER(P40),ISNUMBER(P50)),P40/P50,"n/a")</f>
        <v>0.18031319092952292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0" t="s">
        <v>103</v>
      </c>
      <c r="C45" s="5">
        <f>IF(AND(ISNUMBER(C44),ISNUMBER(J44)),(C44-J44)*10000,"n/a")</f>
        <v>5.603378441112749</v>
      </c>
      <c r="D45" s="5">
        <f>IF(AND(ISNUMBER(D44),ISNUMBER(K44)),(D44-K44)*10000,"n/a")</f>
        <v>-23.244105345167632</v>
      </c>
      <c r="E45" s="5">
        <f>IF(AND(ISNUMBER(E44),ISNUMBER(L44)),(E44-L44)*10000,"n/a")</f>
        <v>118.00205641927936</v>
      </c>
      <c r="F45" s="5">
        <f>IF(AND(ISNUMBER(F44),ISNUMBER(M44)),(F44-M44)*10000,"n/a")</f>
        <v>-79.02567666463689</v>
      </c>
      <c r="G45" s="5">
        <f>IF(AND(ISNUMBER(G44),ISNUMBER(N44)),(G44-N44)*10000,"n/a")</f>
        <v>-20.452909602966805</v>
      </c>
      <c r="H45" s="30">
        <f>IF(AND(ISNUMBER(H44),ISNUMBER(C44)),(H44-C44)*10000,"n/a")</f>
        <v>-41.00304953001538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20" t="s">
        <v>104</v>
      </c>
      <c r="C46" s="5">
        <f>IF(AND(ISNUMBER(C44),ISNUMBER(M44)),(C44-M44)*10000,"n/a")</f>
        <v>-18.10831813078839</v>
      </c>
      <c r="D46" s="5">
        <f>IF(AND(ISNUMBER(D44),ISNUMBER(C44)),(D44-C44)*10000,"n/a")</f>
        <v>-247.89476423421303</v>
      </c>
      <c r="E46" s="5">
        <f>IF(AND(ISNUMBER(E44),ISNUMBER(D44)),(E44-D44)*10000,"n/a")</f>
        <v>346.6914973664964</v>
      </c>
      <c r="F46" s="5">
        <f>IF(AND(ISNUMBER(F44),ISNUMBER(E44)),(F44-E44)*10000,"n/a")</f>
        <v>-159.71409166613188</v>
      </c>
      <c r="G46" s="5" t="s">
        <v>100</v>
      </c>
      <c r="H46" s="30">
        <f>IF(AND(ISNUMBER(H44),ISNUMBER(F44)),(H44-F44)*10000,"n/a")</f>
        <v>19.914309003833118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25" t="s">
        <v>105</v>
      </c>
      <c r="C47" s="18" t="s">
        <v>106</v>
      </c>
      <c r="D47" s="18" t="s">
        <v>106</v>
      </c>
      <c r="E47" s="18" t="s">
        <v>106</v>
      </c>
      <c r="F47" s="18" t="s">
        <v>106</v>
      </c>
      <c r="G47" s="18" t="s">
        <v>106</v>
      </c>
      <c r="H47" s="21" t="s">
        <v>106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5" t="s">
        <v>107</v>
      </c>
      <c r="C48" s="18" t="s">
        <v>106</v>
      </c>
      <c r="D48" s="18" t="s">
        <v>106</v>
      </c>
      <c r="E48" s="18" t="s">
        <v>106</v>
      </c>
      <c r="F48" s="18" t="s">
        <v>106</v>
      </c>
      <c r="G48" s="18" t="s">
        <v>106</v>
      </c>
      <c r="H48" s="21" t="s">
        <v>106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25" t="s">
        <v>108</v>
      </c>
      <c r="C49" s="18" t="str">
        <f>IF(AND(ISNUMBER(C41),ISNUMBER(C47),ISNUMBER(C48)),(1+C41)/((1+C47)*(1+C48))-1,"n/a")</f>
        <v>n/a</v>
      </c>
      <c r="D49" s="18" t="str">
        <f>IF(AND(ISNUMBER(D41),ISNUMBER(D47),ISNUMBER(D48)),(1+D41)/((1+D47)*(1+D48))-1,"n/a")</f>
        <v>n/a</v>
      </c>
      <c r="E49" s="18" t="str">
        <f>IF(AND(ISNUMBER(E41),ISNUMBER(E47),ISNUMBER(E48)),(1+E41)/((1+E47)*(1+E48))-1,"n/a")</f>
        <v>n/a</v>
      </c>
      <c r="F49" s="18" t="str">
        <f>IF(AND(ISNUMBER(F41),ISNUMBER(F47),ISNUMBER(F48)),(1+F41)/((1+F47)*(1+F48))-1,"n/a")</f>
        <v>n/a</v>
      </c>
      <c r="G49" s="18" t="str">
        <f>IF(AND(ISNUMBER(G41),ISNUMBER(G47),ISNUMBER(G48)),(1+G41)/((1+G47)*(1+G48))-1,"n/a")</f>
        <v>n/a</v>
      </c>
      <c r="H49" s="21" t="str">
        <f>IF(AND(ISNUMBER(H41),ISNUMBER(H47),ISNUMBER(H48)),(1+H41)/((1+H47)*(1+H48))-1,"n/a")</f>
        <v>n/a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46" t="s">
        <v>115</v>
      </c>
      <c r="C50" s="14">
        <f>C10+C20+C30+C40</f>
        <v>18609</v>
      </c>
      <c r="D50" s="14">
        <f>D10+D20+D30+D40</f>
        <v>20321</v>
      </c>
      <c r="E50" s="14">
        <f>E10+E20+E30+E40</f>
        <v>18021</v>
      </c>
      <c r="F50" s="14">
        <f>F10+F20+F30+F40</f>
        <v>20063</v>
      </c>
      <c r="G50" s="14">
        <f>G10+G20+G30+G40</f>
        <v>75048</v>
      </c>
      <c r="H50" s="48">
        <f>H10+H20+H30+H40</f>
        <v>20150.217999999997</v>
      </c>
      <c r="I50" s="1"/>
      <c r="J50" s="14">
        <f>J10+J20+J30+J40</f>
        <v>17104</v>
      </c>
      <c r="K50" s="14">
        <f>K10+K20+K30+K40</f>
        <v>18622</v>
      </c>
      <c r="L50" s="14">
        <f>L10+L20+L30+L40</f>
        <v>17963</v>
      </c>
      <c r="M50" s="14">
        <f>M10+M20+M30+M40</f>
        <v>18155</v>
      </c>
      <c r="N50" s="14">
        <f>N10+N20+N30+N40</f>
        <v>71043</v>
      </c>
      <c r="O50" s="14">
        <f>O10+O20+O30+O40</f>
        <v>52421</v>
      </c>
      <c r="P50" s="14">
        <f>P10+P20+P30+P40</f>
        <v>54727</v>
      </c>
      <c r="Q50" s="1"/>
      <c r="R50" s="9" t="s">
        <v>116</v>
      </c>
      <c r="S50" s="1"/>
      <c r="T50" s="1"/>
      <c r="U50" s="1"/>
      <c r="V50" s="1"/>
      <c r="W50" s="1"/>
      <c r="X50" s="1"/>
      <c r="Y50" s="1"/>
      <c r="Z50" s="1"/>
    </row>
    <row r="51">
      <c r="A51" s="1"/>
      <c r="B51" s="25" t="s">
        <v>98</v>
      </c>
      <c r="C51" s="18">
        <f>IF(AND(ISNUMBER(C50),ISNUMBER(J50)),IF(OR(J50&gt;0,AND(J50&lt;0,C50&lt;0)),C50/J50-1,"n/m"),"n/a")</f>
        <v>0.08799111318989716</v>
      </c>
      <c r="D51" s="18">
        <f>IF(AND(ISNUMBER(D50),ISNUMBER(K50)),IF(OR(K50&gt;0,AND(K50&lt;0,D50&lt;0)),D50/K50-1,"n/m"),"n/a")</f>
        <v>0.09123617226935887</v>
      </c>
      <c r="E51" s="18">
        <f>IF(AND(ISNUMBER(E50),ISNUMBER(L50)),IF(OR(L50&gt;0,AND(L50&lt;0,E50&lt;0)),E50/L50-1,"n/m"),"n/a")</f>
        <v>0.0032288593219396144</v>
      </c>
      <c r="F51" s="18">
        <f>IF(AND(ISNUMBER(F50),ISNUMBER(M50)),IF(OR(M50&gt;0,AND(M50&lt;0,F50&lt;0)),F50/M50-1,"n/m"),"n/a")</f>
        <v>0.10509501514734243</v>
      </c>
      <c r="G51" s="18">
        <f>IF(AND(ISNUMBER(G50),ISNUMBER(N50)),IF(OR(N50&gt;0,AND(N50&lt;0,G50&lt;0)),G50/N50-1,"n/m"),"n/a")</f>
        <v>0.0563743085173769</v>
      </c>
      <c r="H51" s="21">
        <f>IF(AND(ISNUMBER(H50),ISNUMBER(C50)),IF(OR(C50&gt;0,AND(C50&lt;0,H50&lt;0)),H50/C50-1,"n/m"),"n/a")</f>
        <v>0.08282110806598952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25" t="s">
        <v>99</v>
      </c>
      <c r="C52" s="18">
        <f>IF(AND(ISNUMBER(C50),ISNUMBER(M50)),IF(OR(M50&gt;0,AND(M50&lt;0,C50&lt;0)),C50/M50-1,"n/m"),"n/a")</f>
        <v>0.025006885155604452</v>
      </c>
      <c r="D52" s="18">
        <f>IF(AND(ISNUMBER(D50),ISNUMBER(C50)),IF(OR(C50&gt;0,AND(C50&lt;0,D50&lt;0)),D50/C50-1,"n/m"),"n/a")</f>
        <v>0.09199849535171145</v>
      </c>
      <c r="E52" s="18">
        <f>IF(AND(ISNUMBER(E50),ISNUMBER(D50)),IF(OR(D50&gt;0,AND(D50&lt;0,E50&lt;0)),E50/D50-1,"n/m"),"n/a")</f>
        <v>-0.11318340632842872</v>
      </c>
      <c r="F52" s="18">
        <f>IF(AND(ISNUMBER(F50),ISNUMBER(E50)),IF(OR(E50&gt;0,AND(E50&lt;0,F50&lt;0)),F50/E50-1,"n/m"),"n/a")</f>
        <v>0.11331224682315066</v>
      </c>
      <c r="G52" s="18" t="s">
        <v>100</v>
      </c>
      <c r="H52" s="21">
        <f>IF(AND(ISNUMBER(H50),ISNUMBER(F50)),IF(OR(F50&gt;0,AND(F50&lt;0,H50&lt;0)),H50/F50-1,"n/m"),"n/a")</f>
        <v>0.004347206300154394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4" t="s">
        <v>101</v>
      </c>
      <c r="C53" s="2">
        <f>IF(AND(ISNUMBER(C50),ISNUMBER(M50)),C50-M50,"n/a")</f>
        <v>454</v>
      </c>
      <c r="D53" s="2">
        <f>IF(AND(ISNUMBER(D50),ISNUMBER(C50)),D50-C50,"n/a")</f>
        <v>1712</v>
      </c>
      <c r="E53" s="2">
        <f>IF(AND(ISNUMBER(E50),ISNUMBER(D50)),E50-D50,"n/a")</f>
        <v>-2300</v>
      </c>
      <c r="F53" s="2">
        <f>IF(AND(ISNUMBER(F50),ISNUMBER(E50)),F50-E50,"n/a")</f>
        <v>2042</v>
      </c>
      <c r="G53" s="2" t="s">
        <v>100</v>
      </c>
      <c r="H53" s="7">
        <f>IF(AND(ISNUMBER(H50),ISNUMBER(F50)),H50-F50,"n/a")</f>
        <v>87.21799999999712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5" t="s">
        <v>105</v>
      </c>
      <c r="C54" s="18" t="s">
        <v>106</v>
      </c>
      <c r="D54" s="18" t="s">
        <v>106</v>
      </c>
      <c r="E54" s="18" t="s">
        <v>106</v>
      </c>
      <c r="F54" s="18" t="s">
        <v>106</v>
      </c>
      <c r="G54" s="18" t="s">
        <v>106</v>
      </c>
      <c r="H54" s="21" t="s">
        <v>106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5" t="s">
        <v>107</v>
      </c>
      <c r="C55" s="18" t="s">
        <v>106</v>
      </c>
      <c r="D55" s="18" t="s">
        <v>106</v>
      </c>
      <c r="E55" s="18" t="s">
        <v>106</v>
      </c>
      <c r="F55" s="18" t="s">
        <v>106</v>
      </c>
      <c r="G55" s="18" t="s">
        <v>106</v>
      </c>
      <c r="H55" s="21" t="s">
        <v>106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25" t="s">
        <v>108</v>
      </c>
      <c r="C56" s="18" t="str">
        <f>IF(AND(ISNUMBER(C51),ISNUMBER(C54),ISNUMBER(C55)),(1+C51)/((1+C54)*(1+C55))-1,"n/a")</f>
        <v>n/a</v>
      </c>
      <c r="D56" s="18" t="str">
        <f>IF(AND(ISNUMBER(D51),ISNUMBER(D54),ISNUMBER(D55)),(1+D51)/((1+D54)*(1+D55))-1,"n/a")</f>
        <v>n/a</v>
      </c>
      <c r="E56" s="18" t="str">
        <f>IF(AND(ISNUMBER(E51),ISNUMBER(E54),ISNUMBER(E55)),(1+E51)/((1+E54)*(1+E55))-1,"n/a")</f>
        <v>n/a</v>
      </c>
      <c r="F56" s="18" t="str">
        <f>IF(AND(ISNUMBER(F51),ISNUMBER(F54),ISNUMBER(F55)),(1+F51)/((1+F54)*(1+F55))-1,"n/a")</f>
        <v>n/a</v>
      </c>
      <c r="G56" s="18" t="str">
        <f>IF(AND(ISNUMBER(G51),ISNUMBER(G54),ISNUMBER(G55)),(1+G51)/((1+G54)*(1+G55))-1,"n/a")</f>
        <v>n/a</v>
      </c>
      <c r="H56" s="21" t="str">
        <f>IF(AND(ISNUMBER(H51),ISNUMBER(H54),ISNUMBER(H55)),(1+H51)/((1+H54)*(1+H55))-1,"n/a")</f>
        <v>n/a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1" t="s">
        <v>117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3" t="s">
        <v>118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1"/>
      <c r="T59" s="1"/>
      <c r="U59" s="1"/>
      <c r="V59" s="1"/>
      <c r="W59" s="1"/>
      <c r="X59" s="1"/>
      <c r="Y59" s="1"/>
      <c r="Z59" s="1"/>
    </row>
    <row r="60">
      <c r="A60" s="1"/>
      <c r="B60" s="9" t="s">
        <v>119</v>
      </c>
      <c r="C60" s="35">
        <f>'Segment - Aeronautics'!C177</f>
        <v>682</v>
      </c>
      <c r="D60" s="35">
        <f>'Segment - Aeronautics'!D177</f>
        <v>782</v>
      </c>
      <c r="E60" s="35">
        <f>'Segment - Aeronautics'!E177</f>
        <v>619</v>
      </c>
      <c r="F60" s="35">
        <f>'Segment - Aeronautics'!F177</f>
        <v>760</v>
      </c>
      <c r="G60" s="35">
        <f>'Segment - Aeronautics'!G177</f>
        <v>2086</v>
      </c>
      <c r="H60" s="34">
        <f>'Segment - Aeronautics'!H177</f>
        <v>702.0077399999999</v>
      </c>
      <c r="I60" s="1"/>
      <c r="J60" s="35">
        <f>'Segment - Aeronautics'!J177</f>
        <v>659</v>
      </c>
      <c r="K60" s="35">
        <f>'Segment - Aeronautics'!K177</f>
        <v>434</v>
      </c>
      <c r="L60" s="35">
        <f>'Segment - Aeronautics'!L177</f>
        <v>720</v>
      </c>
      <c r="M60" s="35">
        <f>'Segment - Aeronautics'!M177</f>
        <v>-98</v>
      </c>
      <c r="N60" s="35">
        <f>'Segment - Aeronautics'!N177</f>
        <v>2523</v>
      </c>
      <c r="O60" s="35">
        <f>'Segment - Aeronautics'!O177</f>
        <v>2089</v>
      </c>
      <c r="P60" s="35">
        <f>'Segment - Aeronautics'!P177</f>
        <v>1304</v>
      </c>
      <c r="Q60" s="1"/>
      <c r="R60" s="9" t="s">
        <v>97</v>
      </c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98</v>
      </c>
      <c r="C61" s="18">
        <f>IF(AND(ISNUMBER(C60),ISNUMBER(J60)),IF(OR(J60&gt;0,AND(J60&lt;0,C60&lt;0)),C60/J60-1,"n/m"),"n/a")</f>
        <v>0.03490136570561453</v>
      </c>
      <c r="D61" s="18">
        <f>IF(AND(ISNUMBER(D60),ISNUMBER(K60)),IF(OR(K60&gt;0,AND(K60&lt;0,D60&lt;0)),D60/K60-1,"n/m"),"n/a")</f>
        <v>0.8018433179723503</v>
      </c>
      <c r="E61" s="18">
        <f>IF(AND(ISNUMBER(E60),ISNUMBER(L60)),IF(OR(L60&gt;0,AND(L60&lt;0,E60&lt;0)),E60/L60-1,"n/m"),"n/a")</f>
        <v>-0.14027777777777772</v>
      </c>
      <c r="F61" s="18" t="str">
        <f>IF(AND(ISNUMBER(F60),ISNUMBER(M60)),IF(OR(M60&gt;0,AND(M60&lt;0,F60&lt;0)),F60/M60-1,"n/m"),"n/a")</f>
        <v>n/m</v>
      </c>
      <c r="G61" s="18">
        <f>IF(AND(ISNUMBER(G60),ISNUMBER(N60)),IF(OR(N60&gt;0,AND(N60&lt;0,G60&lt;0)),G60/N60-1,"n/m"),"n/a")</f>
        <v>-0.17320650019817674</v>
      </c>
      <c r="H61" s="21">
        <f>IF(AND(ISNUMBER(H60),ISNUMBER(C60)),IF(OR(C60&gt;0,AND(C60&lt;0,H60&lt;0)),H60/C60-1,"n/m"),"n/a")</f>
        <v>0.029336862170087796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4" t="s">
        <v>101</v>
      </c>
      <c r="C62" s="2">
        <f>IF(AND(ISNUMBER(C60),ISNUMBER(M60)),C60-M60,"n/a")</f>
        <v>780</v>
      </c>
      <c r="D62" s="2">
        <f>IF(AND(ISNUMBER(D60),ISNUMBER(C60)),D60-C60,"n/a")</f>
        <v>100</v>
      </c>
      <c r="E62" s="2">
        <f>IF(AND(ISNUMBER(E60),ISNUMBER(D60)),E60-D60,"n/a")</f>
        <v>-163</v>
      </c>
      <c r="F62" s="2">
        <f>IF(AND(ISNUMBER(F60),ISNUMBER(E60)),F60-E60,"n/a")</f>
        <v>141</v>
      </c>
      <c r="G62" s="2" t="s">
        <v>100</v>
      </c>
      <c r="H62" s="7">
        <f>IF(AND(ISNUMBER(H60),ISNUMBER(F60)),H60-F60,"n/a")</f>
        <v>-57.9922600000001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25" t="s">
        <v>120</v>
      </c>
      <c r="C63" s="18">
        <f>C60/C10</f>
        <v>0.09399117971334069</v>
      </c>
      <c r="D63" s="18">
        <f>D60/D10</f>
        <v>0.09174096668230877</v>
      </c>
      <c r="E63" s="18">
        <f>E60/E10</f>
        <v>0.08902631957428449</v>
      </c>
      <c r="F63" s="18">
        <f>F60/F10</f>
        <v>0.09368836291913216</v>
      </c>
      <c r="G63" s="18">
        <f>G60/G10</f>
        <v>0.06894272399775259</v>
      </c>
      <c r="H63" s="21">
        <f>H60/H10</f>
        <v>0.09</v>
      </c>
      <c r="I63" s="1"/>
      <c r="J63" s="18">
        <f>J60/J10</f>
        <v>0.10158779096654848</v>
      </c>
      <c r="K63" s="18">
        <f>K60/K10</f>
        <v>0.05418903733300037</v>
      </c>
      <c r="L63" s="18">
        <f>L60/L10</f>
        <v>0.10202635680884228</v>
      </c>
      <c r="M63" s="18">
        <f>M60/M10</f>
        <v>-0.013207547169811321</v>
      </c>
      <c r="N63" s="18">
        <f>N60/N10</f>
        <v>0.08816129708575023</v>
      </c>
      <c r="O63" s="18">
        <f>O60/O10</f>
        <v>0.1013634819738949</v>
      </c>
      <c r="P63" s="18">
        <f>P60/P10</f>
        <v>0.06000092025951318</v>
      </c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20" t="s">
        <v>103</v>
      </c>
      <c r="C64" s="5">
        <f>IF(AND(ISNUMBER(C63),ISNUMBER(J63)),(C63-J63)*10000,"n/a")</f>
        <v>-75.96611253207791</v>
      </c>
      <c r="D64" s="5">
        <f>IF(AND(ISNUMBER(D63),ISNUMBER(K63)),(D63-K63)*10000,"n/a")</f>
        <v>375.519293493084</v>
      </c>
      <c r="E64" s="5">
        <f>IF(AND(ISNUMBER(E63),ISNUMBER(L63)),(E63-L63)*10000,"n/a")</f>
        <v>-130.00037234557797</v>
      </c>
      <c r="F64" s="5">
        <f>IF(AND(ISNUMBER(F63),ISNUMBER(M63)),(F63-M63)*10000,"n/a")</f>
        <v>1068.9591008894347</v>
      </c>
      <c r="G64" s="5">
        <f>IF(AND(ISNUMBER(G63),ISNUMBER(N63)),(G63-N63)*10000,"n/a")</f>
        <v>-192.1857308799764</v>
      </c>
      <c r="H64" s="30">
        <f>IF(AND(ISNUMBER(H63),ISNUMBER(C63)),(H63-C63)*10000,"n/a")</f>
        <v>-39.91179713340689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20" t="s">
        <v>104</v>
      </c>
      <c r="C65" s="5">
        <f>IF(AND(ISNUMBER(C63),ISNUMBER(M63)),(C63-M63)*10000,"n/a")</f>
        <v>1071.98726883152</v>
      </c>
      <c r="D65" s="5">
        <f>IF(AND(ISNUMBER(D63),ISNUMBER(C63)),(D63-C63)*10000,"n/a")</f>
        <v>-22.502130310319142</v>
      </c>
      <c r="E65" s="5">
        <f>IF(AND(ISNUMBER(E63),ISNUMBER(D63)),(E63-D63)*10000,"n/a")</f>
        <v>-27.146471080242847</v>
      </c>
      <c r="F65" s="5">
        <f>IF(AND(ISNUMBER(F63),ISNUMBER(E63)),(F63-E63)*10000,"n/a")</f>
        <v>46.62043344847669</v>
      </c>
      <c r="G65" s="5" t="s">
        <v>100</v>
      </c>
      <c r="H65" s="30">
        <f>IF(AND(ISNUMBER(H63),ISNUMBER(F63)),(H63-F63)*10000,"n/a")</f>
        <v>-36.883629191321596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9" t="s">
        <v>121</v>
      </c>
      <c r="C66" s="35">
        <f>'Segment - MFC'!C177</f>
        <v>510</v>
      </c>
      <c r="D66" s="35">
        <f>'Segment - MFC'!D177</f>
        <v>535</v>
      </c>
      <c r="E66" s="35">
        <f>'Segment - MFC'!E177</f>
        <v>500</v>
      </c>
      <c r="F66" s="35">
        <f>'Segment - MFC'!F177</f>
        <v>594</v>
      </c>
      <c r="G66" s="35">
        <f>'Segment - MFC'!G177</f>
        <v>1989</v>
      </c>
      <c r="H66" s="34">
        <f>'Segment - MFC'!H177</f>
        <v>580.1530230000001</v>
      </c>
      <c r="I66" s="1"/>
      <c r="J66" s="35">
        <f>'Segment - MFC'!J177</f>
        <v>456</v>
      </c>
      <c r="K66" s="35">
        <f>'Segment - MFC'!K177</f>
        <v>-804</v>
      </c>
      <c r="L66" s="35">
        <f>'Segment - MFC'!L177</f>
        <v>465</v>
      </c>
      <c r="M66" s="35">
        <f>'Segment - MFC'!M177</f>
        <v>479</v>
      </c>
      <c r="N66" s="35">
        <f>'Segment - MFC'!N177</f>
        <v>413</v>
      </c>
      <c r="O66" s="35">
        <f>'Segment - MFC'!O177</f>
        <v>1217</v>
      </c>
      <c r="P66" s="35">
        <f>'Segment - MFC'!P177</f>
        <v>1454</v>
      </c>
      <c r="Q66" s="1"/>
      <c r="R66" s="9" t="s">
        <v>110</v>
      </c>
      <c r="S66" s="1"/>
      <c r="T66" s="1"/>
      <c r="U66" s="1"/>
      <c r="V66" s="1"/>
      <c r="W66" s="1"/>
      <c r="X66" s="1"/>
      <c r="Y66" s="1"/>
      <c r="Z66" s="1"/>
    </row>
    <row r="67">
      <c r="A67" s="1"/>
      <c r="B67" s="25" t="s">
        <v>98</v>
      </c>
      <c r="C67" s="18">
        <f>IF(AND(ISNUMBER(C66),ISNUMBER(J66)),IF(OR(J66&gt;0,AND(J66&lt;0,C66&lt;0)),C66/J66-1,"n/m"),"n/a")</f>
        <v>0.11842105263157898</v>
      </c>
      <c r="D67" s="18" t="str">
        <f>IF(AND(ISNUMBER(D66),ISNUMBER(K66)),IF(OR(K66&gt;0,AND(K66&lt;0,D66&lt;0)),D66/K66-1,"n/m"),"n/a")</f>
        <v>n/m</v>
      </c>
      <c r="E67" s="18">
        <f>IF(AND(ISNUMBER(E66),ISNUMBER(L66)),IF(OR(L66&gt;0,AND(L66&lt;0,E66&lt;0)),E66/L66-1,"n/m"),"n/a")</f>
        <v>0.07526881720430101</v>
      </c>
      <c r="F67" s="18">
        <f>IF(AND(ISNUMBER(F66),ISNUMBER(M66)),IF(OR(M66&gt;0,AND(M66&lt;0,F66&lt;0)),F66/M66-1,"n/m"),"n/a")</f>
        <v>0.24008350730688943</v>
      </c>
      <c r="G67" s="18">
        <f>IF(AND(ISNUMBER(G66),ISNUMBER(N66)),IF(OR(N66&gt;0,AND(N66&lt;0,G66&lt;0)),G66/N66-1,"n/m"),"n/a")</f>
        <v>3.8159806295399514</v>
      </c>
      <c r="H67" s="21">
        <f>IF(AND(ISNUMBER(H66),ISNUMBER(C66)),IF(OR(C66&gt;0,AND(C66&lt;0,H66&lt;0)),H66/C66-1,"n/m"),"n/a")</f>
        <v>0.13755494705882376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4" t="s">
        <v>101</v>
      </c>
      <c r="C68" s="2">
        <f>IF(AND(ISNUMBER(C66),ISNUMBER(M66)),C66-M66,"n/a")</f>
        <v>31</v>
      </c>
      <c r="D68" s="2">
        <f>IF(AND(ISNUMBER(D66),ISNUMBER(C66)),D66-C66,"n/a")</f>
        <v>25</v>
      </c>
      <c r="E68" s="2">
        <f>IF(AND(ISNUMBER(E66),ISNUMBER(D66)),E66-D66,"n/a")</f>
        <v>-35</v>
      </c>
      <c r="F68" s="2">
        <f>IF(AND(ISNUMBER(F66),ISNUMBER(E66)),F66-E66,"n/a")</f>
        <v>94</v>
      </c>
      <c r="G68" s="2" t="s">
        <v>100</v>
      </c>
      <c r="H68" s="7">
        <f>IF(AND(ISNUMBER(H66),ISNUMBER(F66)),H66-F66,"n/a")</f>
        <v>-13.846976999999924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5" t="s">
        <v>120</v>
      </c>
      <c r="C69" s="18">
        <f>C66/C20</f>
        <v>0.14072847682119205</v>
      </c>
      <c r="D69" s="18">
        <f>D66/D20</f>
        <v>0.13308457711442787</v>
      </c>
      <c r="E69" s="18">
        <f>E66/E20</f>
        <v>0.13702384214853386</v>
      </c>
      <c r="F69" s="18">
        <f>F66/F20</f>
        <v>0.14484272128749084</v>
      </c>
      <c r="G69" s="18">
        <f>G66/G20</f>
        <v>0.1376470588235294</v>
      </c>
      <c r="H69" s="21">
        <f>H66/H20</f>
        <v>0.135</v>
      </c>
      <c r="I69" s="1"/>
      <c r="J69" s="18">
        <f>J66/J20</f>
        <v>0.1436220472440945</v>
      </c>
      <c r="K69" s="18">
        <f>K66/K20</f>
        <v>-0.23563892145369286</v>
      </c>
      <c r="L69" s="18">
        <f>L66/L20</f>
        <v>0.13785947227986955</v>
      </c>
      <c r="M69" s="18">
        <f>M66/M20</f>
        <v>0.13952810952519662</v>
      </c>
      <c r="N69" s="18">
        <f>N66/N20</f>
        <v>0.0325658413499448</v>
      </c>
      <c r="O69" s="18">
        <f>O66/O20</f>
        <v>0.1312837108953614</v>
      </c>
      <c r="P69" s="18">
        <f>P66/P20</f>
        <v>0.13940556088207096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20" t="s">
        <v>103</v>
      </c>
      <c r="C70" s="5">
        <f>IF(AND(ISNUMBER(C69),ISNUMBER(J69)),(C69-J69)*10000,"n/a")</f>
        <v>-28.935704229024473</v>
      </c>
      <c r="D70" s="5">
        <f>IF(AND(ISNUMBER(D69),ISNUMBER(K69)),(D69-K69)*10000,"n/a")</f>
        <v>3687.234985681207</v>
      </c>
      <c r="E70" s="5">
        <f>IF(AND(ISNUMBER(E69),ISNUMBER(L69)),(E69-L69)*10000,"n/a")</f>
        <v>-8.356301313356962</v>
      </c>
      <c r="F70" s="5">
        <f>IF(AND(ISNUMBER(F69),ISNUMBER(M69)),(F69-M69)*10000,"n/a")</f>
        <v>53.14611762294225</v>
      </c>
      <c r="G70" s="5">
        <f>IF(AND(ISNUMBER(G69),ISNUMBER(N69)),(G69-N69)*10000,"n/a")</f>
        <v>1050.812174735846</v>
      </c>
      <c r="H70" s="30">
        <f>IF(AND(ISNUMBER(H69),ISNUMBER(C69)),(H69-C69)*10000,"n/a")</f>
        <v>-57.28476821192041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20" t="s">
        <v>104</v>
      </c>
      <c r="C71" s="5">
        <f>IF(AND(ISNUMBER(C69),ISNUMBER(M69)),(C69-M69)*10000,"n/a")</f>
        <v>12.003672959954304</v>
      </c>
      <c r="D71" s="5">
        <f>IF(AND(ISNUMBER(D69),ISNUMBER(C69)),(D69-C69)*10000,"n/a")</f>
        <v>-76.43899706764185</v>
      </c>
      <c r="E71" s="5">
        <f>IF(AND(ISNUMBER(E69),ISNUMBER(D69)),(E69-D69)*10000,"n/a")</f>
        <v>39.392650341059934</v>
      </c>
      <c r="F71" s="5">
        <f>IF(AND(ISNUMBER(F69),ISNUMBER(E69)),(F69-E69)*10000,"n/a")</f>
        <v>78.18879138956986</v>
      </c>
      <c r="G71" s="5" t="s">
        <v>100</v>
      </c>
      <c r="H71" s="30">
        <f>IF(AND(ISNUMBER(H69),ISNUMBER(F69)),(H69-F69)*10000,"n/a")</f>
        <v>-98.42721287490835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9" t="s">
        <v>122</v>
      </c>
      <c r="C72" s="35">
        <f>'Segment - RMS'!C177</f>
        <v>506</v>
      </c>
      <c r="D72" s="35">
        <f>'Segment - RMS'!D177</f>
        <v>468</v>
      </c>
      <c r="E72" s="35">
        <f>'Segment - RMS'!E177</f>
        <v>423</v>
      </c>
      <c r="F72" s="35">
        <f>'Segment - RMS'!F177</f>
        <v>437</v>
      </c>
      <c r="G72" s="35">
        <f>'Segment - RMS'!G177</f>
        <v>1323</v>
      </c>
      <c r="H72" s="34">
        <f>'Segment - RMS'!H177</f>
        <v>463.6417897999999</v>
      </c>
      <c r="I72" s="1"/>
      <c r="J72" s="35">
        <f>'Segment - RMS'!J177</f>
        <v>483</v>
      </c>
      <c r="K72" s="35">
        <f>'Segment - RMS'!K177</f>
        <v>513</v>
      </c>
      <c r="L72" s="35">
        <f>'Segment - RMS'!L177</f>
        <v>521</v>
      </c>
      <c r="M72" s="35">
        <f>'Segment - RMS'!M177</f>
        <v>-172</v>
      </c>
      <c r="N72" s="35">
        <f>'Segment - RMS'!N177</f>
        <v>1921</v>
      </c>
      <c r="O72" s="35">
        <f>'Segment - RMS'!O177</f>
        <v>1408</v>
      </c>
      <c r="P72" s="35">
        <f>'Segment - RMS'!P177</f>
        <v>855</v>
      </c>
      <c r="Q72" s="1"/>
      <c r="R72" s="9" t="s">
        <v>112</v>
      </c>
      <c r="S72" s="1"/>
      <c r="T72" s="1"/>
      <c r="U72" s="1"/>
      <c r="V72" s="1"/>
      <c r="W72" s="1"/>
      <c r="X72" s="1"/>
      <c r="Y72" s="1"/>
      <c r="Z72" s="1"/>
    </row>
    <row r="73">
      <c r="A73" s="1"/>
      <c r="B73" s="25" t="s">
        <v>98</v>
      </c>
      <c r="C73" s="18">
        <f>IF(AND(ISNUMBER(C72),ISNUMBER(J72)),IF(OR(J72&gt;0,AND(J72&lt;0,C72&lt;0)),C72/J72-1,"n/m"),"n/a")</f>
        <v>0.04761904761904767</v>
      </c>
      <c r="D73" s="18">
        <f>IF(AND(ISNUMBER(D72),ISNUMBER(K72)),IF(OR(K72&gt;0,AND(K72&lt;0,D72&lt;0)),D72/K72-1,"n/m"),"n/a")</f>
        <v>-0.08771929824561409</v>
      </c>
      <c r="E73" s="18">
        <f>IF(AND(ISNUMBER(E72),ISNUMBER(L72)),IF(OR(L72&gt;0,AND(L72&lt;0,E72&lt;0)),E72/L72-1,"n/m"),"n/a")</f>
        <v>-0.18809980806142035</v>
      </c>
      <c r="F73" s="18" t="str">
        <f>IF(AND(ISNUMBER(F72),ISNUMBER(M72)),IF(OR(M72&gt;0,AND(M72&lt;0,F72&lt;0)),F72/M72-1,"n/m"),"n/a")</f>
        <v>n/m</v>
      </c>
      <c r="G73" s="18">
        <f>IF(AND(ISNUMBER(G72),ISNUMBER(N72)),IF(OR(N72&gt;0,AND(N72&lt;0,G72&lt;0)),G72/N72-1,"n/m"),"n/a")</f>
        <v>-0.3112961998958875</v>
      </c>
      <c r="H73" s="21">
        <f>IF(AND(ISNUMBER(H72),ISNUMBER(C72)),IF(OR(C72&gt;0,AND(C72&lt;0,H72&lt;0)),H72/C72-1,"n/m"),"n/a")</f>
        <v>-0.08371187786561285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4" t="s">
        <v>101</v>
      </c>
      <c r="C74" s="2">
        <f>IF(AND(ISNUMBER(C72),ISNUMBER(M72)),C72-M72,"n/a")</f>
        <v>678</v>
      </c>
      <c r="D74" s="2">
        <f>IF(AND(ISNUMBER(D72),ISNUMBER(C72)),D72-C72,"n/a")</f>
        <v>-38</v>
      </c>
      <c r="E74" s="2">
        <f>IF(AND(ISNUMBER(E72),ISNUMBER(D72)),E72-D72,"n/a")</f>
        <v>-45</v>
      </c>
      <c r="F74" s="2">
        <f>IF(AND(ISNUMBER(F72),ISNUMBER(E72)),F72-E72,"n/a")</f>
        <v>14</v>
      </c>
      <c r="G74" s="2" t="s">
        <v>100</v>
      </c>
      <c r="H74" s="7">
        <f>IF(AND(ISNUMBER(H72),ISNUMBER(F72)),H72-F72,"n/a")</f>
        <v>26.641789799999913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25" t="s">
        <v>120</v>
      </c>
      <c r="C75" s="18">
        <f>C72/C30</f>
        <v>0.11571003887491425</v>
      </c>
      <c r="D75" s="18">
        <f>D72/D30</f>
        <v>0.10138648180242635</v>
      </c>
      <c r="E75" s="18">
        <f>E72/E30</f>
        <v>0.10598847406664996</v>
      </c>
      <c r="F75" s="18">
        <f>F72/F30</f>
        <v>0.100367478180983</v>
      </c>
      <c r="G75" s="18">
        <f>G72/G30</f>
        <v>0.07642097966728281</v>
      </c>
      <c r="H75" s="21">
        <f>H72/H30</f>
        <v>0.103</v>
      </c>
      <c r="I75" s="1"/>
      <c r="J75" s="18">
        <f>J72/J30</f>
        <v>0.11060224410350356</v>
      </c>
      <c r="K75" s="18">
        <f>K72/K30</f>
        <v>0.12039427364468434</v>
      </c>
      <c r="L75" s="18">
        <f>L72/L30</f>
        <v>0.12037892791127541</v>
      </c>
      <c r="M75" s="18">
        <f>M72/M30</f>
        <v>-0.04305381727158949</v>
      </c>
      <c r="N75" s="18">
        <f>N72/N30</f>
        <v>0.1112720111214087</v>
      </c>
      <c r="O75" s="18">
        <f>O72/O30</f>
        <v>0.1082827039913866</v>
      </c>
      <c r="P75" s="18">
        <f>P72/P30</f>
        <v>0.06734404536862004</v>
      </c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20" t="s">
        <v>103</v>
      </c>
      <c r="C76" s="5">
        <f>IF(AND(ISNUMBER(C75),ISNUMBER(J75)),(C75-J75)*10000,"n/a")</f>
        <v>51.07794771410698</v>
      </c>
      <c r="D76" s="5">
        <f>IF(AND(ISNUMBER(D75),ISNUMBER(K75)),(D75-K75)*10000,"n/a")</f>
        <v>-190.07791842257996</v>
      </c>
      <c r="E76" s="5">
        <f>IF(AND(ISNUMBER(E75),ISNUMBER(L75)),(E75-L75)*10000,"n/a")</f>
        <v>-143.9045384462545</v>
      </c>
      <c r="F76" s="5">
        <f>IF(AND(ISNUMBER(F75),ISNUMBER(M75)),(F75-M75)*10000,"n/a")</f>
        <v>1434.2129545257249</v>
      </c>
      <c r="G76" s="5">
        <f>IF(AND(ISNUMBER(G75),ISNUMBER(N75)),(G75-N75)*10000,"n/a")</f>
        <v>-348.51031454125894</v>
      </c>
      <c r="H76" s="30">
        <f>IF(AND(ISNUMBER(H75),ISNUMBER(C75)),(H75-C75)*10000,"n/a")</f>
        <v>-127.1003887491426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20" t="s">
        <v>104</v>
      </c>
      <c r="C77" s="5">
        <f>IF(AND(ISNUMBER(C75),ISNUMBER(M75)),(C75-M75)*10000,"n/a")</f>
        <v>1587.6385614650374</v>
      </c>
      <c r="D77" s="5">
        <f>IF(AND(ISNUMBER(D75),ISNUMBER(C75)),(D75-C75)*10000,"n/a")</f>
        <v>-143.23557072487904</v>
      </c>
      <c r="E77" s="5">
        <f>IF(AND(ISNUMBER(E75),ISNUMBER(D75)),(E75-D75)*10000,"n/a")</f>
        <v>46.019922642236146</v>
      </c>
      <c r="F77" s="5">
        <f>IF(AND(ISNUMBER(F75),ISNUMBER(E75)),(F75-E75)*10000,"n/a")</f>
        <v>-56.2099588566696</v>
      </c>
      <c r="G77" s="5" t="s">
        <v>100</v>
      </c>
      <c r="H77" s="30">
        <f>IF(AND(ISNUMBER(H75),ISNUMBER(F75)),(H75-F75)*10000,"n/a")</f>
        <v>26.32521819016992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9" t="s">
        <v>123</v>
      </c>
      <c r="C78" s="35">
        <f>'Segment - Space'!C177</f>
        <v>331</v>
      </c>
      <c r="D78" s="35">
        <f>'Segment - Space'!D177</f>
        <v>273</v>
      </c>
      <c r="E78" s="35">
        <f>'Segment - Space'!E177</f>
        <v>281</v>
      </c>
      <c r="F78" s="35">
        <f>'Segment - Space'!F177</f>
        <v>371</v>
      </c>
      <c r="G78" s="35">
        <f>'Segment - Space'!G177</f>
        <v>1345</v>
      </c>
      <c r="H78" s="34">
        <f>'Segment - Space'!H177</f>
        <v>344.4785832</v>
      </c>
      <c r="I78" s="1"/>
      <c r="J78" s="35">
        <f>'Segment - Space'!J177</f>
        <v>272</v>
      </c>
      <c r="K78" s="35">
        <f>'Segment - Space'!K177</f>
        <v>283</v>
      </c>
      <c r="L78" s="35">
        <f>'Segment - Space'!L177</f>
        <v>379</v>
      </c>
      <c r="M78" s="35">
        <f>'Segment - Space'!M177</f>
        <v>362</v>
      </c>
      <c r="N78" s="35">
        <f>'Segment - Space'!N177</f>
        <v>1226</v>
      </c>
      <c r="O78" s="35">
        <f>'Segment - Space'!O177</f>
        <v>943</v>
      </c>
      <c r="P78" s="35">
        <f>'Segment - Space'!P177</f>
        <v>1072</v>
      </c>
      <c r="Q78" s="1"/>
      <c r="R78" s="9" t="s">
        <v>114</v>
      </c>
      <c r="S78" s="1"/>
      <c r="T78" s="1"/>
      <c r="U78" s="1"/>
      <c r="V78" s="1"/>
      <c r="W78" s="1"/>
      <c r="X78" s="1"/>
      <c r="Y78" s="1"/>
      <c r="Z78" s="1"/>
    </row>
    <row r="79">
      <c r="A79" s="1"/>
      <c r="B79" s="25" t="s">
        <v>98</v>
      </c>
      <c r="C79" s="18">
        <f>IF(AND(ISNUMBER(C78),ISNUMBER(J78)),IF(OR(J78&gt;0,AND(J78&lt;0,C78&lt;0)),C78/J78-1,"n/m"),"n/a")</f>
        <v>0.21691176470588225</v>
      </c>
      <c r="D79" s="18">
        <f>IF(AND(ISNUMBER(D78),ISNUMBER(K78)),IF(OR(K78&gt;0,AND(K78&lt;0,D78&lt;0)),D78/K78-1,"n/m"),"n/a")</f>
        <v>-0.035335689045936425</v>
      </c>
      <c r="E79" s="18">
        <f>IF(AND(ISNUMBER(E78),ISNUMBER(L78)),IF(OR(L78&gt;0,AND(L78&lt;0,E78&lt;0)),E78/L78-1,"n/m"),"n/a")</f>
        <v>-0.25857519788918204</v>
      </c>
      <c r="F79" s="18">
        <f>IF(AND(ISNUMBER(F78),ISNUMBER(M78)),IF(OR(M78&gt;0,AND(M78&lt;0,F78&lt;0)),F78/M78-1,"n/m"),"n/a")</f>
        <v>0.024861878453038777</v>
      </c>
      <c r="G79" s="18">
        <f>IF(AND(ISNUMBER(G78),ISNUMBER(N78)),IF(OR(N78&gt;0,AND(N78&lt;0,G78&lt;0)),G78/N78-1,"n/m"),"n/a")</f>
        <v>0.09706362153344217</v>
      </c>
      <c r="H79" s="21">
        <f>IF(AND(ISNUMBER(H78),ISNUMBER(C78)),IF(OR(C78&gt;0,AND(C78&lt;0,H78&lt;0)),H78/C78-1,"n/m"),"n/a")</f>
        <v>0.040720795166163226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4" t="s">
        <v>101</v>
      </c>
      <c r="C80" s="2">
        <f>IF(AND(ISNUMBER(C78),ISNUMBER(M78)),C78-M78,"n/a")</f>
        <v>-31</v>
      </c>
      <c r="D80" s="2">
        <f>IF(AND(ISNUMBER(D78),ISNUMBER(C78)),D78-C78,"n/a")</f>
        <v>-58</v>
      </c>
      <c r="E80" s="2">
        <f>IF(AND(ISNUMBER(E78),ISNUMBER(D78)),E78-D78,"n/a")</f>
        <v>8</v>
      </c>
      <c r="F80" s="2">
        <f>IF(AND(ISNUMBER(F78),ISNUMBER(E78)),F78-E78,"n/a")</f>
        <v>90</v>
      </c>
      <c r="G80" s="2" t="s">
        <v>100</v>
      </c>
      <c r="H80" s="7">
        <f>IF(AND(ISNUMBER(H78),ISNUMBER(F78)),H78-F78,"n/a")</f>
        <v>-26.521416799999997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25" t="s">
        <v>120</v>
      </c>
      <c r="C81" s="18">
        <f>C78/C40</f>
        <v>0.09862932061978547</v>
      </c>
      <c r="D81" s="18">
        <f>D78/D40</f>
        <v>0.08636507434356216</v>
      </c>
      <c r="E81" s="18">
        <f>E78/E40</f>
        <v>0.08197199533255542</v>
      </c>
      <c r="F81" s="18">
        <f>F78/F40</f>
        <v>0.1061212814645309</v>
      </c>
      <c r="G81" s="18">
        <f>G78/G40</f>
        <v>0.10323125335789393</v>
      </c>
      <c r="H81" s="21">
        <f>H78/H40</f>
        <v>0.09700000000000002</v>
      </c>
      <c r="I81" s="1"/>
      <c r="J81" s="18">
        <f>J78/J40</f>
        <v>0.08845528455284553</v>
      </c>
      <c r="K81" s="18">
        <f>K78/K40</f>
        <v>0.09625850340136054</v>
      </c>
      <c r="L81" s="18">
        <f>L78/L40</f>
        <v>0.11825273010920437</v>
      </c>
      <c r="M81" s="18">
        <f>M78/M40</f>
        <v>0.10946477169640158</v>
      </c>
      <c r="N81" s="18">
        <f>N78/N40</f>
        <v>0.09824505168683388</v>
      </c>
      <c r="O81" s="18">
        <f>O78/O40</f>
        <v>0.09885732257050005</v>
      </c>
      <c r="P81" s="18">
        <f>P78/P40</f>
        <v>0.10863396838265099</v>
      </c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0" t="s">
        <v>103</v>
      </c>
      <c r="C82" s="5">
        <f>IF(AND(ISNUMBER(C81),ISNUMBER(J81)),(C81-J81)*10000,"n/a")</f>
        <v>101.74036066939937</v>
      </c>
      <c r="D82" s="5">
        <f>IF(AND(ISNUMBER(D81),ISNUMBER(K81)),(D81-K81)*10000,"n/a")</f>
        <v>-98.93429057798373</v>
      </c>
      <c r="E82" s="5">
        <f>IF(AND(ISNUMBER(E81),ISNUMBER(L81)),(E81-L81)*10000,"n/a")</f>
        <v>-362.8073477664895</v>
      </c>
      <c r="F82" s="5">
        <f>IF(AND(ISNUMBER(F81),ISNUMBER(M81)),(F81-M81)*10000,"n/a")</f>
        <v>-33.4349023187068</v>
      </c>
      <c r="G82" s="5">
        <f>IF(AND(ISNUMBER(G81),ISNUMBER(N81)),(G81-N81)*10000,"n/a")</f>
        <v>49.86201671060051</v>
      </c>
      <c r="H82" s="30">
        <f>IF(AND(ISNUMBER(H81),ISNUMBER(C81)),(H81-C81)*10000,"n/a")</f>
        <v>-16.293206197854488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0" t="s">
        <v>104</v>
      </c>
      <c r="C83" s="5">
        <f>IF(AND(ISNUMBER(C81),ISNUMBER(M81)),(C81-M81)*10000,"n/a")</f>
        <v>-108.35451076616113</v>
      </c>
      <c r="D83" s="5">
        <f>IF(AND(ISNUMBER(D81),ISNUMBER(C81)),(D81-C81)*10000,"n/a")</f>
        <v>-122.64246276223301</v>
      </c>
      <c r="E83" s="5">
        <f>IF(AND(ISNUMBER(E81),ISNUMBER(D81)),(E81-D81)*10000,"n/a")</f>
        <v>-43.930790110067456</v>
      </c>
      <c r="F83" s="5">
        <f>IF(AND(ISNUMBER(F81),ISNUMBER(E81)),(F81-E81)*10000,"n/a")</f>
        <v>241.49286131975478</v>
      </c>
      <c r="G83" s="5" t="s">
        <v>100</v>
      </c>
      <c r="H83" s="30">
        <f>IF(AND(ISNUMBER(H81),ISNUMBER(F81)),(H81-F81)*10000,"n/a")</f>
        <v>-91.21281464530881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46" t="s">
        <v>124</v>
      </c>
      <c r="C84" s="14">
        <f>C60+C66+C72+C78</f>
        <v>2029</v>
      </c>
      <c r="D84" s="14">
        <f>D60+D66+D72+D78</f>
        <v>2058</v>
      </c>
      <c r="E84" s="14">
        <f>E60+E66+E72+E78</f>
        <v>1823</v>
      </c>
      <c r="F84" s="14">
        <f>F60+F66+F72+F78</f>
        <v>2162</v>
      </c>
      <c r="G84" s="14">
        <f>G60+G66+G72+G78</f>
        <v>6743</v>
      </c>
      <c r="H84" s="48">
        <f>H60+H66+H72+H78</f>
        <v>2090.2811359999996</v>
      </c>
      <c r="I84" s="1"/>
      <c r="J84" s="14">
        <f>J60+J66+J72+J78</f>
        <v>1870</v>
      </c>
      <c r="K84" s="14">
        <f>K60+K66+K72+K78</f>
        <v>426</v>
      </c>
      <c r="L84" s="14">
        <f>L60+L66+L72+L78</f>
        <v>2085</v>
      </c>
      <c r="M84" s="14">
        <f>M60+M66+M72+M78</f>
        <v>571</v>
      </c>
      <c r="N84" s="14">
        <f>N60+N66+N72+N78</f>
        <v>6083</v>
      </c>
      <c r="O84" s="14">
        <f>O60+O66+O72+O78</f>
        <v>5657</v>
      </c>
      <c r="P84" s="14">
        <f>P60+P66+P72+P78</f>
        <v>4685</v>
      </c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25" t="s">
        <v>98</v>
      </c>
      <c r="C85" s="18">
        <f>IF(AND(ISNUMBER(C84),ISNUMBER(J84)),IF(OR(J84&gt;0,AND(J84&lt;0,C84&lt;0)),C84/J84-1,"n/m"),"n/a")</f>
        <v>0.08502673796791438</v>
      </c>
      <c r="D85" s="18">
        <f>IF(AND(ISNUMBER(D84),ISNUMBER(K84)),IF(OR(K84&gt;0,AND(K84&lt;0,D84&lt;0)),D84/K84-1,"n/m"),"n/a")</f>
        <v>3.830985915492958</v>
      </c>
      <c r="E85" s="18">
        <f>IF(AND(ISNUMBER(E84),ISNUMBER(L84)),IF(OR(L84&gt;0,AND(L84&lt;0,E84&lt;0)),E84/L84-1,"n/m"),"n/a")</f>
        <v>-0.12565947242206232</v>
      </c>
      <c r="F85" s="18">
        <f>IF(AND(ISNUMBER(F84),ISNUMBER(M84)),IF(OR(M84&gt;0,AND(M84&lt;0,F84&lt;0)),F84/M84-1,"n/m"),"n/a")</f>
        <v>2.786339754816112</v>
      </c>
      <c r="G85" s="18">
        <f>IF(AND(ISNUMBER(G84),ISNUMBER(N84)),IF(OR(N84&gt;0,AND(N84&lt;0,G84&lt;0)),G84/N84-1,"n/m"),"n/a")</f>
        <v>0.10849909584086803</v>
      </c>
      <c r="H85" s="21">
        <f>IF(AND(ISNUMBER(H84),ISNUMBER(C84)),IF(OR(C84&gt;0,AND(C84&lt;0,H84&lt;0)),H84/C84-1,"n/m"),"n/a")</f>
        <v>0.030202629866929342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4" t="s">
        <v>101</v>
      </c>
      <c r="C86" s="2">
        <f>IF(AND(ISNUMBER(C84),ISNUMBER(M84)),C84-M84,"n/a")</f>
        <v>1458</v>
      </c>
      <c r="D86" s="2">
        <f>IF(AND(ISNUMBER(D84),ISNUMBER(C84)),D84-C84,"n/a")</f>
        <v>29</v>
      </c>
      <c r="E86" s="2">
        <f>IF(AND(ISNUMBER(E84),ISNUMBER(D84)),E84-D84,"n/a")</f>
        <v>-235</v>
      </c>
      <c r="F86" s="2">
        <f>IF(AND(ISNUMBER(F84),ISNUMBER(E84)),F84-E84,"n/a")</f>
        <v>339</v>
      </c>
      <c r="G86" s="2" t="s">
        <v>100</v>
      </c>
      <c r="H86" s="7">
        <f>IF(AND(ISNUMBER(H84),ISNUMBER(F84)),H84-F84,"n/a")</f>
        <v>-71.7188640000004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25" t="s">
        <v>125</v>
      </c>
      <c r="C87" s="18">
        <f>C84/C50</f>
        <v>0.1090332634746628</v>
      </c>
      <c r="D87" s="18">
        <f>D84/D50</f>
        <v>0.10127454357561144</v>
      </c>
      <c r="E87" s="18">
        <f>E84/E50</f>
        <v>0.10115975806004106</v>
      </c>
      <c r="F87" s="18">
        <f>F84/F50</f>
        <v>0.10776055425409958</v>
      </c>
      <c r="G87" s="18">
        <f>G84/G50</f>
        <v>0.08984916320221725</v>
      </c>
      <c r="H87" s="21">
        <f>H84/H50</f>
        <v>0.10373491423268968</v>
      </c>
      <c r="I87" s="1"/>
      <c r="J87" s="18">
        <f>J84/J50</f>
        <v>0.10933115060804491</v>
      </c>
      <c r="K87" s="18">
        <f>K84/K50</f>
        <v>0.022876167973364836</v>
      </c>
      <c r="L87" s="18">
        <f>L84/L50</f>
        <v>0.11607192562489561</v>
      </c>
      <c r="M87" s="18">
        <f>M84/M50</f>
        <v>0.03145139080143211</v>
      </c>
      <c r="N87" s="18">
        <f>N84/N50</f>
        <v>0.08562419942851512</v>
      </c>
      <c r="O87" s="18">
        <f>O84/O50</f>
        <v>0.10791476698269778</v>
      </c>
      <c r="P87" s="18">
        <f>P84/P50</f>
        <v>0.08560673890401448</v>
      </c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20" t="s">
        <v>103</v>
      </c>
      <c r="C88" s="5">
        <f>IF(AND(ISNUMBER(C87),ISNUMBER(J87)),(C87-J87)*10000,"n/a")</f>
        <v>-2.978871333821076</v>
      </c>
      <c r="D88" s="5">
        <f>IF(AND(ISNUMBER(D87),ISNUMBER(K87)),(D87-K87)*10000,"n/a")</f>
        <v>783.9837560224661</v>
      </c>
      <c r="E88" s="5">
        <f>IF(AND(ISNUMBER(E87),ISNUMBER(L87)),(E87-L87)*10000,"n/a")</f>
        <v>-149.12167564854556</v>
      </c>
      <c r="F88" s="5">
        <f>IF(AND(ISNUMBER(F87),ISNUMBER(M87)),(F87-M87)*10000,"n/a")</f>
        <v>763.0916345266747</v>
      </c>
      <c r="G88" s="5">
        <f>IF(AND(ISNUMBER(G87),ISNUMBER(N87)),(G87-N87)*10000,"n/a")</f>
        <v>42.24963773702128</v>
      </c>
      <c r="H88" s="30">
        <f>IF(AND(ISNUMBER(H87),ISNUMBER(C87)),(H87-C87)*10000,"n/a")</f>
        <v>-52.98349241973116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20" t="s">
        <v>104</v>
      </c>
      <c r="C89" s="5">
        <f>IF(AND(ISNUMBER(C87),ISNUMBER(M87)),(C87-M87)*10000,"n/a")</f>
        <v>775.8187267323069</v>
      </c>
      <c r="D89" s="5">
        <f>IF(AND(ISNUMBER(D87),ISNUMBER(C87)),(D87-C87)*10000,"n/a")</f>
        <v>-77.58719899051358</v>
      </c>
      <c r="E89" s="5">
        <f>IF(AND(ISNUMBER(E87),ISNUMBER(D87)),(E87-D87)*10000,"n/a")</f>
        <v>-1.147855155703842</v>
      </c>
      <c r="F89" s="5">
        <f>IF(AND(ISNUMBER(F87),ISNUMBER(E87)),(F87-E87)*10000,"n/a")</f>
        <v>66.00796194058525</v>
      </c>
      <c r="G89" s="5" t="s">
        <v>100</v>
      </c>
      <c r="H89" s="30">
        <f>IF(AND(ISNUMBER(H87),ISNUMBER(F87)),(H87-F87)*10000,"n/a")</f>
        <v>-40.25640021409899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3" t="s">
        <v>126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1"/>
      <c r="T91" s="1"/>
      <c r="U91" s="1"/>
      <c r="V91" s="1"/>
      <c r="W91" s="1"/>
      <c r="X91" s="1"/>
      <c r="Y91" s="1"/>
      <c r="Z91" s="1"/>
    </row>
    <row r="92">
      <c r="A92" s="1"/>
      <c r="B92" s="4" t="s">
        <v>127</v>
      </c>
      <c r="C92" s="3">
        <v>365</v>
      </c>
      <c r="D92" s="3">
        <v>275</v>
      </c>
      <c r="E92" s="3">
        <v>215</v>
      </c>
      <c r="F92" s="3">
        <v>375</v>
      </c>
      <c r="G92" s="3">
        <v>75</v>
      </c>
      <c r="H92" s="33">
        <v>290</v>
      </c>
      <c r="I92" s="1"/>
      <c r="J92" s="1"/>
      <c r="K92" s="1"/>
      <c r="L92" s="1"/>
      <c r="M92" s="1"/>
      <c r="N92" s="1"/>
      <c r="O92" s="1"/>
      <c r="P92" s="1"/>
      <c r="Q92" s="1"/>
      <c r="R92" s="9" t="s">
        <v>128</v>
      </c>
      <c r="S92" s="1"/>
      <c r="T92" s="1"/>
      <c r="U92" s="1"/>
      <c r="V92" s="1"/>
      <c r="W92" s="1"/>
      <c r="X92" s="1"/>
      <c r="Y92" s="1"/>
      <c r="Z92" s="1"/>
    </row>
    <row r="93">
      <c r="A93" s="1"/>
      <c r="B93" s="8" t="s">
        <v>101</v>
      </c>
      <c r="C93" s="2" t="str">
        <f>IF(AND(ISNUMBER(C92),ISNUMBER(M92)),C92-M92,"n/a")</f>
        <v>n/a</v>
      </c>
      <c r="D93" s="2">
        <f>IF(AND(ISNUMBER(D92),ISNUMBER(C92)),D92-C92,"n/a")</f>
        <v>-90</v>
      </c>
      <c r="E93" s="2">
        <f>IF(AND(ISNUMBER(E92),ISNUMBER(D92)),E92-D92,"n/a")</f>
        <v>-60</v>
      </c>
      <c r="F93" s="2">
        <f>IF(AND(ISNUMBER(F92),ISNUMBER(E92)),F92-E92,"n/a")</f>
        <v>160</v>
      </c>
      <c r="G93" s="2" t="s">
        <v>100</v>
      </c>
      <c r="H93" s="7">
        <f>IF(AND(ISNUMBER(H92),ISNUMBER(F92)),H92-F92,"n/a")</f>
        <v>-85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8" t="s">
        <v>129</v>
      </c>
      <c r="C94" s="2" t="str">
        <f>IF(AND(ISNUMBER(C92),ISNUMBER(J92)),C92-J92,"n/a")</f>
        <v>n/a</v>
      </c>
      <c r="D94" s="2" t="str">
        <f>IF(AND(ISNUMBER(D92),ISNUMBER(K92)),D92-K92,"n/a")</f>
        <v>n/a</v>
      </c>
      <c r="E94" s="2" t="str">
        <f>IF(AND(ISNUMBER(E92),ISNUMBER(L92)),E92-L92,"n/a")</f>
        <v>n/a</v>
      </c>
      <c r="F94" s="2" t="str">
        <f>IF(AND(ISNUMBER(F92),ISNUMBER(M92)),F92-M92,"n/a")</f>
        <v>n/a</v>
      </c>
      <c r="G94" s="2" t="str">
        <f>IF(AND(ISNUMBER(G92),ISNUMBER(N92)),G92-N92,"n/a")</f>
        <v>n/a</v>
      </c>
      <c r="H94" s="7">
        <f>IF(AND(ISNUMBER(H92),ISNUMBER(C92)),H92-C92,"n/a")</f>
        <v>-75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20" t="s">
        <v>130</v>
      </c>
      <c r="C95" s="18">
        <f>C92/C84</f>
        <v>0.17989157220305568</v>
      </c>
      <c r="D95" s="18">
        <f>D92/D84</f>
        <v>0.13362487852283772</v>
      </c>
      <c r="E95" s="18">
        <f>E92/E84</f>
        <v>0.117937465715853</v>
      </c>
      <c r="F95" s="18">
        <f>F92/F84</f>
        <v>0.17345050878815912</v>
      </c>
      <c r="G95" s="18">
        <f>G92/G84</f>
        <v>0.011122645706658758</v>
      </c>
      <c r="H95" s="21">
        <f>H92/H84</f>
        <v>0.1387373186340615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37" t="s">
        <v>104</v>
      </c>
      <c r="C96" s="5" t="s">
        <v>100</v>
      </c>
      <c r="D96" s="5">
        <f>IF(AND(ISNUMBER(D95),ISNUMBER(C95)),(D95-C95)*10000,"n/a")</f>
        <v>-462.66693680217963</v>
      </c>
      <c r="E96" s="5">
        <f>IF(AND(ISNUMBER(E95),ISNUMBER(D95)),(E95-D95)*10000,"n/a")</f>
        <v>-156.87412806984727</v>
      </c>
      <c r="F96" s="5">
        <f>IF(AND(ISNUMBER(F95),ISNUMBER(E95)),(F95-E95)*10000,"n/a")</f>
        <v>555.1304307230613</v>
      </c>
      <c r="G96" s="5" t="s">
        <v>100</v>
      </c>
      <c r="H96" s="30">
        <f>IF(AND(ISNUMBER(H95),ISNUMBER(F95)),(H95-F95)*10000,"n/a")</f>
        <v>-347.1319015409763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37" t="s">
        <v>103</v>
      </c>
      <c r="C97" s="5" t="str">
        <f>IF(AND(ISNUMBER(C95),ISNUMBER(J95)),(C95-J95)*10000,"n/a")</f>
        <v>n/a</v>
      </c>
      <c r="D97" s="5" t="str">
        <f>IF(AND(ISNUMBER(D95),ISNUMBER(K95)),(D95-K95)*10000,"n/a")</f>
        <v>n/a</v>
      </c>
      <c r="E97" s="5" t="str">
        <f>IF(AND(ISNUMBER(E95),ISNUMBER(L95)),(E95-L95)*10000,"n/a")</f>
        <v>n/a</v>
      </c>
      <c r="F97" s="5" t="str">
        <f>IF(AND(ISNUMBER(F95),ISNUMBER(M95)),(F95-M95)*10000,"n/a")</f>
        <v>n/a</v>
      </c>
      <c r="G97" s="5" t="str">
        <f>IF(AND(ISNUMBER(G95),ISNUMBER(N95)),(G95-N95)*10000,"n/a")</f>
        <v>n/a</v>
      </c>
      <c r="H97" s="30">
        <f>IF(AND(ISNUMBER(H95),ISNUMBER(C95)),(H95-C95)*10000,"n/a")</f>
        <v>-411.5425356899419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5" t="s">
        <v>131</v>
      </c>
      <c r="C98" s="18">
        <f>(C84-C92)/C50</f>
        <v>0.0894190982857757</v>
      </c>
      <c r="D98" s="18">
        <f>(D84-D92)/D50</f>
        <v>0.08774174499286452</v>
      </c>
      <c r="E98" s="18">
        <f>(E84-E92)/E50</f>
        <v>0.08922923256201098</v>
      </c>
      <c r="F98" s="18">
        <f>(F84-F92)/F50</f>
        <v>0.089069431291432</v>
      </c>
      <c r="G98" s="18">
        <f>(G84-G92)/G50</f>
        <v>0.08884980279287923</v>
      </c>
      <c r="H98" s="21">
        <f>(H84-H92)/H50</f>
        <v>0.08934301038331198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20" t="s">
        <v>103</v>
      </c>
      <c r="C99" s="5" t="str">
        <f>IF(AND(ISNUMBER(C98),ISNUMBER(J98)),(C98-J98)*10000,"n/a")</f>
        <v>n/a</v>
      </c>
      <c r="D99" s="5" t="str">
        <f>IF(AND(ISNUMBER(D98),ISNUMBER(K98)),(D98-K98)*10000,"n/a")</f>
        <v>n/a</v>
      </c>
      <c r="E99" s="5" t="str">
        <f>IF(AND(ISNUMBER(E98),ISNUMBER(L98)),(E98-L98)*10000,"n/a")</f>
        <v>n/a</v>
      </c>
      <c r="F99" s="5" t="str">
        <f>IF(AND(ISNUMBER(F98),ISNUMBER(M98)),(F98-M98)*10000,"n/a")</f>
        <v>n/a</v>
      </c>
      <c r="G99" s="5" t="str">
        <f>IF(AND(ISNUMBER(G98),ISNUMBER(N98)),(G98-N98)*10000,"n/a")</f>
        <v>n/a</v>
      </c>
      <c r="H99" s="30">
        <f>IF(AND(ISNUMBER(H98),ISNUMBER(C98)),(H98-C98)*10000,"n/a")</f>
        <v>-0.7608790246371733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20" t="s">
        <v>104</v>
      </c>
      <c r="C100" s="5" t="s">
        <v>100</v>
      </c>
      <c r="D100" s="5">
        <f>IF(AND(ISNUMBER(D98),ISNUMBER(C98)),(D98-C98)*10000,"n/a")</f>
        <v>-16.773532929111738</v>
      </c>
      <c r="E100" s="5">
        <f>IF(AND(ISNUMBER(E98),ISNUMBER(D98)),(E98-D98)*10000,"n/a")</f>
        <v>14.874875691464617</v>
      </c>
      <c r="F100" s="5">
        <f>IF(AND(ISNUMBER(F98),ISNUMBER(E98)),(F98-E98)*10000,"n/a")</f>
        <v>-1.5980127057899085</v>
      </c>
      <c r="G100" s="5" t="s">
        <v>100</v>
      </c>
      <c r="H100" s="30">
        <f>IF(AND(ISNUMBER(H98),ISNUMBER(F98)),(H98-F98)*10000,"n/a")</f>
        <v>2.7357909187998573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43" t="s">
        <v>132</v>
      </c>
      <c r="C101" s="56">
        <f>'Segment - Aeronautics'!C19+'Segment - MFC'!C19+'Segment - RMS'!C19+'Segment - Space'!C19</f>
        <v>179071</v>
      </c>
      <c r="D101" s="56">
        <f>'Segment - Aeronautics'!D19+'Segment - MFC'!D19+'Segment - RMS'!D19+'Segment - Space'!D19</f>
        <v>193622</v>
      </c>
      <c r="E101" s="56">
        <f>'Segment - Aeronautics'!E19+'Segment - MFC'!E19+'Segment - RMS'!E19+'Segment - Space'!E19</f>
        <v>186427</v>
      </c>
      <c r="F101" s="56">
        <f>'Segment - Aeronautics'!F19+'Segment - MFC'!F19+'Segment - RMS'!F19+'Segment - Space'!F19</f>
        <v>230416</v>
      </c>
      <c r="G101" s="56">
        <f>'Segment - Aeronautics'!G19+'Segment - MFC'!G19+'Segment - RMS'!G19+'Segment - Space'!G19</f>
        <v>193622</v>
      </c>
      <c r="H101" s="86">
        <f>'Segment - Aeronautics'!H19+'Segment - MFC'!H19+'Segment - RMS'!H19+'Segment - Space'!H19</f>
        <v>230416</v>
      </c>
      <c r="I101" s="1"/>
      <c r="J101" s="56">
        <f>'Segment - Aeronautics'!J19+'Segment - MFC'!J19+'Segment - RMS'!J19+'Segment - Space'!J19</f>
        <v>165693</v>
      </c>
      <c r="K101" s="56">
        <f>'Segment - Aeronautics'!K19+'Segment - MFC'!K19+'Segment - RMS'!K19+'Segment - Space'!K19</f>
        <v>176040</v>
      </c>
      <c r="L101" s="56">
        <f>'Segment - Aeronautics'!L19+'Segment - MFC'!L19+'Segment - RMS'!L19+'Segment - Space'!L19</f>
        <v>172974</v>
      </c>
      <c r="M101" s="56">
        <f>'Segment - Aeronautics'!M19+'Segment - MFC'!M19+'Segment - RMS'!M19+'Segment - Space'!M19</f>
        <v>166530</v>
      </c>
      <c r="N101" s="56">
        <f>'Segment - Aeronautics'!N19+'Segment - MFC'!N19+'Segment - RMS'!N19+'Segment - Space'!N19</f>
        <v>176040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20" t="s">
        <v>98</v>
      </c>
      <c r="C102" s="18">
        <f>IF(AND(ISNUMBER(C101),ISNUMBER(J101)),IF(OR(J101&gt;0,AND(J101&lt;0,C101&lt;0)),C101/J101-1,"n/m"),"n/a")</f>
        <v>0.08073968121767372</v>
      </c>
      <c r="D102" s="18">
        <f>IF(AND(ISNUMBER(D101),ISNUMBER(K101)),IF(OR(K101&gt;0,AND(K101&lt;0,D101&lt;0)),D101/K101-1,"n/m"),"n/a")</f>
        <v>0.09987502840263573</v>
      </c>
      <c r="E102" s="18">
        <f>IF(AND(ISNUMBER(E101),ISNUMBER(L101)),IF(OR(L101&gt;0,AND(L101&lt;0,E101&lt;0)),E101/L101-1,"n/m"),"n/a")</f>
        <v>0.07777469446275154</v>
      </c>
      <c r="F102" s="18">
        <f>IF(AND(ISNUMBER(F101),ISNUMBER(M101)),IF(OR(M101&gt;0,AND(M101&lt;0,F101&lt;0)),F101/M101-1,"n/m"),"n/a")</f>
        <v>0.38363057707320003</v>
      </c>
      <c r="G102" s="18">
        <f>IF(AND(ISNUMBER(G101),ISNUMBER(N101)),IF(OR(N101&gt;0,AND(N101&lt;0,G101&lt;0)),G101/N101-1,"n/m"),"n/a")</f>
        <v>0.09987502840263573</v>
      </c>
      <c r="H102" s="21">
        <f>IF(AND(ISNUMBER(H101),ISNUMBER(C101)),IF(OR(C101&gt;0,AND(C101&lt;0,H101&lt;0)),H101/C101-1,"n/m"),"n/a")</f>
        <v>0.2867298445867841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8" t="s">
        <v>101</v>
      </c>
      <c r="C103" s="2">
        <f>IF(AND(ISNUMBER(C101),ISNUMBER(M101)),C101-M101,"n/a")</f>
        <v>12541</v>
      </c>
      <c r="D103" s="2">
        <f>IF(AND(ISNUMBER(D101),ISNUMBER(C101)),D101-C101,"n/a")</f>
        <v>14551</v>
      </c>
      <c r="E103" s="2">
        <f>IF(AND(ISNUMBER(E101),ISNUMBER(D101)),E101-D101,"n/a")</f>
        <v>-7195</v>
      </c>
      <c r="F103" s="2">
        <f>IF(AND(ISNUMBER(F101),ISNUMBER(E101)),F101-E101,"n/a")</f>
        <v>43989</v>
      </c>
      <c r="G103" s="2" t="s">
        <v>100</v>
      </c>
      <c r="H103" s="7">
        <f>IF(AND(ISNUMBER(H101),ISNUMBER(F101)),H101-F101,"n/a")</f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43" t="s">
        <v>133</v>
      </c>
      <c r="C104" s="56">
        <f>'Segment - Aeronautics'!C16+'Segment - MFC'!C16+'Segment - RMS'!C16+'Segment - Space'!C16</f>
        <v>31150</v>
      </c>
      <c r="D104" s="56">
        <f>'Segment - Aeronautics'!D16+'Segment - MFC'!D16+'Segment - RMS'!D16+'Segment - Space'!D16</f>
        <v>34872</v>
      </c>
      <c r="E104" s="56">
        <f>'Segment - Aeronautics'!E16+'Segment - MFC'!E16+'Segment - RMS'!E16+'Segment - Space'!E16</f>
        <v>10826</v>
      </c>
      <c r="F104" s="56">
        <f>'Segment - Aeronautics'!F16+'Segment - MFC'!F16+'Segment - RMS'!F16+'Segment - Space'!F16</f>
        <v>64052</v>
      </c>
      <c r="G104" s="56">
        <f>'Segment - Aeronautics'!G16+'Segment - MFC'!G16+'Segment - RMS'!G16+'Segment - Space'!G16</f>
        <v>92630</v>
      </c>
      <c r="H104" s="86">
        <f>'Segment - Aeronautics'!H16+'Segment - MFC'!H16+'Segment - RMS'!H16+'Segment - Space'!H16</f>
        <v>20150.217999999997</v>
      </c>
      <c r="I104" s="1"/>
      <c r="J104" s="1"/>
      <c r="K104" s="56">
        <f>'Segment - Aeronautics'!K16+'Segment - MFC'!K16+'Segment - RMS'!K16+'Segment - Space'!K16</f>
        <v>28969</v>
      </c>
      <c r="L104" s="56">
        <f>'Segment - Aeronautics'!L16+'Segment - MFC'!L16+'Segment - RMS'!L16+'Segment - Space'!L16</f>
        <v>14897</v>
      </c>
      <c r="M104" s="56">
        <f>'Segment - Aeronautics'!M16+'Segment - MFC'!M16+'Segment - RMS'!M16+'Segment - Space'!M16</f>
        <v>11711</v>
      </c>
      <c r="N104" s="56">
        <f>'Segment - Aeronautics'!N16+'Segment - MFC'!N16+'Segment - RMS'!N16+'Segment - Space'!N16</f>
        <v>86516</v>
      </c>
      <c r="O104" s="1"/>
      <c r="P104" s="1"/>
      <c r="Q104" s="1"/>
      <c r="R104" s="1" t="s">
        <v>134</v>
      </c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20" t="s">
        <v>98</v>
      </c>
      <c r="C105" s="18" t="str">
        <f>IF(AND(ISNUMBER(C104),ISNUMBER(J104)),IF(OR(J104&gt;0,AND(J104&lt;0,C104&lt;0)),C104/J104-1,"n/m"),"n/a")</f>
        <v>n/a</v>
      </c>
      <c r="D105" s="18">
        <f>IF(AND(ISNUMBER(D104),ISNUMBER(K104)),IF(OR(K104&gt;0,AND(K104&lt;0,D104&lt;0)),D104/K104-1,"n/m"),"n/a")</f>
        <v>0.20376954675687808</v>
      </c>
      <c r="E105" s="18">
        <f>IF(AND(ISNUMBER(E104),ISNUMBER(L104)),IF(OR(L104&gt;0,AND(L104&lt;0,E104&lt;0)),E104/L104-1,"n/m"),"n/a")</f>
        <v>-0.27327649862388403</v>
      </c>
      <c r="F105" s="18">
        <f>IF(AND(ISNUMBER(F104),ISNUMBER(M104)),IF(OR(M104&gt;0,AND(M104&lt;0,F104&lt;0)),F104/M104-1,"n/m"),"n/a")</f>
        <v>4.469387755102041</v>
      </c>
      <c r="G105" s="18">
        <f>IF(AND(ISNUMBER(G104),ISNUMBER(N104)),IF(OR(N104&gt;0,AND(N104&lt;0,G104&lt;0)),G104/N104-1,"n/m"),"n/a")</f>
        <v>0.07066900920061037</v>
      </c>
      <c r="H105" s="21">
        <f>IF(AND(ISNUMBER(H104),ISNUMBER(C104)),IF(OR(C104&gt;0,AND(C104&lt;0,H104&lt;0)),H104/C104-1,"n/m"),"n/a")</f>
        <v>-0.3531230176565009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8" t="s">
        <v>101</v>
      </c>
      <c r="C106" s="2">
        <f>IF(AND(ISNUMBER(C104),ISNUMBER(M104)),C104-M104,"n/a")</f>
        <v>19439</v>
      </c>
      <c r="D106" s="2">
        <f>IF(AND(ISNUMBER(D104),ISNUMBER(C104)),D104-C104,"n/a")</f>
        <v>3722</v>
      </c>
      <c r="E106" s="2">
        <f>IF(AND(ISNUMBER(E104),ISNUMBER(D104)),E104-D104,"n/a")</f>
        <v>-24046</v>
      </c>
      <c r="F106" s="2">
        <f>IF(AND(ISNUMBER(F104),ISNUMBER(E104)),F104-E104,"n/a")</f>
        <v>53226</v>
      </c>
      <c r="G106" s="2" t="s">
        <v>100</v>
      </c>
      <c r="H106" s="7">
        <f>IF(AND(ISNUMBER(H104),ISNUMBER(F104)),H104-F104,"n/a")</f>
        <v>-43901.78200000001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4" t="s">
        <v>135</v>
      </c>
      <c r="C107" s="28">
        <f>C104/C50</f>
        <v>1.6739212209146113</v>
      </c>
      <c r="D107" s="28">
        <f>D104/D50</f>
        <v>1.7160572806456376</v>
      </c>
      <c r="E107" s="28">
        <f>E104/E50</f>
        <v>0.6007435769380167</v>
      </c>
      <c r="F107" s="28">
        <f>F104/F50</f>
        <v>3.1925434880127597</v>
      </c>
      <c r="G107" s="28">
        <f>G104/G50</f>
        <v>1.2342767295597483</v>
      </c>
      <c r="H107" s="45">
        <f>H104/H50</f>
        <v>1</v>
      </c>
      <c r="I107" s="1"/>
      <c r="J107" s="1"/>
      <c r="K107" s="28">
        <f>K104/K50</f>
        <v>1.555633122113629</v>
      </c>
      <c r="L107" s="28">
        <f>L104/L50</f>
        <v>0.8293158158436786</v>
      </c>
      <c r="M107" s="28">
        <f>M104/M50</f>
        <v>0.645056458275957</v>
      </c>
      <c r="N107" s="28">
        <f>N104/N50</f>
        <v>1.217797671832552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8" t="s">
        <v>136</v>
      </c>
      <c r="C108" s="100" t="str">
        <f>IF(AND(ISNUMBER(C107),ISNUMBER(J107)),C107-J107,"n/a")</f>
        <v>n/a</v>
      </c>
      <c r="D108" s="100">
        <f>IF(AND(ISNUMBER(D107),ISNUMBER(K107)),D107-K107,"n/a")</f>
        <v>0.16042415853200853</v>
      </c>
      <c r="E108" s="100">
        <f>IF(AND(ISNUMBER(E107),ISNUMBER(L107)),E107-L107,"n/a")</f>
        <v>-0.22857223890566192</v>
      </c>
      <c r="F108" s="100">
        <f>IF(AND(ISNUMBER(F107),ISNUMBER(M107)),F107-M107,"n/a")</f>
        <v>2.5474870297368026</v>
      </c>
      <c r="G108" s="100">
        <f>IF(AND(ISNUMBER(G107),ISNUMBER(N107)),G107-N107,"n/a")</f>
        <v>0.016479057727196267</v>
      </c>
      <c r="H108" s="101">
        <f>IF(AND(ISNUMBER(H107),ISNUMBER(C107)),H107-C107,"n/a")</f>
        <v>-0.6739212209146113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8" t="s">
        <v>137</v>
      </c>
      <c r="C109" s="100">
        <f>IF(AND(ISNUMBER(C107),ISNUMBER(M107)),C107-M107,"n/a")</f>
        <v>1.0288647626386542</v>
      </c>
      <c r="D109" s="100">
        <f>IF(AND(ISNUMBER(D107),ISNUMBER(C107)),D107-C107,"n/a")</f>
        <v>0.0421360597310263</v>
      </c>
      <c r="E109" s="100">
        <f>IF(AND(ISNUMBER(E107),ISNUMBER(D107)),E107-D107,"n/a")</f>
        <v>-1.1153137037076208</v>
      </c>
      <c r="F109" s="100">
        <f>IF(AND(ISNUMBER(F107),ISNUMBER(E107)),F107-E107,"n/a")</f>
        <v>2.5917999110747427</v>
      </c>
      <c r="G109" s="100" t="s">
        <v>100</v>
      </c>
      <c r="H109" s="101">
        <f>IF(AND(ISNUMBER(H107),ISNUMBER(F107)),H107-F107,"n/a")</f>
        <v>-2.1925434880127597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4" t="s">
        <v>138</v>
      </c>
      <c r="C110" s="47">
        <v>13</v>
      </c>
      <c r="D110" s="47">
        <v>13</v>
      </c>
      <c r="E110" s="47">
        <v>12</v>
      </c>
      <c r="F110" s="47">
        <v>13</v>
      </c>
      <c r="G110" s="47">
        <v>52</v>
      </c>
      <c r="H110" s="88">
        <v>13</v>
      </c>
      <c r="I110" s="1"/>
      <c r="J110" s="47">
        <v>13</v>
      </c>
      <c r="K110" s="47">
        <v>13</v>
      </c>
      <c r="L110" s="47">
        <v>13</v>
      </c>
      <c r="M110" s="47">
        <v>13</v>
      </c>
      <c r="N110" s="47">
        <v>52</v>
      </c>
      <c r="O110" s="47">
        <v>39</v>
      </c>
      <c r="P110" s="47">
        <v>39</v>
      </c>
      <c r="Q110" s="1"/>
      <c r="R110" s="9" t="s">
        <v>139</v>
      </c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8" t="s">
        <v>140</v>
      </c>
      <c r="C111" s="58">
        <f>IF(AND(ISNUMBER(C110),ISNUMBER(J110)),C110-J110,"n/a")</f>
        <v>0</v>
      </c>
      <c r="D111" s="58">
        <f>IF(AND(ISNUMBER(D110),ISNUMBER(K110)),D110-K110,"n/a")</f>
        <v>0</v>
      </c>
      <c r="E111" s="58">
        <f>IF(AND(ISNUMBER(E110),ISNUMBER(L110)),E110-L110,"n/a")</f>
        <v>-1</v>
      </c>
      <c r="F111" s="58">
        <f>IF(AND(ISNUMBER(F110),ISNUMBER(M110)),F110-M110,"n/a")</f>
        <v>0</v>
      </c>
      <c r="G111" s="58">
        <f>IF(AND(ISNUMBER(G110),ISNUMBER(N110)),G110-N110,"n/a")</f>
        <v>0</v>
      </c>
      <c r="H111" s="53">
        <f>IF(AND(ISNUMBER(H110),ISNUMBER(C110)),H110-C110,"n/a")</f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8" t="s">
        <v>141</v>
      </c>
      <c r="C112" s="58">
        <f>IF(AND(ISNUMBER(C110),ISNUMBER(M110)),C110-M110,"n/a")</f>
        <v>0</v>
      </c>
      <c r="D112" s="58">
        <f>IF(AND(ISNUMBER(D110),ISNUMBER(C110)),D110-C110,"n/a")</f>
        <v>0</v>
      </c>
      <c r="E112" s="58">
        <f>IF(AND(ISNUMBER(E110),ISNUMBER(D110)),E110-D110,"n/a")</f>
        <v>-1</v>
      </c>
      <c r="F112" s="58">
        <f>IF(AND(ISNUMBER(F110),ISNUMBER(E110)),F110-E110,"n/a")</f>
        <v>1</v>
      </c>
      <c r="G112" s="58" t="s">
        <v>100</v>
      </c>
      <c r="H112" s="53">
        <f>IF(AND(ISNUMBER(H110),ISNUMBER(F110)),H110-F110,"n/a")</f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4" t="s">
        <v>142</v>
      </c>
      <c r="C113" s="2">
        <f>C50/C110</f>
        <v>1431.4615384615386</v>
      </c>
      <c r="D113" s="2">
        <f>D50/D110</f>
        <v>1563.1538461538462</v>
      </c>
      <c r="E113" s="2">
        <f>E50/E110</f>
        <v>1501.75</v>
      </c>
      <c r="F113" s="2">
        <f>F50/F110</f>
        <v>1543.3076923076924</v>
      </c>
      <c r="G113" s="2">
        <f>G50/G110</f>
        <v>1443.2307692307693</v>
      </c>
      <c r="H113" s="7">
        <f>H50/H110</f>
        <v>1550.0167692307691</v>
      </c>
      <c r="I113" s="1"/>
      <c r="J113" s="2">
        <f>J50/J110</f>
        <v>1315.6923076923076</v>
      </c>
      <c r="K113" s="2">
        <f>K50/K110</f>
        <v>1432.4615384615386</v>
      </c>
      <c r="L113" s="2">
        <f>L50/L110</f>
        <v>1381.7692307692307</v>
      </c>
      <c r="M113" s="2">
        <f>M50/M110</f>
        <v>1396.5384615384614</v>
      </c>
      <c r="N113" s="2">
        <f>N50/N110</f>
        <v>1366.2115384615386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20" t="s">
        <v>98</v>
      </c>
      <c r="C114" s="18">
        <f>IF(AND(ISNUMBER(C113),ISNUMBER(J113)),IF(OR(J113&gt;0,AND(J113&lt;0,C113&lt;0)),C113/J113-1,"n/m"),"n/a")</f>
        <v>0.08799111318989716</v>
      </c>
      <c r="D114" s="18">
        <f>IF(AND(ISNUMBER(D113),ISNUMBER(K113)),IF(OR(K113&gt;0,AND(K113&lt;0,D113&lt;0)),D113/K113-1,"n/m"),"n/a")</f>
        <v>0.09123617226935887</v>
      </c>
      <c r="E114" s="18">
        <f>IF(AND(ISNUMBER(E113),ISNUMBER(L113)),IF(OR(L113&gt;0,AND(L113&lt;0,E113&lt;0)),E113/L113-1,"n/m"),"n/a")</f>
        <v>0.08683126426543453</v>
      </c>
      <c r="F114" s="18">
        <f>IF(AND(ISNUMBER(F113),ISNUMBER(M113)),IF(OR(M113&gt;0,AND(M113&lt;0,F113&lt;0)),F113/M113-1,"n/m"),"n/a")</f>
        <v>0.10509501514734243</v>
      </c>
      <c r="G114" s="18">
        <f>IF(AND(ISNUMBER(G113),ISNUMBER(N113)),IF(OR(N113&gt;0,AND(N113&lt;0,G113&lt;0)),G113/N113-1,"n/m"),"n/a")</f>
        <v>0.05637430851737668</v>
      </c>
      <c r="H114" s="21">
        <f>IF(AND(ISNUMBER(H113),ISNUMBER(C113)),IF(OR(C113&gt;0,AND(C113&lt;0,H113&lt;0)),H113/C113-1,"n/m"),"n/a")</f>
        <v>0.08282110806598952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8" t="s">
        <v>101</v>
      </c>
      <c r="C115" s="2">
        <f>IF(AND(ISNUMBER(C113),ISNUMBER(M113)),C113-M113,"n/a")</f>
        <v>34.92307692307713</v>
      </c>
      <c r="D115" s="2">
        <f>IF(AND(ISNUMBER(D113),ISNUMBER(C113)),D113-C113,"n/a")</f>
        <v>131.69230769230762</v>
      </c>
      <c r="E115" s="2">
        <f>IF(AND(ISNUMBER(E113),ISNUMBER(D113)),E113-D113,"n/a")</f>
        <v>-61.40384615384619</v>
      </c>
      <c r="F115" s="2">
        <f>IF(AND(ISNUMBER(F113),ISNUMBER(E113)),F113-E113,"n/a")</f>
        <v>41.55769230769238</v>
      </c>
      <c r="G115" s="2" t="s">
        <v>100</v>
      </c>
      <c r="H115" s="7">
        <f>IF(AND(ISNUMBER(H113),ISNUMBER(F113)),H113-F113,"n/a")</f>
        <v>6.709076923076736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4" t="s">
        <v>143</v>
      </c>
      <c r="C116" s="35">
        <f>Inputs!I85</f>
        <v>18609</v>
      </c>
      <c r="D116" s="35">
        <f>Inputs!I86</f>
        <v>20321</v>
      </c>
      <c r="E116" s="35">
        <f>Inputs!I87</f>
        <v>18021</v>
      </c>
      <c r="F116" s="35">
        <f>Inputs!I88</f>
        <v>20063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25" t="s">
        <v>144</v>
      </c>
      <c r="C117" s="19">
        <f>C50-C116</f>
        <v>0</v>
      </c>
      <c r="D117" s="19">
        <f>D50-D116</f>
        <v>0</v>
      </c>
      <c r="E117" s="19">
        <f>E50-E116</f>
        <v>0</v>
      </c>
      <c r="F117" s="19">
        <f>F50-F116</f>
        <v>0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5" t="s">
        <v>145</v>
      </c>
      <c r="C118" s="71">
        <f>Geo!C60-C50</f>
        <v>0</v>
      </c>
      <c r="D118" s="71">
        <f>Geo!D60-D50</f>
        <v>0</v>
      </c>
      <c r="E118" s="71">
        <f>Geo!E60-E50</f>
        <v>0</v>
      </c>
      <c r="F118" s="71">
        <f>Geo!F60-F50</f>
        <v>0</v>
      </c>
      <c r="G118" s="71">
        <f>Geo!G60-G50</f>
        <v>0</v>
      </c>
      <c r="H118" s="84">
        <f>Geo!H60-H50</f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46" t="s">
        <v>146</v>
      </c>
      <c r="C119" s="26" t="b">
        <f>AND(ABS(C118)&lt;0.5,ABS(C117)&lt;0.5)</f>
        <v>1</v>
      </c>
      <c r="D119" s="26" t="b">
        <f>AND(ABS(D118)&lt;0.5,ABS(D117)&lt;0.5)</f>
        <v>1</v>
      </c>
      <c r="E119" s="26" t="b">
        <f>AND(ABS(E118)&lt;0.5,ABS(E117)&lt;0.5)</f>
        <v>1</v>
      </c>
      <c r="F119" s="26" t="b">
        <f>AND(ABS(F118)&lt;0.5,ABS(F117)&lt;0.5)</f>
        <v>1</v>
      </c>
      <c r="G119" s="26" t="b">
        <f>AND(ABS(G118)&lt;0.5)</f>
        <v>1</v>
      </c>
      <c r="H119" s="22" t="b">
        <f>AND(ABS(H118)&lt;0.5)</f>
        <v>1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147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148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149</v>
      </c>
      <c r="C10" s="2">
        <f>M19</f>
        <v>52165</v>
      </c>
      <c r="D10" s="2">
        <f>C19</f>
        <v>47506</v>
      </c>
      <c r="E10" s="2">
        <f>D19</f>
        <v>59435</v>
      </c>
      <c r="F10" s="2">
        <f>E19</f>
        <v>55032</v>
      </c>
      <c r="G10" s="2">
        <f>N19</f>
        <v>62763</v>
      </c>
      <c r="H10" s="7">
        <f>F19</f>
        <v>54356</v>
      </c>
      <c r="I10" s="1"/>
      <c r="J10" s="1"/>
      <c r="K10" s="2">
        <f>J19</f>
        <v>50988</v>
      </c>
      <c r="L10" s="2">
        <f>K19</f>
        <v>62763</v>
      </c>
      <c r="M10" s="2">
        <f>L19</f>
        <v>57476</v>
      </c>
      <c r="N10" s="3">
        <v>60156</v>
      </c>
      <c r="O10" s="1"/>
      <c r="P10" s="1"/>
      <c r="Q10" s="1"/>
      <c r="R10" s="9" t="s">
        <v>150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0" t="s">
        <v>98</v>
      </c>
      <c r="C11" s="18" t="str">
        <f>IF(AND(ISNUMBER(C10),ISNUMBER(J10)),IF(OR(J10&gt;0,AND(J10&lt;0,C10&lt;0)),C10/J10-1,"n/m"),"n/a")</f>
        <v>n/a</v>
      </c>
      <c r="D11" s="18">
        <f>IF(AND(ISNUMBER(D10),ISNUMBER(K10)),IF(OR(K10&gt;0,AND(K10&lt;0,D10&lt;0)),D10/K10-1,"n/m"),"n/a")</f>
        <v>-0.06829057817525697</v>
      </c>
      <c r="E11" s="18">
        <f>IF(AND(ISNUMBER(E10),ISNUMBER(L10)),IF(OR(L10&gt;0,AND(L10&lt;0,E10&lt;0)),E10/L10-1,"n/m"),"n/a")</f>
        <v>-0.05302487134139544</v>
      </c>
      <c r="F11" s="18">
        <f>IF(AND(ISNUMBER(F10),ISNUMBER(M10)),IF(OR(M10&gt;0,AND(M10&lt;0,F10&lt;0)),F10/M10-1,"n/m"),"n/a")</f>
        <v>-0.042522096179274826</v>
      </c>
      <c r="G11" s="18">
        <f>IF(AND(ISNUMBER(G10),ISNUMBER(N10)),IF(OR(N10&gt;0,AND(N10&lt;0,G10&lt;0)),G10/N10-1,"n/m"),"n/a")</f>
        <v>0.043337322960303126</v>
      </c>
      <c r="H11" s="21">
        <f>IF(AND(ISNUMBER(H10),ISNUMBER(C10)),IF(OR(C10&gt;0,AND(C10&lt;0,H10&lt;0)),H10/C10-1,"n/m"),"n/a")</f>
        <v>0.04200134189590732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101</v>
      </c>
      <c r="C12" s="2">
        <f>IF(AND(ISNUMBER(C10),ISNUMBER(M10)),C10-M10,"n/a")</f>
        <v>-5311</v>
      </c>
      <c r="D12" s="2">
        <f>IF(AND(ISNUMBER(D10),ISNUMBER(C10)),D10-C10,"n/a")</f>
        <v>-4659</v>
      </c>
      <c r="E12" s="2">
        <f>IF(AND(ISNUMBER(E10),ISNUMBER(D10)),E10-D10,"n/a")</f>
        <v>11929</v>
      </c>
      <c r="F12" s="2">
        <f>IF(AND(ISNUMBER(F10),ISNUMBER(E10)),F10-E10,"n/a")</f>
        <v>-4403</v>
      </c>
      <c r="G12" s="2" t="s">
        <v>100</v>
      </c>
      <c r="H12" s="7">
        <f>IF(AND(ISNUMBER(H10),ISNUMBER(F10)),H10-F10,"n/a")</f>
        <v>-676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151</v>
      </c>
      <c r="C13" s="2">
        <f>C56</f>
        <v>7256</v>
      </c>
      <c r="D13" s="2">
        <f>D56</f>
        <v>8524</v>
      </c>
      <c r="E13" s="2">
        <f>E56</f>
        <v>6953</v>
      </c>
      <c r="F13" s="2">
        <f>F56</f>
        <v>8112</v>
      </c>
      <c r="G13" s="2">
        <f>G56</f>
        <v>30257</v>
      </c>
      <c r="H13" s="7">
        <f>H56</f>
        <v>7800.085999999999</v>
      </c>
      <c r="I13" s="1"/>
      <c r="J13" s="2">
        <f>J56</f>
        <v>6487</v>
      </c>
      <c r="K13" s="2">
        <f>K56</f>
        <v>8009</v>
      </c>
      <c r="L13" s="2">
        <f>L56</f>
        <v>7057</v>
      </c>
      <c r="M13" s="2">
        <f>M56</f>
        <v>7420</v>
      </c>
      <c r="N13" s="2">
        <f>N56</f>
        <v>28618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0" t="s">
        <v>98</v>
      </c>
      <c r="C14" s="18">
        <f>IF(AND(ISNUMBER(C13),ISNUMBER(J13)),IF(OR(J13&gt;0,AND(J13&lt;0,C13&lt;0)),C13/J13-1,"n/m"),"n/a")</f>
        <v>0.11854478187143513</v>
      </c>
      <c r="D14" s="18">
        <f>IF(AND(ISNUMBER(D13),ISNUMBER(K13)),IF(OR(K13&gt;0,AND(K13&lt;0,D13&lt;0)),D13/K13-1,"n/m"),"n/a")</f>
        <v>0.06430265950805336</v>
      </c>
      <c r="E14" s="18">
        <f>IF(AND(ISNUMBER(E13),ISNUMBER(L13)),IF(OR(L13&gt;0,AND(L13&lt;0,E13&lt;0)),E13/L13-1,"n/m"),"n/a")</f>
        <v>-0.01473714042794394</v>
      </c>
      <c r="F14" s="18">
        <f>IF(AND(ISNUMBER(F13),ISNUMBER(M13)),IF(OR(M13&gt;0,AND(M13&lt;0,F13&lt;0)),F13/M13-1,"n/m"),"n/a")</f>
        <v>0.09326145552560638</v>
      </c>
      <c r="G14" s="18">
        <f>IF(AND(ISNUMBER(G13),ISNUMBER(N13)),IF(OR(N13&gt;0,AND(N13&lt;0,G13&lt;0)),G13/N13-1,"n/m"),"n/a")</f>
        <v>0.05727164721503941</v>
      </c>
      <c r="H14" s="21">
        <f>IF(AND(ISNUMBER(H13),ISNUMBER(C13)),IF(OR(C13&gt;0,AND(C13&lt;0,H13&lt;0)),H13/C13-1,"n/m"),"n/a")</f>
        <v>0.0749842888643879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8" t="s">
        <v>101</v>
      </c>
      <c r="C15" s="2">
        <f>IF(AND(ISNUMBER(C13),ISNUMBER(M13)),C13-M13,"n/a")</f>
        <v>-164</v>
      </c>
      <c r="D15" s="2">
        <f>IF(AND(ISNUMBER(D13),ISNUMBER(C13)),D13-C13,"n/a")</f>
        <v>1268</v>
      </c>
      <c r="E15" s="2">
        <f>IF(AND(ISNUMBER(E13),ISNUMBER(D13)),E13-D13,"n/a")</f>
        <v>-1571</v>
      </c>
      <c r="F15" s="2">
        <f>IF(AND(ISNUMBER(F13),ISNUMBER(E13)),F13-E13,"n/a")</f>
        <v>1159</v>
      </c>
      <c r="G15" s="2" t="s">
        <v>100</v>
      </c>
      <c r="H15" s="7">
        <f>IF(AND(ISNUMBER(H13),ISNUMBER(F13)),H13-F13,"n/a")</f>
        <v>-311.91400000000067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152</v>
      </c>
      <c r="C16" s="2">
        <f>C19-C10+C13</f>
        <v>2597</v>
      </c>
      <c r="D16" s="2">
        <f>D19-D10+D13</f>
        <v>20453</v>
      </c>
      <c r="E16" s="2">
        <f>E19-E10+E13</f>
        <v>2550</v>
      </c>
      <c r="F16" s="2">
        <f>F19-F10+F13</f>
        <v>7436</v>
      </c>
      <c r="G16" s="2">
        <f>G19-G10+G13</f>
        <v>26929</v>
      </c>
      <c r="H16" s="7">
        <f>H25*H13</f>
        <v>7800.085999999999</v>
      </c>
      <c r="I16" s="1"/>
      <c r="J16" s="2" t="s">
        <v>106</v>
      </c>
      <c r="K16" s="2">
        <f>K19-K10+K13</f>
        <v>19784</v>
      </c>
      <c r="L16" s="2">
        <f>L19-L10+L13</f>
        <v>1770</v>
      </c>
      <c r="M16" s="2">
        <f>M19-M10+M13</f>
        <v>2109</v>
      </c>
      <c r="N16" s="2">
        <f>N19-N10+N13</f>
        <v>31225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0" t="s">
        <v>98</v>
      </c>
      <c r="C17" s="18" t="str">
        <f>IF(AND(ISNUMBER(C16),ISNUMBER(J16)),IF(OR(J16&gt;0,AND(J16&lt;0,C16&lt;0)),C16/J16-1,"n/m"),"n/a")</f>
        <v>n/a</v>
      </c>
      <c r="D17" s="18">
        <f>IF(AND(ISNUMBER(D16),ISNUMBER(K16)),IF(OR(K16&gt;0,AND(K16&lt;0,D16&lt;0)),D16/K16-1,"n/m"),"n/a")</f>
        <v>0.0338152042054185</v>
      </c>
      <c r="E17" s="18">
        <f>IF(AND(ISNUMBER(E16),ISNUMBER(L16)),IF(OR(L16&gt;0,AND(L16&lt;0,E16&lt;0)),E16/L16-1,"n/m"),"n/a")</f>
        <v>0.44067796610169485</v>
      </c>
      <c r="F17" s="18">
        <f>IF(AND(ISNUMBER(F16),ISNUMBER(M16)),IF(OR(M16&gt;0,AND(M16&lt;0,F16&lt;0)),F16/M16-1,"n/m"),"n/a")</f>
        <v>2.525841631104789</v>
      </c>
      <c r="G17" s="18">
        <f>IF(AND(ISNUMBER(G16),ISNUMBER(N16)),IF(OR(N16&gt;0,AND(N16&lt;0,G16&lt;0)),G16/N16-1,"n/m"),"n/a")</f>
        <v>-0.13758206565252207</v>
      </c>
      <c r="H17" s="21">
        <f>IF(AND(ISNUMBER(H16),ISNUMBER(C16)),IF(OR(C16&gt;0,AND(C16&lt;0,H16&lt;0)),H16/C16-1,"n/m"),"n/a")</f>
        <v>2.0034986522911047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101</v>
      </c>
      <c r="C18" s="2">
        <f>IF(AND(ISNUMBER(C16),ISNUMBER(M16)),C16-M16,"n/a")</f>
        <v>488</v>
      </c>
      <c r="D18" s="2">
        <f>IF(AND(ISNUMBER(D16),ISNUMBER(C16)),D16-C16,"n/a")</f>
        <v>17856</v>
      </c>
      <c r="E18" s="2">
        <f>IF(AND(ISNUMBER(E16),ISNUMBER(D16)),E16-D16,"n/a")</f>
        <v>-17903</v>
      </c>
      <c r="F18" s="2">
        <f>IF(AND(ISNUMBER(F16),ISNUMBER(E16)),F16-E16,"n/a")</f>
        <v>4886</v>
      </c>
      <c r="G18" s="2" t="s">
        <v>100</v>
      </c>
      <c r="H18" s="7">
        <f>IF(AND(ISNUMBER(H16),ISNUMBER(F16)),H16-F16,"n/a")</f>
        <v>364.08599999999933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3" t="s">
        <v>153</v>
      </c>
      <c r="C19" s="29">
        <v>47506</v>
      </c>
      <c r="D19" s="29">
        <v>59435</v>
      </c>
      <c r="E19" s="29">
        <v>55032</v>
      </c>
      <c r="F19" s="29">
        <v>54356</v>
      </c>
      <c r="G19" s="14">
        <f>D19</f>
        <v>59435</v>
      </c>
      <c r="H19" s="48">
        <f>H10+H16-H13</f>
        <v>54356</v>
      </c>
      <c r="I19" s="1"/>
      <c r="J19" s="29">
        <v>50988</v>
      </c>
      <c r="K19" s="29">
        <v>62763</v>
      </c>
      <c r="L19" s="29">
        <v>57476</v>
      </c>
      <c r="M19" s="29">
        <v>52165</v>
      </c>
      <c r="N19" s="14">
        <f>K19</f>
        <v>62763</v>
      </c>
      <c r="O19" s="1"/>
      <c r="P19" s="1"/>
      <c r="Q19" s="1"/>
      <c r="R19" s="9" t="s">
        <v>154</v>
      </c>
      <c r="S19" s="1"/>
      <c r="T19" s="1"/>
      <c r="U19" s="1"/>
      <c r="V19" s="1"/>
      <c r="W19" s="1"/>
      <c r="X19" s="1"/>
      <c r="Y19" s="1"/>
      <c r="Z19" s="1"/>
    </row>
    <row r="20">
      <c r="A20" s="1"/>
      <c r="B20" s="20" t="s">
        <v>98</v>
      </c>
      <c r="C20" s="18">
        <f>IF(AND(ISNUMBER(C19),ISNUMBER(J19)),IF(OR(J19&gt;0,AND(J19&lt;0,C19&lt;0)),C19/J19-1,"n/m"),"n/a")</f>
        <v>-0.06829057817525697</v>
      </c>
      <c r="D20" s="18">
        <f>IF(AND(ISNUMBER(D19),ISNUMBER(K19)),IF(OR(K19&gt;0,AND(K19&lt;0,D19&lt;0)),D19/K19-1,"n/m"),"n/a")</f>
        <v>-0.05302487134139544</v>
      </c>
      <c r="E20" s="18">
        <f>IF(AND(ISNUMBER(E19),ISNUMBER(L19)),IF(OR(L19&gt;0,AND(L19&lt;0,E19&lt;0)),E19/L19-1,"n/m"),"n/a")</f>
        <v>-0.042522096179274826</v>
      </c>
      <c r="F20" s="18">
        <f>IF(AND(ISNUMBER(F19),ISNUMBER(M19)),IF(OR(M19&gt;0,AND(M19&lt;0,F19&lt;0)),F19/M19-1,"n/m"),"n/a")</f>
        <v>0.04200134189590732</v>
      </c>
      <c r="G20" s="18">
        <f>IF(AND(ISNUMBER(G19),ISNUMBER(N19)),IF(OR(N19&gt;0,AND(N19&lt;0,G19&lt;0)),G19/N19-1,"n/m"),"n/a")</f>
        <v>-0.05302487134139544</v>
      </c>
      <c r="H20" s="21">
        <f>IF(AND(ISNUMBER(H19),ISNUMBER(C19)),IF(OR(C19&gt;0,AND(C19&lt;0,H19&lt;0)),H19/C19-1,"n/m"),"n/a")</f>
        <v>0.14419231254999376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8" t="s">
        <v>101</v>
      </c>
      <c r="C21" s="2">
        <f>IF(AND(ISNUMBER(C19),ISNUMBER(M19)),C19-M19,"n/a")</f>
        <v>-4659</v>
      </c>
      <c r="D21" s="2">
        <f>IF(AND(ISNUMBER(D19),ISNUMBER(C19)),D19-C19,"n/a")</f>
        <v>11929</v>
      </c>
      <c r="E21" s="2">
        <f>IF(AND(ISNUMBER(E19),ISNUMBER(D19)),E19-D19,"n/a")</f>
        <v>-4403</v>
      </c>
      <c r="F21" s="2">
        <f>IF(AND(ISNUMBER(F19),ISNUMBER(E19)),F19-E19,"n/a")</f>
        <v>-676</v>
      </c>
      <c r="G21" s="2" t="s">
        <v>100</v>
      </c>
      <c r="H21" s="7">
        <f>IF(AND(ISNUMBER(H19),ISNUMBER(F19)),H19-F19,"n/a")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" t="s">
        <v>155</v>
      </c>
      <c r="C22" s="2">
        <f>IF(AND(ISNUMBER(C10),ISNUMBER(C19)),(C10+C19)/2,"n/a")</f>
        <v>49835.5</v>
      </c>
      <c r="D22" s="2">
        <f>IF(AND(ISNUMBER(D10),ISNUMBER(D19)),(D10+D19)/2,"n/a")</f>
        <v>53470.5</v>
      </c>
      <c r="E22" s="2">
        <f>IF(AND(ISNUMBER(E10),ISNUMBER(E19)),(E10+E19)/2,"n/a")</f>
        <v>57233.5</v>
      </c>
      <c r="F22" s="2">
        <f>IF(AND(ISNUMBER(F10),ISNUMBER(F19)),(F10+F19)/2,"n/a")</f>
        <v>54694</v>
      </c>
      <c r="G22" s="2">
        <f>IF(AND(ISNUMBER(G10),ISNUMBER(G19)),(G10+G19)/2,"n/a")</f>
        <v>61099</v>
      </c>
      <c r="H22" s="7">
        <f>IF(AND(ISNUMBER(H10),ISNUMBER(H19)),(H10+H19)/2,"n/a")</f>
        <v>54356</v>
      </c>
      <c r="I22" s="1"/>
      <c r="J22" s="1"/>
      <c r="K22" s="2">
        <f>IF(AND(ISNUMBER(K10),ISNUMBER(K19)),(K10+K19)/2,"n/a")</f>
        <v>56875.5</v>
      </c>
      <c r="L22" s="2">
        <f>IF(AND(ISNUMBER(L10),ISNUMBER(L19)),(L10+L19)/2,"n/a")</f>
        <v>60119.5</v>
      </c>
      <c r="M22" s="2">
        <f>IF(AND(ISNUMBER(M10),ISNUMBER(M19)),(M10+M19)/2,"n/a")</f>
        <v>54820.5</v>
      </c>
      <c r="N22" s="2">
        <f>IF(AND(ISNUMBER(N10),ISNUMBER(N19)),(N10+N19)/2,"n/a")</f>
        <v>61459.5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20" t="s">
        <v>98</v>
      </c>
      <c r="C23" s="18" t="str">
        <f>IF(AND(ISNUMBER(C22),ISNUMBER(J22)),IF(OR(J22&gt;0,AND(J22&lt;0,C22&lt;0)),C22/J22-1,"n/m"),"n/a")</f>
        <v>n/a</v>
      </c>
      <c r="D23" s="18">
        <f>IF(AND(ISNUMBER(D22),ISNUMBER(K22)),IF(OR(K22&gt;0,AND(K22&lt;0,D22&lt;0)),D22/K22-1,"n/m"),"n/a")</f>
        <v>-0.05986760555951154</v>
      </c>
      <c r="E23" s="18">
        <f>IF(AND(ISNUMBER(E22),ISNUMBER(L22)),IF(OR(L22&gt;0,AND(L22&lt;0,E22&lt;0)),E22/L22-1,"n/m"),"n/a")</f>
        <v>-0.04800439125408562</v>
      </c>
      <c r="F23" s="18">
        <f>IF(AND(ISNUMBER(F22),ISNUMBER(M22)),IF(OR(M22&gt;0,AND(M22&lt;0,F22&lt;0)),F22/M22-1,"n/m"),"n/a")</f>
        <v>-0.0023075309418921774</v>
      </c>
      <c r="G23" s="18">
        <f>IF(AND(ISNUMBER(G22),ISNUMBER(N22)),IF(OR(N22&gt;0,AND(N22&lt;0,G22&lt;0)),G22/N22-1,"n/m"),"n/a")</f>
        <v>-0.005865651363906266</v>
      </c>
      <c r="H23" s="21">
        <f>IF(AND(ISNUMBER(H22),ISNUMBER(C22)),IF(OR(C22&gt;0,AND(C22&lt;0,H22&lt;0)),H22/C22-1,"n/m"),"n/a")</f>
        <v>0.09070843073712509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101</v>
      </c>
      <c r="C24" s="2">
        <f>IF(AND(ISNUMBER(C22),ISNUMBER(M22)),C22-M22,"n/a")</f>
        <v>-4985</v>
      </c>
      <c r="D24" s="2">
        <f>IF(AND(ISNUMBER(D22),ISNUMBER(C22)),D22-C22,"n/a")</f>
        <v>3635</v>
      </c>
      <c r="E24" s="2">
        <f>IF(AND(ISNUMBER(E22),ISNUMBER(D22)),E22-D22,"n/a")</f>
        <v>3763</v>
      </c>
      <c r="F24" s="2">
        <f>IF(AND(ISNUMBER(F22),ISNUMBER(E22)),F22-E22,"n/a")</f>
        <v>-2539.5</v>
      </c>
      <c r="G24" s="2" t="s">
        <v>100</v>
      </c>
      <c r="H24" s="7">
        <f>IF(AND(ISNUMBER(H22),ISNUMBER(F22)),H22-F22,"n/a")</f>
        <v>-338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" t="s">
        <v>156</v>
      </c>
      <c r="C25" s="28">
        <f>IF(AND(ISNUMBER(C16)),C16/C13,"n/a")</f>
        <v>0.3579106945975744</v>
      </c>
      <c r="D25" s="28">
        <f>IF(AND(ISNUMBER(D16)),D16/D13,"n/a")</f>
        <v>2.39946034725481</v>
      </c>
      <c r="E25" s="28">
        <f>IF(AND(ISNUMBER(E16)),E16/E13,"n/a")</f>
        <v>0.36674816625916873</v>
      </c>
      <c r="F25" s="28">
        <f>IF(AND(ISNUMBER(F16)),F16/F13,"n/a")</f>
        <v>0.9166666666666666</v>
      </c>
      <c r="G25" s="28">
        <f>IF(AND(ISNUMBER(G16)),G16/G13,"n/a")</f>
        <v>0.8900089235548798</v>
      </c>
      <c r="H25" s="67">
        <v>1</v>
      </c>
      <c r="I25" s="1"/>
      <c r="J25" s="1"/>
      <c r="K25" s="28">
        <f>IF(AND(ISNUMBER(K16)),K16/K13,"n/a")</f>
        <v>2.4702210013734547</v>
      </c>
      <c r="L25" s="28">
        <f>IF(AND(ISNUMBER(L16)),L16/L13,"n/a")</f>
        <v>0.25081479382173727</v>
      </c>
      <c r="M25" s="28">
        <f>IF(AND(ISNUMBER(M16)),M16/M13,"n/a")</f>
        <v>0.28423180592991915</v>
      </c>
      <c r="N25" s="28">
        <f>IF(AND(ISNUMBER(N16)),N16/N13,"n/a")</f>
        <v>1.0910965126843246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8" t="s">
        <v>136</v>
      </c>
      <c r="C26" s="100" t="str">
        <f>IF(AND(ISNUMBER(C25),ISNUMBER(J25)),C25-J25,"n/a")</f>
        <v>n/a</v>
      </c>
      <c r="D26" s="100">
        <f>IF(AND(ISNUMBER(D25),ISNUMBER(K25)),D25-K25,"n/a")</f>
        <v>-0.07076065411864452</v>
      </c>
      <c r="E26" s="100">
        <f>IF(AND(ISNUMBER(E25),ISNUMBER(L25)),E25-L25,"n/a")</f>
        <v>0.11593337243743146</v>
      </c>
      <c r="F26" s="100">
        <f>IF(AND(ISNUMBER(F25),ISNUMBER(M25)),F25-M25,"n/a")</f>
        <v>0.6324348607367475</v>
      </c>
      <c r="G26" s="100">
        <f>IF(AND(ISNUMBER(G25),ISNUMBER(N25)),G25-N25,"n/a")</f>
        <v>-0.2010875891294448</v>
      </c>
      <c r="H26" s="101">
        <f>IF(AND(ISNUMBER(H25),ISNUMBER(C25)),H25-C25,"n/a")</f>
        <v>0.6420893054024256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8" t="s">
        <v>137</v>
      </c>
      <c r="C27" s="100">
        <f>IF(AND(ISNUMBER(C25),ISNUMBER(M25)),C25-M25,"n/a")</f>
        <v>0.07367888866765526</v>
      </c>
      <c r="D27" s="100">
        <f>IF(AND(ISNUMBER(D25),ISNUMBER(C25)),D25-C25,"n/a")</f>
        <v>2.0415496526572356</v>
      </c>
      <c r="E27" s="100">
        <f>IF(AND(ISNUMBER(E25),ISNUMBER(D25)),E25-D25,"n/a")</f>
        <v>-2.0327121809956417</v>
      </c>
      <c r="F27" s="100">
        <f>IF(AND(ISNUMBER(F25),ISNUMBER(E25)),F25-E25,"n/a")</f>
        <v>0.5499185004074979</v>
      </c>
      <c r="G27" s="100" t="s">
        <v>100</v>
      </c>
      <c r="H27" s="101">
        <f>IF(AND(ISNUMBER(H25),ISNUMBER(F25)),H25-F25,"n/a")</f>
        <v>0.08333333333333337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157</v>
      </c>
      <c r="C28" s="18">
        <f>C13/C10</f>
        <v>0.13909709575385795</v>
      </c>
      <c r="D28" s="18">
        <f>D13/D10</f>
        <v>0.17942996674104322</v>
      </c>
      <c r="E28" s="18">
        <f>E13/E10</f>
        <v>0.1169849415327669</v>
      </c>
      <c r="F28" s="18">
        <f>F13/F10</f>
        <v>0.1474051460968164</v>
      </c>
      <c r="G28" s="18">
        <f>G13/G10</f>
        <v>0.48208339308191134</v>
      </c>
      <c r="H28" s="32">
        <v>0.1435</v>
      </c>
      <c r="I28" s="1"/>
      <c r="J28" s="1"/>
      <c r="K28" s="18">
        <f>K13/K10</f>
        <v>0.1570761747862242</v>
      </c>
      <c r="L28" s="18">
        <f>L13/L10</f>
        <v>0.11243885728852987</v>
      </c>
      <c r="M28" s="18">
        <f>M13/M10</f>
        <v>0.1290973623773401</v>
      </c>
      <c r="N28" s="18">
        <f>N13/N10</f>
        <v>0.47572976926657357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0" t="s">
        <v>103</v>
      </c>
      <c r="C29" s="5" t="str">
        <f>IF(AND(ISNUMBER(C28),ISNUMBER(J28)),(C28-J28)*10000,"n/a")</f>
        <v>n/a</v>
      </c>
      <c r="D29" s="5">
        <f>IF(AND(ISNUMBER(D28),ISNUMBER(K28)),(D28-K28)*10000,"n/a")</f>
        <v>223.53791954819013</v>
      </c>
      <c r="E29" s="5">
        <f>IF(AND(ISNUMBER(E28),ISNUMBER(L28)),(E28-L28)*10000,"n/a")</f>
        <v>45.46084244237025</v>
      </c>
      <c r="F29" s="5">
        <f>IF(AND(ISNUMBER(F28),ISNUMBER(M28)),(F28-M28)*10000,"n/a")</f>
        <v>183.07783719476305</v>
      </c>
      <c r="G29" s="5">
        <f>IF(AND(ISNUMBER(G28),ISNUMBER(N28)),(G28-N28)*10000,"n/a")</f>
        <v>63.536238153377724</v>
      </c>
      <c r="H29" s="30">
        <f>IF(AND(ISNUMBER(H28),ISNUMBER(C28)),(H28-C28)*10000,"n/a")</f>
        <v>44.02904246142037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20" t="s">
        <v>104</v>
      </c>
      <c r="C30" s="5">
        <f>IF(AND(ISNUMBER(C28),ISNUMBER(M28)),(C28-M28)*10000,"n/a")</f>
        <v>99.99733376517855</v>
      </c>
      <c r="D30" s="5">
        <f>IF(AND(ISNUMBER(D28),ISNUMBER(C28)),(D28-C28)*10000,"n/a")</f>
        <v>403.3287098718527</v>
      </c>
      <c r="E30" s="5">
        <f>IF(AND(ISNUMBER(E28),ISNUMBER(D28)),(E28-D28)*10000,"n/a")</f>
        <v>-624.4502520827633</v>
      </c>
      <c r="F30" s="5">
        <f>IF(AND(ISNUMBER(F28),ISNUMBER(E28)),(F28-E28)*10000,"n/a")</f>
        <v>304.2020456404951</v>
      </c>
      <c r="G30" s="5" t="s">
        <v>100</v>
      </c>
      <c r="H30" s="30">
        <f>IF(AND(ISNUMBER(H28),ISNUMBER(F28)),(H28-F28)*10000,"n/a")</f>
        <v>-39.05146096816414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4" t="s">
        <v>158</v>
      </c>
      <c r="C31" s="2">
        <f>IF(AND(ISNUMBER(C19),ISNUMBER(C10)),C19-C10,"n/a")</f>
        <v>-4659</v>
      </c>
      <c r="D31" s="2">
        <f>IF(AND(ISNUMBER(D19),ISNUMBER(D10)),D19-D10,"n/a")</f>
        <v>11929</v>
      </c>
      <c r="E31" s="2">
        <f>IF(AND(ISNUMBER(E19),ISNUMBER(E10)),E19-E10,"n/a")</f>
        <v>-4403</v>
      </c>
      <c r="F31" s="2">
        <f>IF(AND(ISNUMBER(F19),ISNUMBER(F10)),F19-F10,"n/a")</f>
        <v>-676</v>
      </c>
      <c r="G31" s="2">
        <f>IF(AND(ISNUMBER(G19),ISNUMBER(G10)),G19-G10,"n/a")</f>
        <v>-3328</v>
      </c>
      <c r="H31" s="7">
        <f>IF(AND(ISNUMBER(H19),ISNUMBER(H10)),H19-H10,"n/a")</f>
        <v>0</v>
      </c>
      <c r="I31" s="1"/>
      <c r="J31" s="1"/>
      <c r="K31" s="2">
        <f>IF(AND(ISNUMBER(K19),ISNUMBER(K10)),K19-K10,"n/a")</f>
        <v>11775</v>
      </c>
      <c r="L31" s="2">
        <f>IF(AND(ISNUMBER(L19),ISNUMBER(L10)),L19-L10,"n/a")</f>
        <v>-5287</v>
      </c>
      <c r="M31" s="2">
        <f>IF(AND(ISNUMBER(M19),ISNUMBER(M10)),M19-M10,"n/a")</f>
        <v>-5311</v>
      </c>
      <c r="N31" s="2">
        <f>IF(AND(ISNUMBER(N19),ISNUMBER(N10)),N19-N10,"n/a")</f>
        <v>2607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8" t="s">
        <v>129</v>
      </c>
      <c r="C32" s="2" t="str">
        <f>IF(AND(ISNUMBER(C31),ISNUMBER(J31)),C31-J31,"n/a")</f>
        <v>n/a</v>
      </c>
      <c r="D32" s="2">
        <f>IF(AND(ISNUMBER(D31),ISNUMBER(K31)),D31-K31,"n/a")</f>
        <v>154</v>
      </c>
      <c r="E32" s="2">
        <f>IF(AND(ISNUMBER(E31),ISNUMBER(L31)),E31-L31,"n/a")</f>
        <v>884</v>
      </c>
      <c r="F32" s="2">
        <f>IF(AND(ISNUMBER(F31),ISNUMBER(M31)),F31-M31,"n/a")</f>
        <v>4635</v>
      </c>
      <c r="G32" s="2">
        <f>IF(AND(ISNUMBER(G31),ISNUMBER(N31)),G31-N31,"n/a")</f>
        <v>-5935</v>
      </c>
      <c r="H32" s="7">
        <f>IF(AND(ISNUMBER(H31),ISNUMBER(C31)),H31-C31,"n/a")</f>
        <v>4659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8" t="s">
        <v>101</v>
      </c>
      <c r="C33" s="2">
        <f>IF(AND(ISNUMBER(C31),ISNUMBER(M31)),C31-M31,"n/a")</f>
        <v>652</v>
      </c>
      <c r="D33" s="2">
        <f>IF(AND(ISNUMBER(D31),ISNUMBER(C31)),D31-C31,"n/a")</f>
        <v>16588</v>
      </c>
      <c r="E33" s="2">
        <f>IF(AND(ISNUMBER(E31),ISNUMBER(D31)),E31-D31,"n/a")</f>
        <v>-16332</v>
      </c>
      <c r="F33" s="2">
        <f>IF(AND(ISNUMBER(F31),ISNUMBER(E31)),F31-E31,"n/a")</f>
        <v>3727</v>
      </c>
      <c r="G33" s="2" t="s">
        <v>100</v>
      </c>
      <c r="H33" s="7">
        <f>IF(AND(ISNUMBER(H31),ISNUMBER(F31)),H31-F31,"n/a")</f>
        <v>676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3" t="s">
        <v>159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"/>
      <c r="T35" s="1"/>
      <c r="U35" s="1"/>
      <c r="V35" s="1"/>
      <c r="W35" s="1"/>
      <c r="X35" s="1"/>
      <c r="Y35" s="1"/>
      <c r="Z35" s="1"/>
    </row>
    <row r="36">
      <c r="A36" s="1"/>
      <c r="B36" s="4" t="s">
        <v>160</v>
      </c>
      <c r="C36" s="3">
        <v>5807</v>
      </c>
      <c r="D36" s="2">
        <f>G36-P36</f>
        <v>7104</v>
      </c>
      <c r="E36" s="3">
        <v>5505</v>
      </c>
      <c r="F36" s="3">
        <v>6608</v>
      </c>
      <c r="G36" s="3">
        <v>24617</v>
      </c>
      <c r="H36" s="7">
        <f>H10*H28*H40</f>
        <v>6318.06966</v>
      </c>
      <c r="I36" s="1"/>
      <c r="J36" s="3">
        <v>5550</v>
      </c>
      <c r="K36" s="2">
        <f>N36-O36</f>
        <v>6485</v>
      </c>
      <c r="L36" s="3">
        <v>5746</v>
      </c>
      <c r="M36" s="3">
        <v>5960</v>
      </c>
      <c r="N36" s="3">
        <v>23598</v>
      </c>
      <c r="O36" s="3">
        <v>17113</v>
      </c>
      <c r="P36" s="3">
        <v>17513</v>
      </c>
      <c r="Q36" s="1"/>
      <c r="R36" s="9" t="s">
        <v>161</v>
      </c>
      <c r="S36" s="1"/>
      <c r="T36" s="1"/>
      <c r="U36" s="1"/>
      <c r="V36" s="1"/>
      <c r="W36" s="1"/>
      <c r="X36" s="1"/>
      <c r="Y36" s="1"/>
      <c r="Z36" s="1"/>
    </row>
    <row r="37">
      <c r="A37" s="1"/>
      <c r="B37" s="20" t="s">
        <v>98</v>
      </c>
      <c r="C37" s="18">
        <f>IF(AND(ISNUMBER(C36),ISNUMBER(J36)),IF(OR(J36&gt;0,AND(J36&lt;0,C36&lt;0)),C36/J36-1,"n/m"),"n/a")</f>
        <v>0.04630630630630628</v>
      </c>
      <c r="D37" s="18">
        <f>IF(AND(ISNUMBER(D36),ISNUMBER(K36)),IF(OR(K36&gt;0,AND(K36&lt;0,D36&lt;0)),D36/K36-1,"n/m"),"n/a")</f>
        <v>0.09545104086353118</v>
      </c>
      <c r="E37" s="18">
        <f>IF(AND(ISNUMBER(E36),ISNUMBER(L36)),IF(OR(L36&gt;0,AND(L36&lt;0,E36&lt;0)),E36/L36-1,"n/m"),"n/a")</f>
        <v>-0.04194222067525233</v>
      </c>
      <c r="F37" s="18">
        <f>IF(AND(ISNUMBER(F36),ISNUMBER(M36)),IF(OR(M36&gt;0,AND(M36&lt;0,F36&lt;0)),F36/M36-1,"n/m"),"n/a")</f>
        <v>0.10872483221476514</v>
      </c>
      <c r="G37" s="18">
        <f>IF(AND(ISNUMBER(G36),ISNUMBER(N36)),IF(OR(N36&gt;0,AND(N36&lt;0,G36&lt;0)),G36/N36-1,"n/m"),"n/a")</f>
        <v>0.0431816255614883</v>
      </c>
      <c r="H37" s="21">
        <f>IF(AND(ISNUMBER(H36),ISNUMBER(C36)),IF(OR(C36&gt;0,AND(C36&lt;0,H36&lt;0)),H36/C36-1,"n/m"),"n/a")</f>
        <v>0.08800924057172388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0" t="s">
        <v>99</v>
      </c>
      <c r="C38" s="18">
        <f>IF(AND(ISNUMBER(C36),ISNUMBER(M36)),IF(OR(M36&gt;0,AND(M36&lt;0,C36&lt;0)),C36/M36-1,"n/m"),"n/a")</f>
        <v>-0.025671140939597326</v>
      </c>
      <c r="D38" s="18">
        <f>IF(AND(ISNUMBER(D36),ISNUMBER(C36)),IF(OR(C36&gt;0,AND(C36&lt;0,D36&lt;0)),D36/C36-1,"n/m"),"n/a")</f>
        <v>0.223351127949027</v>
      </c>
      <c r="E38" s="18">
        <f>IF(AND(ISNUMBER(E36),ISNUMBER(D36)),IF(OR(D36&gt;0,AND(D36&lt;0,E36&lt;0)),E36/D36-1,"n/m"),"n/a")</f>
        <v>-0.22508445945945943</v>
      </c>
      <c r="F38" s="18">
        <f>IF(AND(ISNUMBER(F36),ISNUMBER(E36)),IF(OR(E36&gt;0,AND(E36&lt;0,F36&lt;0)),F36/E36-1,"n/m"),"n/a")</f>
        <v>0.2003633060853769</v>
      </c>
      <c r="G38" s="18" t="s">
        <v>100</v>
      </c>
      <c r="H38" s="21">
        <f>IF(AND(ISNUMBER(H36),ISNUMBER(F36)),IF(OR(F36&gt;0,AND(F36&lt;0,H36&lt;0)),H36/F36-1,"n/m"),"n/a")</f>
        <v>-0.04387565677966099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8" t="s">
        <v>101</v>
      </c>
      <c r="C39" s="2">
        <f>IF(AND(ISNUMBER(C36),ISNUMBER(M36)),C36-M36,"n/a")</f>
        <v>-153</v>
      </c>
      <c r="D39" s="2">
        <f>IF(AND(ISNUMBER(D36),ISNUMBER(C36)),D36-C36,"n/a")</f>
        <v>1297</v>
      </c>
      <c r="E39" s="2">
        <f>IF(AND(ISNUMBER(E36),ISNUMBER(D36)),E36-D36,"n/a")</f>
        <v>-1599</v>
      </c>
      <c r="F39" s="2">
        <f>IF(AND(ISNUMBER(F36),ISNUMBER(E36)),F36-E36,"n/a")</f>
        <v>1103</v>
      </c>
      <c r="G39" s="2" t="s">
        <v>100</v>
      </c>
      <c r="H39" s="7">
        <f>IF(AND(ISNUMBER(H36),ISNUMBER(F36)),H36-F36,"n/a")</f>
        <v>-289.9303399999999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20" t="s">
        <v>162</v>
      </c>
      <c r="C40" s="18">
        <f>IF(AND(ISNUMBER(C36),ISNUMBER(C56)),C36/C56,"n/a")</f>
        <v>0.800303197353914</v>
      </c>
      <c r="D40" s="18">
        <f>IF(AND(ISNUMBER(D36),ISNUMBER(D56)),D36/D56,"n/a")</f>
        <v>0.8334115438761145</v>
      </c>
      <c r="E40" s="18">
        <f>IF(AND(ISNUMBER(E36),ISNUMBER(E56)),E36/E56,"n/a")</f>
        <v>0.7917445706889112</v>
      </c>
      <c r="F40" s="18">
        <f>IF(AND(ISNUMBER(F36),ISNUMBER(F56)),F36/F56,"n/a")</f>
        <v>0.814595660749507</v>
      </c>
      <c r="G40" s="18">
        <f>IF(AND(ISNUMBER(G36),ISNUMBER(G56)),G36/G56,"n/a")</f>
        <v>0.8135968536206498</v>
      </c>
      <c r="H40" s="32">
        <v>0.81</v>
      </c>
      <c r="I40" s="1"/>
      <c r="J40" s="18">
        <f>IF(AND(ISNUMBER(J36),ISNUMBER(J56)),J36/J56,"n/a")</f>
        <v>0.8555572683829197</v>
      </c>
      <c r="K40" s="18">
        <f>IF(AND(ISNUMBER(K36),ISNUMBER(K56)),K36/K56,"n/a")</f>
        <v>0.8097140716693719</v>
      </c>
      <c r="L40" s="18">
        <f>IF(AND(ISNUMBER(L36),ISNUMBER(L56)),L36/L56,"n/a")</f>
        <v>0.8142270086438996</v>
      </c>
      <c r="M40" s="18">
        <f>IF(AND(ISNUMBER(M36),ISNUMBER(M56)),M36/M56,"n/a")</f>
        <v>0.8032345013477089</v>
      </c>
      <c r="N40" s="18">
        <f>IF(AND(ISNUMBER(N36),ISNUMBER(N56)),N36/N56,"n/a")</f>
        <v>0.824585924942344</v>
      </c>
      <c r="O40" s="18">
        <f>IF(AND(ISNUMBER(O36),ISNUMBER(O56)),O36/O56,"n/a")</f>
        <v>0.8303653743510117</v>
      </c>
      <c r="P40" s="18">
        <f>IF(AND(ISNUMBER(P36),ISNUMBER(P56)),P36/P56,"n/a")</f>
        <v>0.8058252427184466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37" t="s">
        <v>103</v>
      </c>
      <c r="C41" s="5">
        <f>IF(AND(ISNUMBER(C40),ISNUMBER(J40)),(C40-J40)*10000,"n/a")</f>
        <v>-552.5407102900571</v>
      </c>
      <c r="D41" s="5">
        <f>IF(AND(ISNUMBER(D40),ISNUMBER(K40)),(D40-K40)*10000,"n/a")</f>
        <v>236.97472206742566</v>
      </c>
      <c r="E41" s="5">
        <f>IF(AND(ISNUMBER(E40),ISNUMBER(L40)),(E40-L40)*10000,"n/a")</f>
        <v>-224.82437954988387</v>
      </c>
      <c r="F41" s="5">
        <f>IF(AND(ISNUMBER(F40),ISNUMBER(M40)),(F40-M40)*10000,"n/a")</f>
        <v>113.6115940179805</v>
      </c>
      <c r="G41" s="5">
        <f>IF(AND(ISNUMBER(G40),ISNUMBER(N40)),(G40-N40)*10000,"n/a")</f>
        <v>-109.89071321694132</v>
      </c>
      <c r="H41" s="30">
        <f>IF(AND(ISNUMBER(H40),ISNUMBER(C40)),(H40-C40)*10000,"n/a")</f>
        <v>96.96802646086078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37" t="s">
        <v>104</v>
      </c>
      <c r="C42" s="5">
        <f>IF(AND(ISNUMBER(C40),ISNUMBER(M40)),(C40-M40)*10000,"n/a")</f>
        <v>-29.313039937949313</v>
      </c>
      <c r="D42" s="5">
        <f>IF(AND(ISNUMBER(D40),ISNUMBER(C40)),(D40-C40)*10000,"n/a")</f>
        <v>331.08346522200515</v>
      </c>
      <c r="E42" s="5">
        <f>IF(AND(ISNUMBER(E40),ISNUMBER(D40)),(E40-D40)*10000,"n/a")</f>
        <v>-416.6697318720325</v>
      </c>
      <c r="F42" s="5">
        <f>IF(AND(ISNUMBER(F40),ISNUMBER(E40)),(F40-E40)*10000,"n/a")</f>
        <v>228.51090060595715</v>
      </c>
      <c r="G42" s="5" t="s">
        <v>100</v>
      </c>
      <c r="H42" s="30">
        <f>IF(AND(ISNUMBER(H40),ISNUMBER(F40)),(H40-F40)*10000,"n/a")</f>
        <v>-45.95660749506902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20" t="s">
        <v>105</v>
      </c>
      <c r="C43" s="18" t="s">
        <v>106</v>
      </c>
      <c r="D43" s="18" t="s">
        <v>106</v>
      </c>
      <c r="E43" s="18" t="s">
        <v>106</v>
      </c>
      <c r="F43" s="18" t="s">
        <v>106</v>
      </c>
      <c r="G43" s="18" t="s">
        <v>106</v>
      </c>
      <c r="H43" s="21" t="s">
        <v>106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0" t="s">
        <v>107</v>
      </c>
      <c r="C44" s="18" t="s">
        <v>106</v>
      </c>
      <c r="D44" s="18" t="s">
        <v>106</v>
      </c>
      <c r="E44" s="18" t="s">
        <v>106</v>
      </c>
      <c r="F44" s="18" t="s">
        <v>106</v>
      </c>
      <c r="G44" s="18" t="s">
        <v>106</v>
      </c>
      <c r="H44" s="21" t="s">
        <v>106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0" t="s">
        <v>108</v>
      </c>
      <c r="C45" s="18" t="str">
        <f>IF(AND(ISNUMBER(C37),ISNUMBER(C43),ISNUMBER(C44)),(1+C37)/((1+C43)*(1+C44))-1,"n/a")</f>
        <v>n/a</v>
      </c>
      <c r="D45" s="18" t="str">
        <f>IF(AND(ISNUMBER(D37),ISNUMBER(D43),ISNUMBER(D44)),(1+D37)/((1+D43)*(1+D44))-1,"n/a")</f>
        <v>n/a</v>
      </c>
      <c r="E45" s="18" t="str">
        <f>IF(AND(ISNUMBER(E37),ISNUMBER(E43),ISNUMBER(E44)),(1+E37)/((1+E43)*(1+E44))-1,"n/a")</f>
        <v>n/a</v>
      </c>
      <c r="F45" s="18" t="str">
        <f>IF(AND(ISNUMBER(F37),ISNUMBER(F43),ISNUMBER(F44)),(1+F37)/((1+F43)*(1+F44))-1,"n/a")</f>
        <v>n/a</v>
      </c>
      <c r="G45" s="18" t="str">
        <f>IF(AND(ISNUMBER(G37),ISNUMBER(G43),ISNUMBER(G44)),(1+G37)/((1+G43)*(1+G44))-1,"n/a")</f>
        <v>n/a</v>
      </c>
      <c r="H45" s="21" t="str">
        <f>IF(AND(ISNUMBER(H37),ISNUMBER(H43),ISNUMBER(H44)),(1+H37)/((1+H43)*(1+H44))-1,"n/a")</f>
        <v>n/a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" t="s">
        <v>163</v>
      </c>
      <c r="C46" s="3">
        <v>1449</v>
      </c>
      <c r="D46" s="2">
        <f>G46-P46</f>
        <v>1420</v>
      </c>
      <c r="E46" s="3">
        <v>1448</v>
      </c>
      <c r="F46" s="3">
        <v>1504</v>
      </c>
      <c r="G46" s="3">
        <v>5640</v>
      </c>
      <c r="H46" s="7">
        <f>H10*H28-H36</f>
        <v>1482.0163399999992</v>
      </c>
      <c r="I46" s="1"/>
      <c r="J46" s="3">
        <v>937</v>
      </c>
      <c r="K46" s="2">
        <f>N46-O46</f>
        <v>1524</v>
      </c>
      <c r="L46" s="3">
        <v>1311</v>
      </c>
      <c r="M46" s="3">
        <v>1460</v>
      </c>
      <c r="N46" s="3">
        <v>5020</v>
      </c>
      <c r="O46" s="3">
        <v>3496</v>
      </c>
      <c r="P46" s="3">
        <v>4220</v>
      </c>
      <c r="Q46" s="1"/>
      <c r="R46" s="9" t="s">
        <v>161</v>
      </c>
      <c r="S46" s="1"/>
      <c r="T46" s="1"/>
      <c r="U46" s="1"/>
      <c r="V46" s="1"/>
      <c r="W46" s="1"/>
      <c r="X46" s="1"/>
      <c r="Y46" s="1"/>
      <c r="Z46" s="1"/>
    </row>
    <row r="47">
      <c r="A47" s="1"/>
      <c r="B47" s="20" t="s">
        <v>98</v>
      </c>
      <c r="C47" s="18">
        <f>IF(AND(ISNUMBER(C46),ISNUMBER(J46)),IF(OR(J46&gt;0,AND(J46&lt;0,C46&lt;0)),C46/J46-1,"n/m"),"n/a")</f>
        <v>0.5464247598719316</v>
      </c>
      <c r="D47" s="18">
        <f>IF(AND(ISNUMBER(D46),ISNUMBER(K46)),IF(OR(K46&gt;0,AND(K46&lt;0,D46&lt;0)),D46/K46-1,"n/m"),"n/a")</f>
        <v>-0.06824146981627299</v>
      </c>
      <c r="E47" s="18">
        <f>IF(AND(ISNUMBER(E46),ISNUMBER(L46)),IF(OR(L46&gt;0,AND(L46&lt;0,E46&lt;0)),E46/L46-1,"n/m"),"n/a")</f>
        <v>0.10450038138825324</v>
      </c>
      <c r="F47" s="18">
        <f>IF(AND(ISNUMBER(F46),ISNUMBER(M46)),IF(OR(M46&gt;0,AND(M46&lt;0,F46&lt;0)),F46/M46-1,"n/m"),"n/a")</f>
        <v>0.03013698630136985</v>
      </c>
      <c r="G47" s="18">
        <f>IF(AND(ISNUMBER(G46),ISNUMBER(N46)),IF(OR(N46&gt;0,AND(N46&lt;0,G46&lt;0)),G46/N46-1,"n/m"),"n/a")</f>
        <v>0.12350597609561742</v>
      </c>
      <c r="H47" s="21">
        <f>IF(AND(ISNUMBER(H46),ISNUMBER(C46)),IF(OR(C46&gt;0,AND(C46&lt;0,H46&lt;0)),H46/C46-1,"n/m"),"n/a")</f>
        <v>0.022785603864733828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0" t="s">
        <v>99</v>
      </c>
      <c r="C48" s="18">
        <f>IF(AND(ISNUMBER(C46),ISNUMBER(M46)),IF(OR(M46&gt;0,AND(M46&lt;0,C46&lt;0)),C46/M46-1,"n/m"),"n/a")</f>
        <v>-0.007534246575342518</v>
      </c>
      <c r="D48" s="18">
        <f>IF(AND(ISNUMBER(D46),ISNUMBER(C46)),IF(OR(C46&gt;0,AND(C46&lt;0,D46&lt;0)),D46/C46-1,"n/m"),"n/a")</f>
        <v>-0.0200138026224983</v>
      </c>
      <c r="E48" s="18">
        <f>IF(AND(ISNUMBER(E46),ISNUMBER(D46)),IF(OR(D46&gt;0,AND(D46&lt;0,E46&lt;0)),E46/D46-1,"n/m"),"n/a")</f>
        <v>0.019718309859154903</v>
      </c>
      <c r="F48" s="18">
        <f>IF(AND(ISNUMBER(F46),ISNUMBER(E46)),IF(OR(E46&gt;0,AND(E46&lt;0,F46&lt;0)),F46/E46-1,"n/m"),"n/a")</f>
        <v>0.03867403314917128</v>
      </c>
      <c r="G48" s="18" t="s">
        <v>100</v>
      </c>
      <c r="H48" s="21">
        <f>IF(AND(ISNUMBER(H46),ISNUMBER(F46)),IF(OR(F46&gt;0,AND(F46&lt;0,H46&lt;0)),H46/F46-1,"n/m"),"n/a")</f>
        <v>-0.014616795212766487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8" t="s">
        <v>101</v>
      </c>
      <c r="C49" s="2">
        <f>IF(AND(ISNUMBER(C46),ISNUMBER(M46)),C46-M46,"n/a")</f>
        <v>-11</v>
      </c>
      <c r="D49" s="2">
        <f>IF(AND(ISNUMBER(D46),ISNUMBER(C46)),D46-C46,"n/a")</f>
        <v>-29</v>
      </c>
      <c r="E49" s="2">
        <f>IF(AND(ISNUMBER(E46),ISNUMBER(D46)),E46-D46,"n/a")</f>
        <v>28</v>
      </c>
      <c r="F49" s="2">
        <f>IF(AND(ISNUMBER(F46),ISNUMBER(E46)),F46-E46,"n/a")</f>
        <v>56</v>
      </c>
      <c r="G49" s="2" t="s">
        <v>100</v>
      </c>
      <c r="H49" s="7">
        <f>IF(AND(ISNUMBER(H46),ISNUMBER(F46)),H46-F46,"n/a")</f>
        <v>-21.983660000000782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20" t="s">
        <v>164</v>
      </c>
      <c r="C50" s="18">
        <f>IF(AND(ISNUMBER(C46),ISNUMBER(C56)),C46/C56,"n/a")</f>
        <v>0.199696802646086</v>
      </c>
      <c r="D50" s="18">
        <f>IF(AND(ISNUMBER(D46),ISNUMBER(D56)),D46/D56,"n/a")</f>
        <v>0.1665884561238855</v>
      </c>
      <c r="E50" s="18">
        <f>IF(AND(ISNUMBER(E46),ISNUMBER(E56)),E46/E56,"n/a")</f>
        <v>0.20825542931108873</v>
      </c>
      <c r="F50" s="18">
        <f>IF(AND(ISNUMBER(F46),ISNUMBER(F56)),F46/F56,"n/a")</f>
        <v>0.1854043392504931</v>
      </c>
      <c r="G50" s="18">
        <f>IF(AND(ISNUMBER(G46),ISNUMBER(G56)),G46/G56,"n/a")</f>
        <v>0.18640314637935024</v>
      </c>
      <c r="H50" s="21">
        <f>IF(AND(ISNUMBER(H46),ISNUMBER(H56)),H46/H56,"n/a")</f>
        <v>0.18999999999999992</v>
      </c>
      <c r="I50" s="1"/>
      <c r="J50" s="18">
        <f>IF(AND(ISNUMBER(J46),ISNUMBER(J56)),J46/J56,"n/a")</f>
        <v>0.14444273161708032</v>
      </c>
      <c r="K50" s="18">
        <f>IF(AND(ISNUMBER(K46),ISNUMBER(K56)),K46/K56,"n/a")</f>
        <v>0.19028592833062805</v>
      </c>
      <c r="L50" s="18">
        <f>IF(AND(ISNUMBER(L46),ISNUMBER(L56)),L46/L56,"n/a")</f>
        <v>0.18577299135610031</v>
      </c>
      <c r="M50" s="18">
        <f>IF(AND(ISNUMBER(M46),ISNUMBER(M56)),M46/M56,"n/a")</f>
        <v>0.1967654986522911</v>
      </c>
      <c r="N50" s="18">
        <f>IF(AND(ISNUMBER(N46),ISNUMBER(N56)),N46/N56,"n/a")</f>
        <v>0.17541407505765602</v>
      </c>
      <c r="O50" s="18">
        <f>IF(AND(ISNUMBER(O46),ISNUMBER(O56)),O46/O56,"n/a")</f>
        <v>0.16963462564898832</v>
      </c>
      <c r="P50" s="18">
        <f>IF(AND(ISNUMBER(P46),ISNUMBER(P56)),P46/P56,"n/a")</f>
        <v>0.1941747572815534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37" t="s">
        <v>103</v>
      </c>
      <c r="C51" s="5">
        <f>IF(AND(ISNUMBER(C50),ISNUMBER(J50)),(C50-J50)*10000,"n/a")</f>
        <v>552.5407102900567</v>
      </c>
      <c r="D51" s="5">
        <f>IF(AND(ISNUMBER(D50),ISNUMBER(K50)),(D50-K50)*10000,"n/a")</f>
        <v>-236.97472206742538</v>
      </c>
      <c r="E51" s="5">
        <f>IF(AND(ISNUMBER(E50),ISNUMBER(L50)),(E50-L50)*10000,"n/a")</f>
        <v>224.82437954988416</v>
      </c>
      <c r="F51" s="5">
        <f>IF(AND(ISNUMBER(F50),ISNUMBER(M50)),(F50-M50)*10000,"n/a")</f>
        <v>-113.61159401797994</v>
      </c>
      <c r="G51" s="5">
        <f>IF(AND(ISNUMBER(G50),ISNUMBER(N50)),(G50-N50)*10000,"n/a")</f>
        <v>109.89071321694216</v>
      </c>
      <c r="H51" s="30">
        <f>IF(AND(ISNUMBER(H50),ISNUMBER(C50)),(H50-C50)*10000,"n/a")</f>
        <v>-96.96802646086078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37" t="s">
        <v>104</v>
      </c>
      <c r="C52" s="5">
        <f>IF(AND(ISNUMBER(C50),ISNUMBER(M50)),(C50-M50)*10000,"n/a")</f>
        <v>29.313039937949036</v>
      </c>
      <c r="D52" s="5">
        <f>IF(AND(ISNUMBER(D50),ISNUMBER(C50)),(D50-C50)*10000,"n/a")</f>
        <v>-331.08346522200486</v>
      </c>
      <c r="E52" s="5">
        <f>IF(AND(ISNUMBER(E50),ISNUMBER(D50)),(E50-D50)*10000,"n/a")</f>
        <v>416.66973187203223</v>
      </c>
      <c r="F52" s="5">
        <f>IF(AND(ISNUMBER(F50),ISNUMBER(E50)),(F50-E50)*10000,"n/a")</f>
        <v>-228.5109006059563</v>
      </c>
      <c r="G52" s="5" t="s">
        <v>100</v>
      </c>
      <c r="H52" s="30">
        <f>IF(AND(ISNUMBER(H50),ISNUMBER(F50)),(H50-F50)*10000,"n/a")</f>
        <v>45.95660749506819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20" t="s">
        <v>105</v>
      </c>
      <c r="C53" s="18" t="s">
        <v>106</v>
      </c>
      <c r="D53" s="18" t="s">
        <v>106</v>
      </c>
      <c r="E53" s="18" t="s">
        <v>106</v>
      </c>
      <c r="F53" s="18" t="s">
        <v>106</v>
      </c>
      <c r="G53" s="18" t="s">
        <v>106</v>
      </c>
      <c r="H53" s="21" t="s">
        <v>106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0" t="s">
        <v>107</v>
      </c>
      <c r="C54" s="18" t="s">
        <v>106</v>
      </c>
      <c r="D54" s="18" t="s">
        <v>106</v>
      </c>
      <c r="E54" s="18" t="s">
        <v>106</v>
      </c>
      <c r="F54" s="18" t="s">
        <v>106</v>
      </c>
      <c r="G54" s="18" t="s">
        <v>106</v>
      </c>
      <c r="H54" s="21" t="s">
        <v>106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0" t="s">
        <v>108</v>
      </c>
      <c r="C55" s="18" t="str">
        <f>IF(AND(ISNUMBER(C47),ISNUMBER(C53),ISNUMBER(C54)),(1+C47)/((1+C53)*(1+C54))-1,"n/a")</f>
        <v>n/a</v>
      </c>
      <c r="D55" s="18" t="str">
        <f>IF(AND(ISNUMBER(D47),ISNUMBER(D53),ISNUMBER(D54)),(1+D47)/((1+D53)*(1+D54))-1,"n/a")</f>
        <v>n/a</v>
      </c>
      <c r="E55" s="18" t="str">
        <f>IF(AND(ISNUMBER(E47),ISNUMBER(E53),ISNUMBER(E54)),(1+E47)/((1+E53)*(1+E54))-1,"n/a")</f>
        <v>n/a</v>
      </c>
      <c r="F55" s="18" t="str">
        <f>IF(AND(ISNUMBER(F47),ISNUMBER(F53),ISNUMBER(F54)),(1+F47)/((1+F53)*(1+F54))-1,"n/a")</f>
        <v>n/a</v>
      </c>
      <c r="G55" s="18" t="str">
        <f>IF(AND(ISNUMBER(G47),ISNUMBER(G53),ISNUMBER(G54)),(1+G47)/((1+G53)*(1+G54))-1,"n/a")</f>
        <v>n/a</v>
      </c>
      <c r="H55" s="21" t="str">
        <f>IF(AND(ISNUMBER(H47),ISNUMBER(H53),ISNUMBER(H54)),(1+H47)/((1+H53)*(1+H54))-1,"n/a")</f>
        <v>n/a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46" t="s">
        <v>165</v>
      </c>
      <c r="C56" s="14">
        <f>C36+C46</f>
        <v>7256</v>
      </c>
      <c r="D56" s="14">
        <f>D36+D46</f>
        <v>8524</v>
      </c>
      <c r="E56" s="14">
        <f>E36+E46</f>
        <v>6953</v>
      </c>
      <c r="F56" s="14">
        <f>F36+F46</f>
        <v>8112</v>
      </c>
      <c r="G56" s="14">
        <f>G36+G46</f>
        <v>30257</v>
      </c>
      <c r="H56" s="48">
        <f>H36+H46</f>
        <v>7800.085999999999</v>
      </c>
      <c r="I56" s="1"/>
      <c r="J56" s="14">
        <f>J36+J46</f>
        <v>6487</v>
      </c>
      <c r="K56" s="14">
        <f>K36+K46</f>
        <v>8009</v>
      </c>
      <c r="L56" s="14">
        <f>L36+L46</f>
        <v>7057</v>
      </c>
      <c r="M56" s="14">
        <f>M36+M46</f>
        <v>7420</v>
      </c>
      <c r="N56" s="14">
        <f>N36+N46</f>
        <v>28618</v>
      </c>
      <c r="O56" s="14">
        <f>O36+O46</f>
        <v>20609</v>
      </c>
      <c r="P56" s="14">
        <f>P36+P46</f>
        <v>21733</v>
      </c>
      <c r="Q56" s="1"/>
      <c r="R56" s="9" t="s">
        <v>166</v>
      </c>
      <c r="S56" s="1"/>
      <c r="T56" s="1"/>
      <c r="U56" s="1"/>
      <c r="V56" s="1"/>
      <c r="W56" s="1"/>
      <c r="X56" s="1"/>
      <c r="Y56" s="1"/>
      <c r="Z56" s="1"/>
    </row>
    <row r="57">
      <c r="A57" s="1"/>
      <c r="B57" s="25" t="s">
        <v>98</v>
      </c>
      <c r="C57" s="18">
        <f>IF(AND(ISNUMBER(C56),ISNUMBER(J56)),IF(OR(J56&gt;0,AND(J56&lt;0,C56&lt;0)),C56/J56-1,"n/m"),"n/a")</f>
        <v>0.11854478187143513</v>
      </c>
      <c r="D57" s="18">
        <f>IF(AND(ISNUMBER(D56),ISNUMBER(K56)),IF(OR(K56&gt;0,AND(K56&lt;0,D56&lt;0)),D56/K56-1,"n/m"),"n/a")</f>
        <v>0.06430265950805336</v>
      </c>
      <c r="E57" s="18">
        <f>IF(AND(ISNUMBER(E56),ISNUMBER(L56)),IF(OR(L56&gt;0,AND(L56&lt;0,E56&lt;0)),E56/L56-1,"n/m"),"n/a")</f>
        <v>-0.01473714042794394</v>
      </c>
      <c r="F57" s="18">
        <f>IF(AND(ISNUMBER(F56),ISNUMBER(M56)),IF(OR(M56&gt;0,AND(M56&lt;0,F56&lt;0)),F56/M56-1,"n/m"),"n/a")</f>
        <v>0.09326145552560638</v>
      </c>
      <c r="G57" s="18">
        <f>IF(AND(ISNUMBER(G56),ISNUMBER(N56)),IF(OR(N56&gt;0,AND(N56&lt;0,G56&lt;0)),G56/N56-1,"n/m"),"n/a")</f>
        <v>0.05727164721503941</v>
      </c>
      <c r="H57" s="21">
        <f>IF(AND(ISNUMBER(H56),ISNUMBER(C56)),IF(OR(C56&gt;0,AND(C56&lt;0,H56&lt;0)),H56/C56-1,"n/m"),"n/a")</f>
        <v>0.0749842888643879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25" t="s">
        <v>99</v>
      </c>
      <c r="C58" s="18">
        <f>IF(AND(ISNUMBER(C56),ISNUMBER(M56)),IF(OR(M56&gt;0,AND(M56&lt;0,C56&lt;0)),C56/M56-1,"n/m"),"n/a")</f>
        <v>-0.022102425876010745</v>
      </c>
      <c r="D58" s="18">
        <f>IF(AND(ISNUMBER(D56),ISNUMBER(C56)),IF(OR(C56&gt;0,AND(C56&lt;0,D56&lt;0)),D56/C56-1,"n/m"),"n/a")</f>
        <v>0.17475192943770668</v>
      </c>
      <c r="E58" s="18">
        <f>IF(AND(ISNUMBER(E56),ISNUMBER(D56)),IF(OR(D56&gt;0,AND(D56&lt;0,E56&lt;0)),E56/D56-1,"n/m"),"n/a")</f>
        <v>-0.18430314406381976</v>
      </c>
      <c r="F58" s="18">
        <f>IF(AND(ISNUMBER(F56),ISNUMBER(E56)),IF(OR(E56&gt;0,AND(E56&lt;0,F56&lt;0)),F56/E56-1,"n/m"),"n/a")</f>
        <v>0.1666906371350496</v>
      </c>
      <c r="G58" s="18" t="s">
        <v>100</v>
      </c>
      <c r="H58" s="21">
        <f>IF(AND(ISNUMBER(H56),ISNUMBER(F56)),IF(OR(F56&gt;0,AND(F56&lt;0,H56&lt;0)),H56/F56-1,"n/m"),"n/a")</f>
        <v>-0.03845093688362933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4" t="s">
        <v>101</v>
      </c>
      <c r="C59" s="2">
        <f>IF(AND(ISNUMBER(C56),ISNUMBER(M56)),C56-M56,"n/a")</f>
        <v>-164</v>
      </c>
      <c r="D59" s="2">
        <f>IF(AND(ISNUMBER(D56),ISNUMBER(C56)),D56-C56,"n/a")</f>
        <v>1268</v>
      </c>
      <c r="E59" s="2">
        <f>IF(AND(ISNUMBER(E56),ISNUMBER(D56)),E56-D56,"n/a")</f>
        <v>-1571</v>
      </c>
      <c r="F59" s="2">
        <f>IF(AND(ISNUMBER(F56),ISNUMBER(E56)),F56-E56,"n/a")</f>
        <v>1159</v>
      </c>
      <c r="G59" s="2" t="s">
        <v>100</v>
      </c>
      <c r="H59" s="7">
        <f>IF(AND(ISNUMBER(H56),ISNUMBER(F56)),H56-F56,"n/a")</f>
        <v>-311.91400000000067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25" t="s">
        <v>105</v>
      </c>
      <c r="C60" s="18" t="s">
        <v>106</v>
      </c>
      <c r="D60" s="18" t="s">
        <v>106</v>
      </c>
      <c r="E60" s="18" t="s">
        <v>106</v>
      </c>
      <c r="F60" s="18" t="s">
        <v>106</v>
      </c>
      <c r="G60" s="18" t="s">
        <v>106</v>
      </c>
      <c r="H60" s="21" t="s">
        <v>106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107</v>
      </c>
      <c r="C61" s="18" t="s">
        <v>106</v>
      </c>
      <c r="D61" s="18" t="s">
        <v>106</v>
      </c>
      <c r="E61" s="18" t="s">
        <v>106</v>
      </c>
      <c r="F61" s="18" t="s">
        <v>106</v>
      </c>
      <c r="G61" s="18" t="s">
        <v>106</v>
      </c>
      <c r="H61" s="21" t="s">
        <v>106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5" t="s">
        <v>108</v>
      </c>
      <c r="C62" s="18" t="str">
        <f>IF(AND(ISNUMBER(C57),ISNUMBER(C60),ISNUMBER(C61)),(1+C57)/((1+C60)*(1+C61))-1,"n/a")</f>
        <v>n/a</v>
      </c>
      <c r="D62" s="18" t="str">
        <f>IF(AND(ISNUMBER(D57),ISNUMBER(D60),ISNUMBER(D61)),(1+D57)/((1+D60)*(1+D61))-1,"n/a")</f>
        <v>n/a</v>
      </c>
      <c r="E62" s="18" t="str">
        <f>IF(AND(ISNUMBER(E57),ISNUMBER(E60),ISNUMBER(E61)),(1+E57)/((1+E60)*(1+E61))-1,"n/a")</f>
        <v>n/a</v>
      </c>
      <c r="F62" s="18" t="str">
        <f>IF(AND(ISNUMBER(F57),ISNUMBER(F60),ISNUMBER(F61)),(1+F57)/((1+F60)*(1+F61))-1,"n/a")</f>
        <v>n/a</v>
      </c>
      <c r="G62" s="18" t="str">
        <f>IF(AND(ISNUMBER(G57),ISNUMBER(G60),ISNUMBER(G61)),(1+G57)/((1+G60)*(1+G61))-1,"n/a")</f>
        <v>n/a</v>
      </c>
      <c r="H62" s="21" t="str">
        <f>IF(AND(ISNUMBER(H57),ISNUMBER(H60),ISNUMBER(H61)),(1+H57)/((1+H60)*(1+H61))-1,"n/a")</f>
        <v>n/a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3" t="s">
        <v>167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  <c r="T64" s="1"/>
      <c r="U64" s="1"/>
      <c r="V64" s="1"/>
      <c r="W64" s="1"/>
      <c r="X64" s="1"/>
      <c r="Y64" s="1"/>
      <c r="Z64" s="1"/>
    </row>
    <row r="65">
      <c r="A65" s="1"/>
      <c r="B65" s="4" t="s">
        <v>168</v>
      </c>
      <c r="C65" s="3">
        <v>4758</v>
      </c>
      <c r="D65" s="2">
        <f>G65-P65</f>
        <v>6010</v>
      </c>
      <c r="E65" s="3">
        <v>4497</v>
      </c>
      <c r="F65" s="3">
        <v>5528</v>
      </c>
      <c r="G65" s="3">
        <v>20393</v>
      </c>
      <c r="H65" s="7">
        <f>H56*H69</f>
        <v>5241.657792</v>
      </c>
      <c r="I65" s="1"/>
      <c r="J65" s="3">
        <v>4276</v>
      </c>
      <c r="K65" s="2">
        <f>N65-O65</f>
        <v>5798</v>
      </c>
      <c r="L65" s="3">
        <v>4713</v>
      </c>
      <c r="M65" s="3">
        <v>4912</v>
      </c>
      <c r="N65" s="3">
        <v>19603</v>
      </c>
      <c r="O65" s="3">
        <v>13805</v>
      </c>
      <c r="P65" s="3">
        <v>14383</v>
      </c>
      <c r="Q65" s="1"/>
      <c r="R65" s="9" t="s">
        <v>161</v>
      </c>
      <c r="S65" s="1"/>
      <c r="T65" s="1"/>
      <c r="U65" s="1"/>
      <c r="V65" s="1"/>
      <c r="W65" s="1"/>
      <c r="X65" s="1"/>
      <c r="Y65" s="1"/>
      <c r="Z65" s="1"/>
    </row>
    <row r="66">
      <c r="A66" s="1"/>
      <c r="B66" s="20" t="s">
        <v>98</v>
      </c>
      <c r="C66" s="18">
        <f>IF(AND(ISNUMBER(C65),ISNUMBER(J65)),IF(OR(J65&gt;0,AND(J65&lt;0,C65&lt;0)),C65/J65-1,"n/m"),"n/a")</f>
        <v>0.11272217025257247</v>
      </c>
      <c r="D66" s="18">
        <f>IF(AND(ISNUMBER(D65),ISNUMBER(K65)),IF(OR(K65&gt;0,AND(K65&lt;0,D65&lt;0)),D65/K65-1,"n/m"),"n/a")</f>
        <v>0.03656433252845814</v>
      </c>
      <c r="E66" s="18">
        <f>IF(AND(ISNUMBER(E65),ISNUMBER(L65)),IF(OR(L65&gt;0,AND(L65&lt;0,E65&lt;0)),E65/L65-1,"n/m"),"n/a")</f>
        <v>-0.045830681094844006</v>
      </c>
      <c r="F66" s="18">
        <f>IF(AND(ISNUMBER(F65),ISNUMBER(M65)),IF(OR(M65&gt;0,AND(M65&lt;0,F65&lt;0)),F65/M65-1,"n/m"),"n/a")</f>
        <v>0.12540716612377856</v>
      </c>
      <c r="G66" s="18">
        <f>IF(AND(ISNUMBER(G65),ISNUMBER(N65)),IF(OR(N65&gt;0,AND(N65&lt;0,G65&lt;0)),G65/N65-1,"n/m"),"n/a")</f>
        <v>0.04029995408865994</v>
      </c>
      <c r="H66" s="21">
        <f>IF(AND(ISNUMBER(H65),ISNUMBER(C65)),IF(OR(C65&gt;0,AND(C65&lt;0,H65&lt;0)),H65/C65-1,"n/m"),"n/a")</f>
        <v>0.10165149054224454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20" t="s">
        <v>99</v>
      </c>
      <c r="C67" s="18">
        <f>IF(AND(ISNUMBER(C65),ISNUMBER(M65)),IF(OR(M65&gt;0,AND(M65&lt;0,C65&lt;0)),C65/M65-1,"n/m"),"n/a")</f>
        <v>-0.031351791530944584</v>
      </c>
      <c r="D67" s="18">
        <f>IF(AND(ISNUMBER(D65),ISNUMBER(C65)),IF(OR(C65&gt;0,AND(C65&lt;0,D65&lt;0)),D65/C65-1,"n/m"),"n/a")</f>
        <v>0.26313577133249266</v>
      </c>
      <c r="E67" s="18">
        <f>IF(AND(ISNUMBER(E65),ISNUMBER(D65)),IF(OR(D65&gt;0,AND(D65&lt;0,E65&lt;0)),E65/D65-1,"n/m"),"n/a")</f>
        <v>-0.25174708818635605</v>
      </c>
      <c r="F67" s="18">
        <f>IF(AND(ISNUMBER(F65),ISNUMBER(E65)),IF(OR(E65&gt;0,AND(E65&lt;0,F65&lt;0)),F65/E65-1,"n/m"),"n/a")</f>
        <v>0.2292639537469423</v>
      </c>
      <c r="G67" s="18" t="s">
        <v>100</v>
      </c>
      <c r="H67" s="21">
        <f>IF(AND(ISNUMBER(H65),ISNUMBER(F65)),IF(OR(F65&gt;0,AND(F65&lt;0,H65&lt;0)),H65/F65-1,"n/m"),"n/a")</f>
        <v>-0.05179851808972502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8" t="s">
        <v>101</v>
      </c>
      <c r="C68" s="2">
        <f>IF(AND(ISNUMBER(C65),ISNUMBER(M65)),C65-M65,"n/a")</f>
        <v>-154</v>
      </c>
      <c r="D68" s="2">
        <f>IF(AND(ISNUMBER(D65),ISNUMBER(C65)),D65-C65,"n/a")</f>
        <v>1252</v>
      </c>
      <c r="E68" s="2">
        <f>IF(AND(ISNUMBER(E65),ISNUMBER(D65)),E65-D65,"n/a")</f>
        <v>-1513</v>
      </c>
      <c r="F68" s="2">
        <f>IF(AND(ISNUMBER(F65),ISNUMBER(E65)),F65-E65,"n/a")</f>
        <v>1031</v>
      </c>
      <c r="G68" s="2" t="s">
        <v>100</v>
      </c>
      <c r="H68" s="7">
        <f>IF(AND(ISNUMBER(H65),ISNUMBER(F65)),H65-F65,"n/a")</f>
        <v>-286.342208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0" t="s">
        <v>169</v>
      </c>
      <c r="C69" s="18">
        <f>IF(AND(ISNUMBER(C65),ISNUMBER(C56)),C65/C56,"n/a")</f>
        <v>0.6557331863285557</v>
      </c>
      <c r="D69" s="18">
        <f>IF(AND(ISNUMBER(D65),ISNUMBER(D56)),D65/D56,"n/a")</f>
        <v>0.7050680431722196</v>
      </c>
      <c r="E69" s="18">
        <f>IF(AND(ISNUMBER(E65),ISNUMBER(E56)),E65/E56,"n/a")</f>
        <v>0.6467711779088163</v>
      </c>
      <c r="F69" s="18">
        <f>IF(AND(ISNUMBER(F65),ISNUMBER(F56)),F65/F56,"n/a")</f>
        <v>0.6814595660749507</v>
      </c>
      <c r="G69" s="18">
        <f>IF(AND(ISNUMBER(G65),ISNUMBER(G56)),G65/G56,"n/a")</f>
        <v>0.6739927950556895</v>
      </c>
      <c r="H69" s="32">
        <v>0.672</v>
      </c>
      <c r="I69" s="1"/>
      <c r="J69" s="18">
        <f>IF(AND(ISNUMBER(J65),ISNUMBER(J56)),J65/J56,"n/a")</f>
        <v>0.6591644828117774</v>
      </c>
      <c r="K69" s="18">
        <f>IF(AND(ISNUMBER(K65),ISNUMBER(K56)),K65/K56,"n/a")</f>
        <v>0.723935572480959</v>
      </c>
      <c r="L69" s="18">
        <f>IF(AND(ISNUMBER(L65),ISNUMBER(L56)),L65/L56,"n/a")</f>
        <v>0.6678475272778801</v>
      </c>
      <c r="M69" s="18">
        <f>IF(AND(ISNUMBER(M65),ISNUMBER(M56)),M65/M56,"n/a")</f>
        <v>0.6619946091644204</v>
      </c>
      <c r="N69" s="18">
        <f>IF(AND(ISNUMBER(N65),ISNUMBER(N56)),N65/N56,"n/a")</f>
        <v>0.6849884687958627</v>
      </c>
      <c r="O69" s="18">
        <f>IF(AND(ISNUMBER(O65),ISNUMBER(O56)),O65/O56,"n/a")</f>
        <v>0.6698529768547722</v>
      </c>
      <c r="P69" s="18">
        <f>IF(AND(ISNUMBER(P65),ISNUMBER(P56)),P65/P56,"n/a")</f>
        <v>0.6618046289053513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37" t="s">
        <v>103</v>
      </c>
      <c r="C70" s="5">
        <f>IF(AND(ISNUMBER(C69),ISNUMBER(J69)),(C69-J69)*10000,"n/a")</f>
        <v>-34.31296483221713</v>
      </c>
      <c r="D70" s="5">
        <f>IF(AND(ISNUMBER(D69),ISNUMBER(K69)),(D69-K69)*10000,"n/a")</f>
        <v>-188.6752930873936</v>
      </c>
      <c r="E70" s="5">
        <f>IF(AND(ISNUMBER(E69),ISNUMBER(L69)),(E69-L69)*10000,"n/a")</f>
        <v>-210.76349369063774</v>
      </c>
      <c r="F70" s="5">
        <f>IF(AND(ISNUMBER(F69),ISNUMBER(M69)),(F69-M69)*10000,"n/a")</f>
        <v>194.64956910530296</v>
      </c>
      <c r="G70" s="5">
        <f>IF(AND(ISNUMBER(G69),ISNUMBER(N69)),(G69-N69)*10000,"n/a")</f>
        <v>-109.95673740173184</v>
      </c>
      <c r="H70" s="30">
        <f>IF(AND(ISNUMBER(H69),ISNUMBER(C69)),(H69-C69)*10000,"n/a")</f>
        <v>162.66813671444336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37" t="s">
        <v>104</v>
      </c>
      <c r="C71" s="5">
        <f>IF(AND(ISNUMBER(C69),ISNUMBER(M69)),(C69-M69)*10000,"n/a")</f>
        <v>-62.614228358647274</v>
      </c>
      <c r="D71" s="5">
        <f>IF(AND(ISNUMBER(D69),ISNUMBER(C69)),(D69-C69)*10000,"n/a")</f>
        <v>493.34856843663897</v>
      </c>
      <c r="E71" s="5">
        <f>IF(AND(ISNUMBER(E69),ISNUMBER(D69)),(E69-D69)*10000,"n/a")</f>
        <v>-582.9686526340328</v>
      </c>
      <c r="F71" s="5">
        <f>IF(AND(ISNUMBER(F69),ISNUMBER(E69)),(F69-E69)*10000,"n/a")</f>
        <v>346.883881661344</v>
      </c>
      <c r="G71" s="5" t="s">
        <v>100</v>
      </c>
      <c r="H71" s="30">
        <f>IF(AND(ISNUMBER(H69),ISNUMBER(F69)),(H69-F69)*10000,"n/a")</f>
        <v>-94.59566074950688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20" t="s">
        <v>105</v>
      </c>
      <c r="C72" s="18" t="s">
        <v>106</v>
      </c>
      <c r="D72" s="18" t="s">
        <v>106</v>
      </c>
      <c r="E72" s="18" t="s">
        <v>106</v>
      </c>
      <c r="F72" s="18" t="s">
        <v>106</v>
      </c>
      <c r="G72" s="18" t="s">
        <v>106</v>
      </c>
      <c r="H72" s="21" t="s">
        <v>106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20" t="s">
        <v>107</v>
      </c>
      <c r="C73" s="18" t="s">
        <v>106</v>
      </c>
      <c r="D73" s="18" t="s">
        <v>106</v>
      </c>
      <c r="E73" s="18" t="s">
        <v>106</v>
      </c>
      <c r="F73" s="18" t="s">
        <v>106</v>
      </c>
      <c r="G73" s="18" t="s">
        <v>106</v>
      </c>
      <c r="H73" s="21" t="s">
        <v>106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20" t="s">
        <v>108</v>
      </c>
      <c r="C74" s="18" t="str">
        <f>IF(AND(ISNUMBER(C66),ISNUMBER(C72),ISNUMBER(C73)),(1+C66)/((1+C72)*(1+C73))-1,"n/a")</f>
        <v>n/a</v>
      </c>
      <c r="D74" s="18" t="str">
        <f>IF(AND(ISNUMBER(D66),ISNUMBER(D72),ISNUMBER(D73)),(1+D66)/((1+D72)*(1+D73))-1,"n/a")</f>
        <v>n/a</v>
      </c>
      <c r="E74" s="18" t="str">
        <f>IF(AND(ISNUMBER(E66),ISNUMBER(E72),ISNUMBER(E73)),(1+E66)/((1+E72)*(1+E73))-1,"n/a")</f>
        <v>n/a</v>
      </c>
      <c r="F74" s="18" t="str">
        <f>IF(AND(ISNUMBER(F66),ISNUMBER(F72),ISNUMBER(F73)),(1+F66)/((1+F72)*(1+F73))-1,"n/a")</f>
        <v>n/a</v>
      </c>
      <c r="G74" s="18" t="str">
        <f>IF(AND(ISNUMBER(G66),ISNUMBER(G72),ISNUMBER(G73)),(1+G66)/((1+G72)*(1+G73))-1,"n/a")</f>
        <v>n/a</v>
      </c>
      <c r="H74" s="21" t="str">
        <f>IF(AND(ISNUMBER(H66),ISNUMBER(H72),ISNUMBER(H73)),(1+H66)/((1+H72)*(1+H73))-1,"n/a")</f>
        <v>n/a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170</v>
      </c>
      <c r="C75" s="3">
        <v>2498</v>
      </c>
      <c r="D75" s="2">
        <f>G75-P75</f>
        <v>2514</v>
      </c>
      <c r="E75" s="3">
        <v>2456</v>
      </c>
      <c r="F75" s="3">
        <v>2584</v>
      </c>
      <c r="G75" s="3">
        <v>9864</v>
      </c>
      <c r="H75" s="7">
        <f>H56-H65</f>
        <v>2558.4282079999994</v>
      </c>
      <c r="I75" s="1"/>
      <c r="J75" s="3">
        <v>2211</v>
      </c>
      <c r="K75" s="2">
        <f>N75-O75</f>
        <v>2211</v>
      </c>
      <c r="L75" s="3">
        <v>2344</v>
      </c>
      <c r="M75" s="3">
        <v>2508</v>
      </c>
      <c r="N75" s="3">
        <v>9015</v>
      </c>
      <c r="O75" s="3">
        <v>6804</v>
      </c>
      <c r="P75" s="3">
        <v>7350</v>
      </c>
      <c r="Q75" s="1"/>
      <c r="R75" s="9" t="s">
        <v>161</v>
      </c>
      <c r="S75" s="1"/>
      <c r="T75" s="1"/>
      <c r="U75" s="1"/>
      <c r="V75" s="1"/>
      <c r="W75" s="1"/>
      <c r="X75" s="1"/>
      <c r="Y75" s="1"/>
      <c r="Z75" s="1"/>
    </row>
    <row r="76">
      <c r="A76" s="1"/>
      <c r="B76" s="20" t="s">
        <v>98</v>
      </c>
      <c r="C76" s="18">
        <f>IF(AND(ISNUMBER(C75),ISNUMBER(J75)),IF(OR(J75&gt;0,AND(J75&lt;0,C75&lt;0)),C75/J75-1,"n/m"),"n/a")</f>
        <v>0.12980551786521932</v>
      </c>
      <c r="D76" s="18">
        <f>IF(AND(ISNUMBER(D75),ISNUMBER(K75)),IF(OR(K75&gt;0,AND(K75&lt;0,D75&lt;0)),D75/K75-1,"n/m"),"n/a")</f>
        <v>0.13704206241519667</v>
      </c>
      <c r="E76" s="18">
        <f>IF(AND(ISNUMBER(E75),ISNUMBER(L75)),IF(OR(L75&gt;0,AND(L75&lt;0,E75&lt;0)),E75/L75-1,"n/m"),"n/a")</f>
        <v>0.04778156996587035</v>
      </c>
      <c r="F76" s="18">
        <f>IF(AND(ISNUMBER(F75),ISNUMBER(M75)),IF(OR(M75&gt;0,AND(M75&lt;0,F75&lt;0)),F75/M75-1,"n/m"),"n/a")</f>
        <v>0.030303030303030276</v>
      </c>
      <c r="G76" s="18">
        <f>IF(AND(ISNUMBER(G75),ISNUMBER(N75)),IF(OR(N75&gt;0,AND(N75&lt;0,G75&lt;0)),G75/N75-1,"n/m"),"n/a")</f>
        <v>0.09417637271214652</v>
      </c>
      <c r="H76" s="21">
        <f>IF(AND(ISNUMBER(H75),ISNUMBER(C75)),IF(OR(C75&gt;0,AND(C75&lt;0,H75&lt;0)),H75/C75-1,"n/m"),"n/a")</f>
        <v>0.02419063570856661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20" t="s">
        <v>99</v>
      </c>
      <c r="C77" s="18">
        <f>IF(AND(ISNUMBER(C75),ISNUMBER(M75)),IF(OR(M75&gt;0,AND(M75&lt;0,C75&lt;0)),C75/M75-1,"n/m"),"n/a")</f>
        <v>-0.003987240829346095</v>
      </c>
      <c r="D77" s="18">
        <f>IF(AND(ISNUMBER(D75),ISNUMBER(C75)),IF(OR(C75&gt;0,AND(C75&lt;0,D75&lt;0)),D75/C75-1,"n/m"),"n/a")</f>
        <v>0.006405124099279513</v>
      </c>
      <c r="E77" s="18">
        <f>IF(AND(ISNUMBER(E75),ISNUMBER(D75)),IF(OR(D75&gt;0,AND(D75&lt;0,E75&lt;0)),E75/D75-1,"n/m"),"n/a")</f>
        <v>-0.023070803500397807</v>
      </c>
      <c r="F77" s="18">
        <f>IF(AND(ISNUMBER(F75),ISNUMBER(E75)),IF(OR(E75&gt;0,AND(E75&lt;0,F75&lt;0)),F75/E75-1,"n/m"),"n/a")</f>
        <v>0.05211726384364823</v>
      </c>
      <c r="G77" s="18" t="s">
        <v>100</v>
      </c>
      <c r="H77" s="21">
        <f>IF(AND(ISNUMBER(H75),ISNUMBER(F75)),IF(OR(F75&gt;0,AND(F75&lt;0,H75&lt;0)),H75/F75-1,"n/m"),"n/a")</f>
        <v>-0.009896204334365555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8" t="s">
        <v>101</v>
      </c>
      <c r="C78" s="2">
        <f>IF(AND(ISNUMBER(C75),ISNUMBER(M75)),C75-M75,"n/a")</f>
        <v>-10</v>
      </c>
      <c r="D78" s="2">
        <f>IF(AND(ISNUMBER(D75),ISNUMBER(C75)),D75-C75,"n/a")</f>
        <v>16</v>
      </c>
      <c r="E78" s="2">
        <f>IF(AND(ISNUMBER(E75),ISNUMBER(D75)),E75-D75,"n/a")</f>
        <v>-58</v>
      </c>
      <c r="F78" s="2">
        <f>IF(AND(ISNUMBER(F75),ISNUMBER(E75)),F75-E75,"n/a")</f>
        <v>128</v>
      </c>
      <c r="G78" s="2" t="s">
        <v>100</v>
      </c>
      <c r="H78" s="7">
        <f>IF(AND(ISNUMBER(H75),ISNUMBER(F75)),H75-F75,"n/a")</f>
        <v>-25.57179200000064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0" t="s">
        <v>171</v>
      </c>
      <c r="C79" s="18">
        <f>IF(AND(ISNUMBER(C75),ISNUMBER(C56)),C75/C56,"n/a")</f>
        <v>0.34426681367144435</v>
      </c>
      <c r="D79" s="18">
        <f>IF(AND(ISNUMBER(D75),ISNUMBER(D56)),D75/D56,"n/a")</f>
        <v>0.2949319568277804</v>
      </c>
      <c r="E79" s="18">
        <f>IF(AND(ISNUMBER(E75),ISNUMBER(E56)),E75/E56,"n/a")</f>
        <v>0.35322882209118367</v>
      </c>
      <c r="F79" s="18">
        <f>IF(AND(ISNUMBER(F75),ISNUMBER(F56)),F75/F56,"n/a")</f>
        <v>0.3185404339250493</v>
      </c>
      <c r="G79" s="18">
        <f>IF(AND(ISNUMBER(G75),ISNUMBER(G56)),G75/G56,"n/a")</f>
        <v>0.3260072049443104</v>
      </c>
      <c r="H79" s="21">
        <f>IF(AND(ISNUMBER(H75),ISNUMBER(H56)),H75/H56,"n/a")</f>
        <v>0.32799999999999996</v>
      </c>
      <c r="I79" s="1"/>
      <c r="J79" s="18">
        <f>IF(AND(ISNUMBER(J75),ISNUMBER(J56)),J75/J56,"n/a")</f>
        <v>0.3408355171882226</v>
      </c>
      <c r="K79" s="18">
        <f>IF(AND(ISNUMBER(K75),ISNUMBER(K56)),K75/K56,"n/a")</f>
        <v>0.2760644275190411</v>
      </c>
      <c r="L79" s="18">
        <f>IF(AND(ISNUMBER(L75),ISNUMBER(L56)),L75/L56,"n/a")</f>
        <v>0.3321524727221199</v>
      </c>
      <c r="M79" s="18">
        <f>IF(AND(ISNUMBER(M75),ISNUMBER(M56)),M75/M56,"n/a")</f>
        <v>0.3380053908355795</v>
      </c>
      <c r="N79" s="18">
        <f>IF(AND(ISNUMBER(N75),ISNUMBER(N56)),N75/N56,"n/a")</f>
        <v>0.3150115312041373</v>
      </c>
      <c r="O79" s="18">
        <f>IF(AND(ISNUMBER(O75),ISNUMBER(O56)),O75/O56,"n/a")</f>
        <v>0.3301470231452278</v>
      </c>
      <c r="P79" s="18">
        <f>IF(AND(ISNUMBER(P75),ISNUMBER(P56)),P75/P56,"n/a")</f>
        <v>0.3381953710946487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37" t="s">
        <v>103</v>
      </c>
      <c r="C80" s="5">
        <f>IF(AND(ISNUMBER(C79),ISNUMBER(J79)),(C79-J79)*10000,"n/a")</f>
        <v>34.31296483221769</v>
      </c>
      <c r="D80" s="5">
        <f>IF(AND(ISNUMBER(D79),ISNUMBER(K79)),(D79-K79)*10000,"n/a")</f>
        <v>188.67529308739307</v>
      </c>
      <c r="E80" s="5">
        <f>IF(AND(ISNUMBER(E79),ISNUMBER(L79)),(E79-L79)*10000,"n/a")</f>
        <v>210.76349369063774</v>
      </c>
      <c r="F80" s="5">
        <f>IF(AND(ISNUMBER(F79),ISNUMBER(M79)),(F79-M79)*10000,"n/a")</f>
        <v>-194.64956910530185</v>
      </c>
      <c r="G80" s="5">
        <f>IF(AND(ISNUMBER(G79),ISNUMBER(N79)),(G79-N79)*10000,"n/a")</f>
        <v>109.95673740173129</v>
      </c>
      <c r="H80" s="30">
        <f>IF(AND(ISNUMBER(H79),ISNUMBER(C79)),(H79-C79)*10000,"n/a")</f>
        <v>-162.6681367144439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37" t="s">
        <v>104</v>
      </c>
      <c r="C81" s="5">
        <f>IF(AND(ISNUMBER(C79),ISNUMBER(M79)),(C79-M79)*10000,"n/a")</f>
        <v>62.61422835864838</v>
      </c>
      <c r="D81" s="5">
        <f>IF(AND(ISNUMBER(D79),ISNUMBER(C79)),(D79-C79)*10000,"n/a")</f>
        <v>-493.34856843663954</v>
      </c>
      <c r="E81" s="5">
        <f>IF(AND(ISNUMBER(E79),ISNUMBER(D79)),(E79-D79)*10000,"n/a")</f>
        <v>582.9686526340328</v>
      </c>
      <c r="F81" s="5">
        <f>IF(AND(ISNUMBER(F79),ISNUMBER(E79)),(F79-E79)*10000,"n/a")</f>
        <v>-346.8838816613434</v>
      </c>
      <c r="G81" s="5" t="s">
        <v>100</v>
      </c>
      <c r="H81" s="30">
        <f>IF(AND(ISNUMBER(H79),ISNUMBER(F79)),(H79-F79)*10000,"n/a")</f>
        <v>94.59566074950632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0" t="s">
        <v>105</v>
      </c>
      <c r="C82" s="18" t="s">
        <v>106</v>
      </c>
      <c r="D82" s="18" t="s">
        <v>106</v>
      </c>
      <c r="E82" s="18" t="s">
        <v>106</v>
      </c>
      <c r="F82" s="18" t="s">
        <v>106</v>
      </c>
      <c r="G82" s="18" t="s">
        <v>106</v>
      </c>
      <c r="H82" s="21" t="s">
        <v>106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0" t="s">
        <v>107</v>
      </c>
      <c r="C83" s="18" t="s">
        <v>106</v>
      </c>
      <c r="D83" s="18" t="s">
        <v>106</v>
      </c>
      <c r="E83" s="18" t="s">
        <v>106</v>
      </c>
      <c r="F83" s="18" t="s">
        <v>106</v>
      </c>
      <c r="G83" s="18" t="s">
        <v>106</v>
      </c>
      <c r="H83" s="21" t="s">
        <v>106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20" t="s">
        <v>108</v>
      </c>
      <c r="C84" s="18" t="str">
        <f>IF(AND(ISNUMBER(C76),ISNUMBER(C82),ISNUMBER(C83)),(1+C76)/((1+C82)*(1+C83))-1,"n/a")</f>
        <v>n/a</v>
      </c>
      <c r="D84" s="18" t="str">
        <f>IF(AND(ISNUMBER(D76),ISNUMBER(D82),ISNUMBER(D83)),(1+D76)/((1+D82)*(1+D83))-1,"n/a")</f>
        <v>n/a</v>
      </c>
      <c r="E84" s="18" t="str">
        <f>IF(AND(ISNUMBER(E76),ISNUMBER(E82),ISNUMBER(E83)),(1+E76)/((1+E82)*(1+E83))-1,"n/a")</f>
        <v>n/a</v>
      </c>
      <c r="F84" s="18" t="str">
        <f>IF(AND(ISNUMBER(F76),ISNUMBER(F82),ISNUMBER(F83)),(1+F76)/((1+F82)*(1+F83))-1,"n/a")</f>
        <v>n/a</v>
      </c>
      <c r="G84" s="18" t="str">
        <f>IF(AND(ISNUMBER(G76),ISNUMBER(G82),ISNUMBER(G83)),(1+G76)/((1+G82)*(1+G83))-1,"n/a")</f>
        <v>n/a</v>
      </c>
      <c r="H84" s="21" t="str">
        <f>IF(AND(ISNUMBER(H76),ISNUMBER(H82),ISNUMBER(H83)),(1+H76)/((1+H82)*(1+H83))-1,"n/a")</f>
        <v>n/a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46" t="s">
        <v>172</v>
      </c>
      <c r="C85" s="14">
        <f>C65+C75</f>
        <v>7256</v>
      </c>
      <c r="D85" s="14">
        <f>D65+D75</f>
        <v>8524</v>
      </c>
      <c r="E85" s="14">
        <f>E65+E75</f>
        <v>6953</v>
      </c>
      <c r="F85" s="14">
        <f>F65+F75</f>
        <v>8112</v>
      </c>
      <c r="G85" s="14">
        <f>G65+G75</f>
        <v>30257</v>
      </c>
      <c r="H85" s="48">
        <f>H65+H75</f>
        <v>7800.085999999999</v>
      </c>
      <c r="I85" s="1"/>
      <c r="J85" s="14">
        <f>J65+J75</f>
        <v>6487</v>
      </c>
      <c r="K85" s="14">
        <f>K65+K75</f>
        <v>8009</v>
      </c>
      <c r="L85" s="14">
        <f>L65+L75</f>
        <v>7057</v>
      </c>
      <c r="M85" s="14">
        <f>M65+M75</f>
        <v>7420</v>
      </c>
      <c r="N85" s="14">
        <f>N65+N75</f>
        <v>28618</v>
      </c>
      <c r="O85" s="14">
        <f>O65+O75</f>
        <v>20609</v>
      </c>
      <c r="P85" s="14">
        <f>P65+P75</f>
        <v>21733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1" t="s">
        <v>173</v>
      </c>
      <c r="C86" s="19">
        <f>C85-C56</f>
        <v>0</v>
      </c>
      <c r="D86" s="19">
        <f>D85-D56</f>
        <v>0</v>
      </c>
      <c r="E86" s="19">
        <f>E85-E56</f>
        <v>0</v>
      </c>
      <c r="F86" s="19">
        <f>F85-F56</f>
        <v>0</v>
      </c>
      <c r="G86" s="19">
        <f>G85-G56</f>
        <v>0</v>
      </c>
      <c r="H86" s="49">
        <f>H85-H56</f>
        <v>0</v>
      </c>
      <c r="I86" s="1"/>
      <c r="J86" s="19">
        <f>J85-J56</f>
        <v>0</v>
      </c>
      <c r="K86" s="19">
        <f>K85-K56</f>
        <v>0</v>
      </c>
      <c r="L86" s="19">
        <f>L85-L56</f>
        <v>0</v>
      </c>
      <c r="M86" s="19">
        <f>M85-M56</f>
        <v>0</v>
      </c>
      <c r="N86" s="19">
        <f>N85-N56</f>
        <v>0</v>
      </c>
      <c r="O86" s="19">
        <f>O85-O56</f>
        <v>0</v>
      </c>
      <c r="P86" s="19">
        <f>P85-P56</f>
        <v>0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3" t="s">
        <v>174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1"/>
      <c r="T88" s="1"/>
      <c r="U88" s="1"/>
      <c r="V88" s="1"/>
      <c r="W88" s="1"/>
      <c r="X88" s="1"/>
      <c r="Y88" s="1"/>
      <c r="Z88" s="1"/>
    </row>
    <row r="89">
      <c r="A89" s="1"/>
      <c r="B89" s="4" t="s">
        <v>175</v>
      </c>
      <c r="C89" s="3">
        <v>4681</v>
      </c>
      <c r="D89" s="2">
        <f>G89-P89</f>
        <v>5338</v>
      </c>
      <c r="E89" s="3">
        <v>4133</v>
      </c>
      <c r="F89" s="3">
        <v>4745</v>
      </c>
      <c r="G89" s="3">
        <v>19307</v>
      </c>
      <c r="H89" s="7">
        <f>H56*H93</f>
        <v>4781.452718</v>
      </c>
      <c r="I89" s="1"/>
      <c r="J89" s="3">
        <v>4465</v>
      </c>
      <c r="K89" s="2">
        <f>N89-O89</f>
        <v>5242</v>
      </c>
      <c r="L89" s="3">
        <v>4642</v>
      </c>
      <c r="M89" s="3">
        <v>4646</v>
      </c>
      <c r="N89" s="3">
        <v>19314</v>
      </c>
      <c r="O89" s="3">
        <v>14072</v>
      </c>
      <c r="P89" s="3">
        <v>13969</v>
      </c>
      <c r="Q89" s="1"/>
      <c r="R89" s="9" t="s">
        <v>161</v>
      </c>
      <c r="S89" s="1"/>
      <c r="T89" s="1"/>
      <c r="U89" s="1"/>
      <c r="V89" s="1"/>
      <c r="W89" s="1"/>
      <c r="X89" s="1"/>
      <c r="Y89" s="1"/>
      <c r="Z89" s="1"/>
    </row>
    <row r="90">
      <c r="A90" s="1"/>
      <c r="B90" s="20" t="s">
        <v>98</v>
      </c>
      <c r="C90" s="18">
        <f>IF(AND(ISNUMBER(C89),ISNUMBER(J89)),IF(OR(J89&gt;0,AND(J89&lt;0,C89&lt;0)),C89/J89-1,"n/m"),"n/a")</f>
        <v>0.0483762597984323</v>
      </c>
      <c r="D90" s="18">
        <f>IF(AND(ISNUMBER(D89),ISNUMBER(K89)),IF(OR(K89&gt;0,AND(K89&lt;0,D89&lt;0)),D89/K89-1,"n/m"),"n/a")</f>
        <v>0.018313620755436855</v>
      </c>
      <c r="E90" s="18">
        <f>IF(AND(ISNUMBER(E89),ISNUMBER(L89)),IF(OR(L89&gt;0,AND(L89&lt;0,E89&lt;0)),E89/L89-1,"n/m"),"n/a")</f>
        <v>-0.1096510124946144</v>
      </c>
      <c r="F90" s="18">
        <f>IF(AND(ISNUMBER(F89),ISNUMBER(M89)),IF(OR(M89&gt;0,AND(M89&lt;0,F89&lt;0)),F89/M89-1,"n/m"),"n/a")</f>
        <v>0.021308652604390854</v>
      </c>
      <c r="G90" s="18">
        <f>IF(AND(ISNUMBER(G89),ISNUMBER(N89)),IF(OR(N89&gt;0,AND(N89&lt;0,G89&lt;0)),G89/N89-1,"n/m"),"n/a")</f>
        <v>-0.0003624313969141646</v>
      </c>
      <c r="H90" s="21">
        <f>IF(AND(ISNUMBER(H89),ISNUMBER(C89)),IF(OR(C89&gt;0,AND(C89&lt;0,H89&lt;0)),H89/C89-1,"n/m"),"n/a")</f>
        <v>0.021459670583208634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20" t="s">
        <v>99</v>
      </c>
      <c r="C91" s="18">
        <f>IF(AND(ISNUMBER(C89),ISNUMBER(M89)),IF(OR(M89&gt;0,AND(M89&lt;0,C89&lt;0)),C89/M89-1,"n/m"),"n/a")</f>
        <v>0.007533362031855395</v>
      </c>
      <c r="D91" s="18">
        <f>IF(AND(ISNUMBER(D89),ISNUMBER(C89)),IF(OR(C89&gt;0,AND(C89&lt;0,D89&lt;0)),D89/C89-1,"n/m"),"n/a")</f>
        <v>0.1403546250801111</v>
      </c>
      <c r="E91" s="18">
        <f>IF(AND(ISNUMBER(E89),ISNUMBER(D89)),IF(OR(D89&gt;0,AND(D89&lt;0,E89&lt;0)),E89/D89-1,"n/m"),"n/a")</f>
        <v>-0.22573997751967034</v>
      </c>
      <c r="F91" s="18">
        <f>IF(AND(ISNUMBER(F89),ISNUMBER(E89)),IF(OR(E89&gt;0,AND(E89&lt;0,F89&lt;0)),F89/E89-1,"n/m"),"n/a")</f>
        <v>0.14807645777885314</v>
      </c>
      <c r="G91" s="18" t="s">
        <v>100</v>
      </c>
      <c r="H91" s="21">
        <f>IF(AND(ISNUMBER(H89),ISNUMBER(F89)),IF(OR(F89&gt;0,AND(F89&lt;0,H89&lt;0)),H89/F89-1,"n/m"),"n/a")</f>
        <v>0.007682343097997757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8" t="s">
        <v>101</v>
      </c>
      <c r="C92" s="2">
        <f>IF(AND(ISNUMBER(C89),ISNUMBER(M89)),C89-M89,"n/a")</f>
        <v>35</v>
      </c>
      <c r="D92" s="2">
        <f>IF(AND(ISNUMBER(D89),ISNUMBER(C89)),D89-C89,"n/a")</f>
        <v>657</v>
      </c>
      <c r="E92" s="2">
        <f>IF(AND(ISNUMBER(E89),ISNUMBER(D89)),E89-D89,"n/a")</f>
        <v>-1205</v>
      </c>
      <c r="F92" s="2">
        <f>IF(AND(ISNUMBER(F89),ISNUMBER(E89)),F89-E89,"n/a")</f>
        <v>612</v>
      </c>
      <c r="G92" s="2" t="s">
        <v>100</v>
      </c>
      <c r="H92" s="7">
        <f>IF(AND(ISNUMBER(H89),ISNUMBER(F89)),H89-F89,"n/a")</f>
        <v>36.45271799999955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20" t="s">
        <v>176</v>
      </c>
      <c r="C93" s="18">
        <f>IF(AND(ISNUMBER(C89),ISNUMBER(C56)),C89/C56,"n/a")</f>
        <v>0.6451212789415656</v>
      </c>
      <c r="D93" s="18">
        <f>IF(AND(ISNUMBER(D89),ISNUMBER(D56)),D89/D56,"n/a")</f>
        <v>0.6262318160488034</v>
      </c>
      <c r="E93" s="18">
        <f>IF(AND(ISNUMBER(E89),ISNUMBER(E56)),E89/E56,"n/a")</f>
        <v>0.5944196749604487</v>
      </c>
      <c r="F93" s="18">
        <f>IF(AND(ISNUMBER(F89),ISNUMBER(F56)),F89/F56,"n/a")</f>
        <v>0.5849358974358975</v>
      </c>
      <c r="G93" s="18">
        <f>IF(AND(ISNUMBER(G89),ISNUMBER(G56)),G89/G56,"n/a")</f>
        <v>0.638100274316687</v>
      </c>
      <c r="H93" s="32">
        <v>0.613</v>
      </c>
      <c r="I93" s="1"/>
      <c r="J93" s="18">
        <f>IF(AND(ISNUMBER(J89),ISNUMBER(J56)),J89/J56,"n/a")</f>
        <v>0.6882996762756282</v>
      </c>
      <c r="K93" s="18">
        <f>IF(AND(ISNUMBER(K89),ISNUMBER(K56)),K89/K56,"n/a")</f>
        <v>0.6545136721188662</v>
      </c>
      <c r="L93" s="18">
        <f>IF(AND(ISNUMBER(L89),ISNUMBER(L56)),L89/L56,"n/a")</f>
        <v>0.6577865948703415</v>
      </c>
      <c r="M93" s="18">
        <f>IF(AND(ISNUMBER(M89),ISNUMBER(M56)),M89/M56,"n/a")</f>
        <v>0.6261455525606469</v>
      </c>
      <c r="N93" s="18">
        <f>IF(AND(ISNUMBER(N89),ISNUMBER(N56)),N89/N56,"n/a")</f>
        <v>0.6748899294150534</v>
      </c>
      <c r="O93" s="18">
        <f>IF(AND(ISNUMBER(O89),ISNUMBER(O56)),O89/O56,"n/a")</f>
        <v>0.6828084817312825</v>
      </c>
      <c r="P93" s="18">
        <f>IF(AND(ISNUMBER(P89),ISNUMBER(P56)),P89/P56,"n/a")</f>
        <v>0.642755256982469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37" t="s">
        <v>103</v>
      </c>
      <c r="C94" s="5">
        <f>IF(AND(ISNUMBER(C93),ISNUMBER(J93)),(C93-J93)*10000,"n/a")</f>
        <v>-431.7839733406259</v>
      </c>
      <c r="D94" s="5">
        <f>IF(AND(ISNUMBER(D93),ISNUMBER(K93)),(D93-K93)*10000,"n/a")</f>
        <v>-282.8185607006284</v>
      </c>
      <c r="E94" s="5">
        <f>IF(AND(ISNUMBER(E93),ISNUMBER(L93)),(E93-L93)*10000,"n/a")</f>
        <v>-633.6691990989285</v>
      </c>
      <c r="F94" s="5">
        <f>IF(AND(ISNUMBER(F93),ISNUMBER(M93)),(F93-M93)*10000,"n/a")</f>
        <v>-412.0965512474939</v>
      </c>
      <c r="G94" s="5">
        <f>IF(AND(ISNUMBER(G93),ISNUMBER(N93)),(G93-N93)*10000,"n/a")</f>
        <v>-367.89655098366404</v>
      </c>
      <c r="H94" s="30">
        <f>IF(AND(ISNUMBER(H93),ISNUMBER(C93)),(H93-C93)*10000,"n/a")</f>
        <v>-321.2127894156558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37" t="s">
        <v>104</v>
      </c>
      <c r="C95" s="5">
        <f>IF(AND(ISNUMBER(C93),ISNUMBER(M93)),(C93-M93)*10000,"n/a")</f>
        <v>189.75726380918712</v>
      </c>
      <c r="D95" s="5">
        <f>IF(AND(ISNUMBER(D93),ISNUMBER(C93)),(D93-C93)*10000,"n/a")</f>
        <v>-188.89462892762165</v>
      </c>
      <c r="E95" s="5">
        <f>IF(AND(ISNUMBER(E93),ISNUMBER(D93)),(E93-D93)*10000,"n/a")</f>
        <v>-318.1214108835473</v>
      </c>
      <c r="F95" s="5">
        <f>IF(AND(ISNUMBER(F93),ISNUMBER(E93)),(F93-E93)*10000,"n/a")</f>
        <v>-94.83777524551206</v>
      </c>
      <c r="G95" s="5" t="s">
        <v>100</v>
      </c>
      <c r="H95" s="30">
        <f>IF(AND(ISNUMBER(H93),ISNUMBER(F93)),(H93-F93)*10000,"n/a")</f>
        <v>280.64102564102524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20" t="s">
        <v>105</v>
      </c>
      <c r="C96" s="18" t="s">
        <v>106</v>
      </c>
      <c r="D96" s="18" t="s">
        <v>106</v>
      </c>
      <c r="E96" s="18" t="s">
        <v>106</v>
      </c>
      <c r="F96" s="18" t="s">
        <v>106</v>
      </c>
      <c r="G96" s="18" t="s">
        <v>106</v>
      </c>
      <c r="H96" s="21" t="s">
        <v>106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20" t="s">
        <v>107</v>
      </c>
      <c r="C97" s="18" t="s">
        <v>106</v>
      </c>
      <c r="D97" s="18" t="s">
        <v>106</v>
      </c>
      <c r="E97" s="18" t="s">
        <v>106</v>
      </c>
      <c r="F97" s="18" t="s">
        <v>106</v>
      </c>
      <c r="G97" s="18" t="s">
        <v>106</v>
      </c>
      <c r="H97" s="21" t="s">
        <v>106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0" t="s">
        <v>108</v>
      </c>
      <c r="C98" s="18" t="str">
        <f>IF(AND(ISNUMBER(C90),ISNUMBER(C96),ISNUMBER(C97)),(1+C90)/((1+C96)*(1+C97))-1,"n/a")</f>
        <v>n/a</v>
      </c>
      <c r="D98" s="18" t="str">
        <f>IF(AND(ISNUMBER(D90),ISNUMBER(D96),ISNUMBER(D97)),(1+D90)/((1+D96)*(1+D97))-1,"n/a")</f>
        <v>n/a</v>
      </c>
      <c r="E98" s="18" t="str">
        <f>IF(AND(ISNUMBER(E90),ISNUMBER(E96),ISNUMBER(E97)),(1+E90)/((1+E96)*(1+E97))-1,"n/a")</f>
        <v>n/a</v>
      </c>
      <c r="F98" s="18" t="str">
        <f>IF(AND(ISNUMBER(F90),ISNUMBER(F96),ISNUMBER(F97)),(1+F90)/((1+F96)*(1+F97))-1,"n/a")</f>
        <v>n/a</v>
      </c>
      <c r="G98" s="18" t="str">
        <f>IF(AND(ISNUMBER(G90),ISNUMBER(G96),ISNUMBER(G97)),(1+G90)/((1+G96)*(1+G97))-1,"n/a")</f>
        <v>n/a</v>
      </c>
      <c r="H98" s="21" t="str">
        <f>IF(AND(ISNUMBER(H90),ISNUMBER(H96),ISNUMBER(H97)),(1+H90)/((1+H96)*(1+H97))-1,"n/a")</f>
        <v>n/a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4" t="s">
        <v>177</v>
      </c>
      <c r="C99" s="3">
        <v>2571</v>
      </c>
      <c r="D99" s="2">
        <f>G99-P99</f>
        <v>3174</v>
      </c>
      <c r="E99" s="3">
        <v>2809</v>
      </c>
      <c r="F99" s="3">
        <v>3362</v>
      </c>
      <c r="G99" s="3">
        <v>10916</v>
      </c>
      <c r="H99" s="7">
        <f>H56*H103</f>
        <v>3010.833196</v>
      </c>
      <c r="I99" s="1"/>
      <c r="J99" s="3">
        <v>1973</v>
      </c>
      <c r="K99" s="2">
        <f>N99-O99</f>
        <v>2760</v>
      </c>
      <c r="L99" s="3">
        <v>2405</v>
      </c>
      <c r="M99" s="3">
        <v>2766</v>
      </c>
      <c r="N99" s="3">
        <v>9182</v>
      </c>
      <c r="O99" s="3">
        <v>6422</v>
      </c>
      <c r="P99" s="3">
        <v>7742</v>
      </c>
      <c r="Q99" s="1"/>
      <c r="R99" s="9" t="s">
        <v>161</v>
      </c>
      <c r="S99" s="1"/>
      <c r="T99" s="1"/>
      <c r="U99" s="1"/>
      <c r="V99" s="1"/>
      <c r="W99" s="1"/>
      <c r="X99" s="1"/>
      <c r="Y99" s="1"/>
      <c r="Z99" s="1"/>
    </row>
    <row r="100">
      <c r="A100" s="1"/>
      <c r="B100" s="20" t="s">
        <v>98</v>
      </c>
      <c r="C100" s="18">
        <f>IF(AND(ISNUMBER(C99),ISNUMBER(J99)),IF(OR(J99&gt;0,AND(J99&lt;0,C99&lt;0)),C99/J99-1,"n/m"),"n/a")</f>
        <v>0.3030917384693361</v>
      </c>
      <c r="D100" s="18">
        <f>IF(AND(ISNUMBER(D99),ISNUMBER(K99)),IF(OR(K99&gt;0,AND(K99&lt;0,D99&lt;0)),D99/K99-1,"n/m"),"n/a")</f>
        <v>0.1499999999999999</v>
      </c>
      <c r="E100" s="18">
        <f>IF(AND(ISNUMBER(E99),ISNUMBER(L99)),IF(OR(L99&gt;0,AND(L99&lt;0,E99&lt;0)),E99/L99-1,"n/m"),"n/a")</f>
        <v>0.167983367983368</v>
      </c>
      <c r="F100" s="18">
        <f>IF(AND(ISNUMBER(F99),ISNUMBER(M99)),IF(OR(M99&gt;0,AND(M99&lt;0,F99&lt;0)),F99/M99-1,"n/m"),"n/a")</f>
        <v>0.21547360809833704</v>
      </c>
      <c r="G100" s="18">
        <f>IF(AND(ISNUMBER(G99),ISNUMBER(N99)),IF(OR(N99&gt;0,AND(N99&lt;0,G99&lt;0)),G99/N99-1,"n/m"),"n/a")</f>
        <v>0.18884774558919615</v>
      </c>
      <c r="H100" s="21">
        <f>IF(AND(ISNUMBER(H99),ISNUMBER(C99)),IF(OR(C99&gt;0,AND(C99&lt;0,H99&lt;0)),H99/C99-1,"n/m"),"n/a")</f>
        <v>0.17107475534811356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20" t="s">
        <v>99</v>
      </c>
      <c r="C101" s="18">
        <f>IF(AND(ISNUMBER(C99),ISNUMBER(M99)),IF(OR(M99&gt;0,AND(M99&lt;0,C99&lt;0)),C99/M99-1,"n/m"),"n/a")</f>
        <v>-0.07049891540130149</v>
      </c>
      <c r="D101" s="18">
        <f>IF(AND(ISNUMBER(D99),ISNUMBER(C99)),IF(OR(C99&gt;0,AND(C99&lt;0,D99&lt;0)),D99/C99-1,"n/m"),"n/a")</f>
        <v>0.23453908984830796</v>
      </c>
      <c r="E101" s="18">
        <f>IF(AND(ISNUMBER(E99),ISNUMBER(D99)),IF(OR(D99&gt;0,AND(D99&lt;0,E99&lt;0)),E99/D99-1,"n/m"),"n/a")</f>
        <v>-0.11499684940138621</v>
      </c>
      <c r="F101" s="18">
        <f>IF(AND(ISNUMBER(F99),ISNUMBER(E99)),IF(OR(E99&gt;0,AND(E99&lt;0,F99&lt;0)),F99/E99-1,"n/m"),"n/a")</f>
        <v>0.19686721253114992</v>
      </c>
      <c r="G101" s="18" t="s">
        <v>100</v>
      </c>
      <c r="H101" s="21">
        <f>IF(AND(ISNUMBER(H99),ISNUMBER(F99)),IF(OR(F99&gt;0,AND(F99&lt;0,H99&lt;0)),H99/F99-1,"n/m"),"n/a")</f>
        <v>-0.10445175609756097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8" t="s">
        <v>101</v>
      </c>
      <c r="C102" s="2">
        <f>IF(AND(ISNUMBER(C99),ISNUMBER(M99)),C99-M99,"n/a")</f>
        <v>-195</v>
      </c>
      <c r="D102" s="2">
        <f>IF(AND(ISNUMBER(D99),ISNUMBER(C99)),D99-C99,"n/a")</f>
        <v>603</v>
      </c>
      <c r="E102" s="2">
        <f>IF(AND(ISNUMBER(E99),ISNUMBER(D99)),E99-D99,"n/a")</f>
        <v>-365</v>
      </c>
      <c r="F102" s="2">
        <f>IF(AND(ISNUMBER(F99),ISNUMBER(E99)),F99-E99,"n/a")</f>
        <v>553</v>
      </c>
      <c r="G102" s="2" t="s">
        <v>100</v>
      </c>
      <c r="H102" s="7">
        <f>IF(AND(ISNUMBER(H99),ISNUMBER(F99)),H99-F99,"n/a")</f>
        <v>-351.16680399999996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20" t="s">
        <v>178</v>
      </c>
      <c r="C103" s="18">
        <f>IF(AND(ISNUMBER(C99),ISNUMBER(C56)),C99/C56,"n/a")</f>
        <v>0.35432745314222713</v>
      </c>
      <c r="D103" s="18">
        <f>IF(AND(ISNUMBER(D99),ISNUMBER(D56)),D99/D56,"n/a")</f>
        <v>0.3723603941811356</v>
      </c>
      <c r="E103" s="18">
        <f>IF(AND(ISNUMBER(E99),ISNUMBER(E56)),E99/E56,"n/a")</f>
        <v>0.4039982741262764</v>
      </c>
      <c r="F103" s="18">
        <f>IF(AND(ISNUMBER(F99),ISNUMBER(F56)),F99/F56,"n/a")</f>
        <v>0.41444773175542404</v>
      </c>
      <c r="G103" s="18">
        <f>IF(AND(ISNUMBER(G99),ISNUMBER(G56)),G99/G56,"n/a")</f>
        <v>0.36077601877251547</v>
      </c>
      <c r="H103" s="32">
        <v>0.386</v>
      </c>
      <c r="I103" s="1"/>
      <c r="J103" s="18">
        <f>IF(AND(ISNUMBER(J99),ISNUMBER(J56)),J99/J56,"n/a")</f>
        <v>0.30414675504855865</v>
      </c>
      <c r="K103" s="18">
        <f>IF(AND(ISNUMBER(K99),ISNUMBER(K56)),K99/K56,"n/a")</f>
        <v>0.3446123111499563</v>
      </c>
      <c r="L103" s="18">
        <f>IF(AND(ISNUMBER(L99),ISNUMBER(L56)),L99/L56,"n/a")</f>
        <v>0.34079637239620236</v>
      </c>
      <c r="M103" s="18">
        <f>IF(AND(ISNUMBER(M99),ISNUMBER(M56)),M99/M56,"n/a")</f>
        <v>0.3727762803234501</v>
      </c>
      <c r="N103" s="18">
        <f>IF(AND(ISNUMBER(N99),ISNUMBER(N56)),N99/N56,"n/a")</f>
        <v>0.32084701935844573</v>
      </c>
      <c r="O103" s="18">
        <f>IF(AND(ISNUMBER(O99),ISNUMBER(O56)),O99/O56,"n/a")</f>
        <v>0.31161143189868507</v>
      </c>
      <c r="P103" s="18">
        <f>IF(AND(ISNUMBER(P99),ISNUMBER(P56)),P99/P56,"n/a")</f>
        <v>0.35623245755302996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37" t="s">
        <v>103</v>
      </c>
      <c r="C104" s="5">
        <f>IF(AND(ISNUMBER(C103),ISNUMBER(J103)),(C103-J103)*10000,"n/a")</f>
        <v>501.80698093668485</v>
      </c>
      <c r="D104" s="5">
        <f>IF(AND(ISNUMBER(D103),ISNUMBER(K103)),(D103-K103)*10000,"n/a")</f>
        <v>277.48083031179317</v>
      </c>
      <c r="E104" s="5">
        <f>IF(AND(ISNUMBER(E103),ISNUMBER(L103)),(E103-L103)*10000,"n/a")</f>
        <v>632.0190173007406</v>
      </c>
      <c r="F104" s="5">
        <f>IF(AND(ISNUMBER(F103),ISNUMBER(M103)),(F103-M103)*10000,"n/a")</f>
        <v>416.7145143197393</v>
      </c>
      <c r="G104" s="5">
        <f>IF(AND(ISNUMBER(G103),ISNUMBER(N103)),(G103-N103)*10000,"n/a")</f>
        <v>399.28999414069744</v>
      </c>
      <c r="H104" s="30">
        <f>IF(AND(ISNUMBER(H103),ISNUMBER(C103)),(H103-C103)*10000,"n/a")</f>
        <v>316.72546857772875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37" t="s">
        <v>104</v>
      </c>
      <c r="C105" s="5">
        <f>IF(AND(ISNUMBER(C103),ISNUMBER(M103)),(C103-M103)*10000,"n/a")</f>
        <v>-184.4882718122298</v>
      </c>
      <c r="D105" s="5">
        <f>IF(AND(ISNUMBER(D103),ISNUMBER(C103)),(D103-C103)*10000,"n/a")</f>
        <v>180.32941038908456</v>
      </c>
      <c r="E105" s="5">
        <f>IF(AND(ISNUMBER(E103),ISNUMBER(D103)),(E103-D103)*10000,"n/a")</f>
        <v>316.3787994514083</v>
      </c>
      <c r="F105" s="5">
        <f>IF(AND(ISNUMBER(F103),ISNUMBER(E103)),(F103-E103)*10000,"n/a")</f>
        <v>104.49457629147618</v>
      </c>
      <c r="G105" s="5" t="s">
        <v>100</v>
      </c>
      <c r="H105" s="30">
        <f>IF(AND(ISNUMBER(H103),ISNUMBER(F103)),(H103-F103)*10000,"n/a")</f>
        <v>-284.4773175542403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0" t="s">
        <v>105</v>
      </c>
      <c r="C106" s="18" t="s">
        <v>106</v>
      </c>
      <c r="D106" s="18" t="s">
        <v>106</v>
      </c>
      <c r="E106" s="18" t="s">
        <v>106</v>
      </c>
      <c r="F106" s="18" t="s">
        <v>106</v>
      </c>
      <c r="G106" s="18" t="s">
        <v>106</v>
      </c>
      <c r="H106" s="21" t="s">
        <v>106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20" t="s">
        <v>107</v>
      </c>
      <c r="C107" s="18" t="s">
        <v>106</v>
      </c>
      <c r="D107" s="18" t="s">
        <v>106</v>
      </c>
      <c r="E107" s="18" t="s">
        <v>106</v>
      </c>
      <c r="F107" s="18" t="s">
        <v>106</v>
      </c>
      <c r="G107" s="18" t="s">
        <v>106</v>
      </c>
      <c r="H107" s="21" t="s">
        <v>106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20" t="s">
        <v>108</v>
      </c>
      <c r="C108" s="18" t="str">
        <f>IF(AND(ISNUMBER(C100),ISNUMBER(C106),ISNUMBER(C107)),(1+C100)/((1+C106)*(1+C107))-1,"n/a")</f>
        <v>n/a</v>
      </c>
      <c r="D108" s="18" t="str">
        <f>IF(AND(ISNUMBER(D100),ISNUMBER(D106),ISNUMBER(D107)),(1+D100)/((1+D106)*(1+D107))-1,"n/a")</f>
        <v>n/a</v>
      </c>
      <c r="E108" s="18" t="str">
        <f>IF(AND(ISNUMBER(E100),ISNUMBER(E106),ISNUMBER(E107)),(1+E100)/((1+E106)*(1+E107))-1,"n/a")</f>
        <v>n/a</v>
      </c>
      <c r="F108" s="18" t="str">
        <f>IF(AND(ISNUMBER(F100),ISNUMBER(F106),ISNUMBER(F107)),(1+F100)/((1+F106)*(1+F107))-1,"n/a")</f>
        <v>n/a</v>
      </c>
      <c r="G108" s="18" t="str">
        <f>IF(AND(ISNUMBER(G100),ISNUMBER(G106),ISNUMBER(G107)),(1+G100)/((1+G106)*(1+G107))-1,"n/a")</f>
        <v>n/a</v>
      </c>
      <c r="H108" s="21" t="str">
        <f>IF(AND(ISNUMBER(H100),ISNUMBER(H106),ISNUMBER(H107)),(1+H100)/((1+H106)*(1+H107))-1,"n/a")</f>
        <v>n/a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4" t="s">
        <v>179</v>
      </c>
      <c r="C109" s="3">
        <v>4</v>
      </c>
      <c r="D109" s="2">
        <f>G109-P109</f>
        <v>12</v>
      </c>
      <c r="E109" s="3">
        <v>11</v>
      </c>
      <c r="F109" s="3">
        <v>5</v>
      </c>
      <c r="G109" s="3">
        <v>34</v>
      </c>
      <c r="H109" s="7">
        <f>H56-H89-H99</f>
        <v>7.800085999999737</v>
      </c>
      <c r="I109" s="1"/>
      <c r="J109" s="3">
        <v>49</v>
      </c>
      <c r="K109" s="2">
        <f>N109-O109</f>
        <v>7</v>
      </c>
      <c r="L109" s="3">
        <v>10</v>
      </c>
      <c r="M109" s="3">
        <v>8</v>
      </c>
      <c r="N109" s="3">
        <v>122</v>
      </c>
      <c r="O109" s="3">
        <v>115</v>
      </c>
      <c r="P109" s="3">
        <v>22</v>
      </c>
      <c r="Q109" s="1"/>
      <c r="R109" s="9" t="s">
        <v>161</v>
      </c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20" t="s">
        <v>98</v>
      </c>
      <c r="C110" s="18">
        <f>IF(AND(ISNUMBER(C109),ISNUMBER(J109)),IF(OR(J109&gt;0,AND(J109&lt;0,C109&lt;0)),C109/J109-1,"n/m"),"n/a")</f>
        <v>-0.9183673469387755</v>
      </c>
      <c r="D110" s="18">
        <f>IF(AND(ISNUMBER(D109),ISNUMBER(K109)),IF(OR(K109&gt;0,AND(K109&lt;0,D109&lt;0)),D109/K109-1,"n/m"),"n/a")</f>
        <v>0.7142857142857142</v>
      </c>
      <c r="E110" s="18">
        <f>IF(AND(ISNUMBER(E109),ISNUMBER(L109)),IF(OR(L109&gt;0,AND(L109&lt;0,E109&lt;0)),E109/L109-1,"n/m"),"n/a")</f>
        <v>0.10000000000000009</v>
      </c>
      <c r="F110" s="18">
        <f>IF(AND(ISNUMBER(F109),ISNUMBER(M109)),IF(OR(M109&gt;0,AND(M109&lt;0,F109&lt;0)),F109/M109-1,"n/m"),"n/a")</f>
        <v>-0.375</v>
      </c>
      <c r="G110" s="18">
        <f>IF(AND(ISNUMBER(G109),ISNUMBER(N109)),IF(OR(N109&gt;0,AND(N109&lt;0,G109&lt;0)),G109/N109-1,"n/m"),"n/a")</f>
        <v>-0.7213114754098361</v>
      </c>
      <c r="H110" s="21">
        <f>IF(AND(ISNUMBER(H109),ISNUMBER(C109)),IF(OR(C109&gt;0,AND(C109&lt;0,H109&lt;0)),H109/C109-1,"n/m"),"n/a")</f>
        <v>0.9500214999999343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20" t="s">
        <v>99</v>
      </c>
      <c r="C111" s="18">
        <f>IF(AND(ISNUMBER(C109),ISNUMBER(M109)),IF(OR(M109&gt;0,AND(M109&lt;0,C109&lt;0)),C109/M109-1,"n/m"),"n/a")</f>
        <v>-0.5</v>
      </c>
      <c r="D111" s="18">
        <f>IF(AND(ISNUMBER(D109),ISNUMBER(C109)),IF(OR(C109&gt;0,AND(C109&lt;0,D109&lt;0)),D109/C109-1,"n/m"),"n/a")</f>
        <v>2</v>
      </c>
      <c r="E111" s="18">
        <f>IF(AND(ISNUMBER(E109),ISNUMBER(D109)),IF(OR(D109&gt;0,AND(D109&lt;0,E109&lt;0)),E109/D109-1,"n/m"),"n/a")</f>
        <v>-0.08333333333333337</v>
      </c>
      <c r="F111" s="18">
        <f>IF(AND(ISNUMBER(F109),ISNUMBER(E109)),IF(OR(E109&gt;0,AND(E109&lt;0,F109&lt;0)),F109/E109-1,"n/m"),"n/a")</f>
        <v>-0.5454545454545454</v>
      </c>
      <c r="G111" s="18" t="s">
        <v>100</v>
      </c>
      <c r="H111" s="21">
        <f>IF(AND(ISNUMBER(H109),ISNUMBER(F109)),IF(OR(F109&gt;0,AND(F109&lt;0,H109&lt;0)),H109/F109-1,"n/m"),"n/a")</f>
        <v>0.5600171999999475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8" t="s">
        <v>101</v>
      </c>
      <c r="C112" s="2">
        <f>IF(AND(ISNUMBER(C109),ISNUMBER(M109)),C109-M109,"n/a")</f>
        <v>-4</v>
      </c>
      <c r="D112" s="2">
        <f>IF(AND(ISNUMBER(D109),ISNUMBER(C109)),D109-C109,"n/a")</f>
        <v>8</v>
      </c>
      <c r="E112" s="2">
        <f>IF(AND(ISNUMBER(E109),ISNUMBER(D109)),E109-D109,"n/a")</f>
        <v>-1</v>
      </c>
      <c r="F112" s="2">
        <f>IF(AND(ISNUMBER(F109),ISNUMBER(E109)),F109-E109,"n/a")</f>
        <v>-6</v>
      </c>
      <c r="G112" s="2" t="s">
        <v>100</v>
      </c>
      <c r="H112" s="7">
        <f>IF(AND(ISNUMBER(H109),ISNUMBER(F109)),H109-F109,"n/a")</f>
        <v>2.8000859999997374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20" t="s">
        <v>180</v>
      </c>
      <c r="C113" s="18">
        <f>IF(AND(ISNUMBER(C109),ISNUMBER(C56)),C109/C56,"n/a")</f>
        <v>0.0005512679162072767</v>
      </c>
      <c r="D113" s="18">
        <f>IF(AND(ISNUMBER(D109),ISNUMBER(D56)),D109/D56,"n/a")</f>
        <v>0.0014077897700610043</v>
      </c>
      <c r="E113" s="18">
        <f>IF(AND(ISNUMBER(E109),ISNUMBER(E56)),E109/E56,"n/a")</f>
        <v>0.0015820509132748455</v>
      </c>
      <c r="F113" s="18">
        <f>IF(AND(ISNUMBER(F109),ISNUMBER(F56)),F109/F56,"n/a")</f>
        <v>0.000616370808678501</v>
      </c>
      <c r="G113" s="18">
        <f>IF(AND(ISNUMBER(G109),ISNUMBER(G56)),G109/G56,"n/a")</f>
        <v>0.0011237069107975014</v>
      </c>
      <c r="H113" s="21">
        <f>IF(AND(ISNUMBER(H109),ISNUMBER(H56)),H109/H56,"n/a")</f>
        <v>0.0009999999999999664</v>
      </c>
      <c r="I113" s="1"/>
      <c r="J113" s="18">
        <f>IF(AND(ISNUMBER(J109),ISNUMBER(J56)),J109/J56,"n/a")</f>
        <v>0.007553568675813165</v>
      </c>
      <c r="K113" s="18">
        <f>IF(AND(ISNUMBER(K109),ISNUMBER(K56)),K109/K56,"n/a")</f>
        <v>0.0008740167311774254</v>
      </c>
      <c r="L113" s="18">
        <f>IF(AND(ISNUMBER(L109),ISNUMBER(L56)),L109/L56,"n/a")</f>
        <v>0.0014170327334561428</v>
      </c>
      <c r="M113" s="18">
        <f>IF(AND(ISNUMBER(M109),ISNUMBER(M56)),M109/M56,"n/a")</f>
        <v>0.001078167115902965</v>
      </c>
      <c r="N113" s="18">
        <f>IF(AND(ISNUMBER(N109),ISNUMBER(N56)),N109/N56,"n/a")</f>
        <v>0.004263051226500804</v>
      </c>
      <c r="O113" s="18">
        <f>IF(AND(ISNUMBER(O109),ISNUMBER(O56)),O109/O56,"n/a")</f>
        <v>0.0055800863700325104</v>
      </c>
      <c r="P113" s="18">
        <f>IF(AND(ISNUMBER(P109),ISNUMBER(P56)),P109/P56,"n/a")</f>
        <v>0.0010122854645009892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37" t="s">
        <v>103</v>
      </c>
      <c r="C114" s="5">
        <f>IF(AND(ISNUMBER(C113),ISNUMBER(J113)),(C113-J113)*10000,"n/a")</f>
        <v>-70.02300759605887</v>
      </c>
      <c r="D114" s="5">
        <f>IF(AND(ISNUMBER(D113),ISNUMBER(K113)),(D113-K113)*10000,"n/a")</f>
        <v>5.33773038883579</v>
      </c>
      <c r="E114" s="5">
        <f>IF(AND(ISNUMBER(E113),ISNUMBER(L113)),(E113-L113)*10000,"n/a")</f>
        <v>1.6501817981870275</v>
      </c>
      <c r="F114" s="5">
        <f>IF(AND(ISNUMBER(F113),ISNUMBER(M113)),(F113-M113)*10000,"n/a")</f>
        <v>-4.617963072244641</v>
      </c>
      <c r="G114" s="5">
        <f>IF(AND(ISNUMBER(G113),ISNUMBER(N113)),(G113-N113)*10000,"n/a")</f>
        <v>-31.393443157033026</v>
      </c>
      <c r="H114" s="30">
        <f>IF(AND(ISNUMBER(H113),ISNUMBER(C113)),(H113-C113)*10000,"n/a")</f>
        <v>4.487320837926896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37" t="s">
        <v>104</v>
      </c>
      <c r="C115" s="5">
        <f>IF(AND(ISNUMBER(C113),ISNUMBER(M113)),(C113-M113)*10000,"n/a")</f>
        <v>-5.268991996956883</v>
      </c>
      <c r="D115" s="5">
        <f>IF(AND(ISNUMBER(D113),ISNUMBER(C113)),(D113-C113)*10000,"n/a")</f>
        <v>8.565218538537275</v>
      </c>
      <c r="E115" s="5">
        <f>IF(AND(ISNUMBER(E113),ISNUMBER(D113)),(E113-D113)*10000,"n/a")</f>
        <v>1.7426114321384116</v>
      </c>
      <c r="F115" s="5">
        <f>IF(AND(ISNUMBER(F113),ISNUMBER(E113)),(F113-E113)*10000,"n/a")</f>
        <v>-9.656801045963444</v>
      </c>
      <c r="G115" s="5" t="s">
        <v>100</v>
      </c>
      <c r="H115" s="30">
        <f>IF(AND(ISNUMBER(H113),ISNUMBER(F113)),(H113-F113)*10000,"n/a")</f>
        <v>3.8362919132146542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20" t="s">
        <v>105</v>
      </c>
      <c r="C116" s="18" t="s">
        <v>106</v>
      </c>
      <c r="D116" s="18" t="s">
        <v>106</v>
      </c>
      <c r="E116" s="18" t="s">
        <v>106</v>
      </c>
      <c r="F116" s="18" t="s">
        <v>106</v>
      </c>
      <c r="G116" s="18" t="s">
        <v>106</v>
      </c>
      <c r="H116" s="21" t="s">
        <v>106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20" t="s">
        <v>107</v>
      </c>
      <c r="C117" s="18" t="s">
        <v>106</v>
      </c>
      <c r="D117" s="18" t="s">
        <v>106</v>
      </c>
      <c r="E117" s="18" t="s">
        <v>106</v>
      </c>
      <c r="F117" s="18" t="s">
        <v>106</v>
      </c>
      <c r="G117" s="18" t="s">
        <v>106</v>
      </c>
      <c r="H117" s="21" t="s">
        <v>106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0" t="s">
        <v>108</v>
      </c>
      <c r="C118" s="18" t="str">
        <f>IF(AND(ISNUMBER(C110),ISNUMBER(C116),ISNUMBER(C117)),(1+C110)/((1+C116)*(1+C117))-1,"n/a")</f>
        <v>n/a</v>
      </c>
      <c r="D118" s="18" t="str">
        <f>IF(AND(ISNUMBER(D110),ISNUMBER(D116),ISNUMBER(D117)),(1+D110)/((1+D116)*(1+D117))-1,"n/a")</f>
        <v>n/a</v>
      </c>
      <c r="E118" s="18" t="str">
        <f>IF(AND(ISNUMBER(E110),ISNUMBER(E116),ISNUMBER(E117)),(1+E110)/((1+E116)*(1+E117))-1,"n/a")</f>
        <v>n/a</v>
      </c>
      <c r="F118" s="18" t="str">
        <f>IF(AND(ISNUMBER(F110),ISNUMBER(F116),ISNUMBER(F117)),(1+F110)/((1+F116)*(1+F117))-1,"n/a")</f>
        <v>n/a</v>
      </c>
      <c r="G118" s="18" t="str">
        <f>IF(AND(ISNUMBER(G110),ISNUMBER(G116),ISNUMBER(G117)),(1+G110)/((1+G116)*(1+G117))-1,"n/a")</f>
        <v>n/a</v>
      </c>
      <c r="H118" s="21" t="str">
        <f>IF(AND(ISNUMBER(H110),ISNUMBER(H116),ISNUMBER(H117)),(1+H110)/((1+H116)*(1+H117))-1,"n/a")</f>
        <v>n/a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46" t="s">
        <v>181</v>
      </c>
      <c r="C119" s="14">
        <f>C89+C99+C109</f>
        <v>7256</v>
      </c>
      <c r="D119" s="14">
        <f>D89+D99+D109</f>
        <v>8524</v>
      </c>
      <c r="E119" s="14">
        <f>E89+E99+E109</f>
        <v>6953</v>
      </c>
      <c r="F119" s="14">
        <f>F89+F99+F109</f>
        <v>8112</v>
      </c>
      <c r="G119" s="14">
        <f>G89+G99+G109</f>
        <v>30257</v>
      </c>
      <c r="H119" s="48">
        <f>H89+H99+H109</f>
        <v>7800.085999999999</v>
      </c>
      <c r="I119" s="1"/>
      <c r="J119" s="14">
        <f>J89+J99+J109</f>
        <v>6487</v>
      </c>
      <c r="K119" s="14">
        <f>K89+K99+K109</f>
        <v>8009</v>
      </c>
      <c r="L119" s="14">
        <f>L89+L99+L109</f>
        <v>7057</v>
      </c>
      <c r="M119" s="14">
        <f>M89+M99+M109</f>
        <v>7420</v>
      </c>
      <c r="N119" s="14">
        <f>N89+N99+N109</f>
        <v>28618</v>
      </c>
      <c r="O119" s="14">
        <f>O89+O99+O109</f>
        <v>20609</v>
      </c>
      <c r="P119" s="14">
        <f>P89+P99+P109</f>
        <v>21733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1" t="s">
        <v>182</v>
      </c>
      <c r="C120" s="19">
        <f>C119-C56</f>
        <v>0</v>
      </c>
      <c r="D120" s="19">
        <f>D119-D56</f>
        <v>0</v>
      </c>
      <c r="E120" s="19">
        <f>E119-E56</f>
        <v>0</v>
      </c>
      <c r="F120" s="19">
        <f>F119-F56</f>
        <v>0</v>
      </c>
      <c r="G120" s="19">
        <f>G119-G56</f>
        <v>0</v>
      </c>
      <c r="H120" s="49">
        <f>H119-H56</f>
        <v>0</v>
      </c>
      <c r="I120" s="1"/>
      <c r="J120" s="19">
        <f>J119-J56</f>
        <v>0</v>
      </c>
      <c r="K120" s="19">
        <f>K119-K56</f>
        <v>0</v>
      </c>
      <c r="L120" s="19">
        <f>L119-L56</f>
        <v>0</v>
      </c>
      <c r="M120" s="19">
        <f>M119-M56</f>
        <v>0</v>
      </c>
      <c r="N120" s="19">
        <f>N119-N56</f>
        <v>0</v>
      </c>
      <c r="O120" s="19">
        <f>O119-O56</f>
        <v>0</v>
      </c>
      <c r="P120" s="19">
        <f>P119-P56</f>
        <v>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3" t="s">
        <v>183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4" t="s">
        <v>184</v>
      </c>
      <c r="C123" s="3">
        <v>4685</v>
      </c>
      <c r="D123" s="2">
        <f>G123-P123</f>
        <v>5350</v>
      </c>
      <c r="E123" s="3">
        <v>4144</v>
      </c>
      <c r="F123" s="3">
        <v>4750</v>
      </c>
      <c r="G123" s="3">
        <v>19341</v>
      </c>
      <c r="H123" s="7">
        <f>H56*H127</f>
        <v>4789.252804</v>
      </c>
      <c r="I123" s="1"/>
      <c r="J123" s="3">
        <v>4514</v>
      </c>
      <c r="K123" s="2">
        <f>N123-O123</f>
        <v>5249</v>
      </c>
      <c r="L123" s="3">
        <v>4652</v>
      </c>
      <c r="M123" s="3">
        <v>4654</v>
      </c>
      <c r="N123" s="3">
        <v>19436</v>
      </c>
      <c r="O123" s="3">
        <v>14187</v>
      </c>
      <c r="P123" s="3">
        <v>13991</v>
      </c>
      <c r="Q123" s="1"/>
      <c r="R123" s="9" t="s">
        <v>161</v>
      </c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20" t="s">
        <v>98</v>
      </c>
      <c r="C124" s="18">
        <f>IF(AND(ISNUMBER(C123),ISNUMBER(J123)),IF(OR(J123&gt;0,AND(J123&lt;0,C123&lt;0)),C123/J123-1,"n/m"),"n/a")</f>
        <v>0.037882144439521426</v>
      </c>
      <c r="D124" s="18">
        <f>IF(AND(ISNUMBER(D123),ISNUMBER(K123)),IF(OR(K123&gt;0,AND(K123&lt;0,D123&lt;0)),D123/K123-1,"n/m"),"n/a")</f>
        <v>0.019241760335301894</v>
      </c>
      <c r="E124" s="18">
        <f>IF(AND(ISNUMBER(E123),ISNUMBER(L123)),IF(OR(L123&gt;0,AND(L123&lt;0,E123&lt;0)),E123/L123-1,"n/m"),"n/a")</f>
        <v>-0.1092003439380912</v>
      </c>
      <c r="F124" s="18">
        <f>IF(AND(ISNUMBER(F123),ISNUMBER(M123)),IF(OR(M123&gt;0,AND(M123&lt;0,F123&lt;0)),F123/M123-1,"n/m"),"n/a")</f>
        <v>0.020627417275461912</v>
      </c>
      <c r="G124" s="18">
        <f>IF(AND(ISNUMBER(G123),ISNUMBER(N123)),IF(OR(N123&gt;0,AND(N123&lt;0,G123&lt;0)),G123/N123-1,"n/m"),"n/a")</f>
        <v>-0.004887837003498707</v>
      </c>
      <c r="H124" s="21">
        <f>IF(AND(ISNUMBER(H123),ISNUMBER(C123)),IF(OR(C123&gt;0,AND(C123&lt;0,H123&lt;0)),H123/C123-1,"n/m"),"n/a")</f>
        <v>0.022252466168623197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20" t="s">
        <v>99</v>
      </c>
      <c r="C125" s="18">
        <f>IF(AND(ISNUMBER(C123),ISNUMBER(M123)),IF(OR(M123&gt;0,AND(M123&lt;0,C123&lt;0)),C123/M123-1,"n/m"),"n/a")</f>
        <v>0.006660936828534636</v>
      </c>
      <c r="D125" s="18">
        <f>IF(AND(ISNUMBER(D123),ISNUMBER(C123)),IF(OR(C123&gt;0,AND(C123&lt;0,D123&lt;0)),D123/C123-1,"n/m"),"n/a")</f>
        <v>0.14194236926360726</v>
      </c>
      <c r="E125" s="18">
        <f>IF(AND(ISNUMBER(E123),ISNUMBER(D123)),IF(OR(D123&gt;0,AND(D123&lt;0,E123&lt;0)),E123/D123-1,"n/m"),"n/a")</f>
        <v>-0.2254205607476636</v>
      </c>
      <c r="F125" s="18">
        <f>IF(AND(ISNUMBER(F123),ISNUMBER(E123)),IF(OR(E123&gt;0,AND(E123&lt;0,F123&lt;0)),F123/E123-1,"n/m"),"n/a")</f>
        <v>0.1462355212355213</v>
      </c>
      <c r="G125" s="18" t="s">
        <v>100</v>
      </c>
      <c r="H125" s="21">
        <f>IF(AND(ISNUMBER(H123),ISNUMBER(F123)),IF(OR(F123&gt;0,AND(F123&lt;0,H123&lt;0)),H123/F123-1,"n/m"),"n/a")</f>
        <v>0.008263748210526334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8" t="s">
        <v>101</v>
      </c>
      <c r="C126" s="2">
        <f>IF(AND(ISNUMBER(C123),ISNUMBER(M123)),C123-M123,"n/a")</f>
        <v>31</v>
      </c>
      <c r="D126" s="2">
        <f>IF(AND(ISNUMBER(D123),ISNUMBER(C123)),D123-C123,"n/a")</f>
        <v>665</v>
      </c>
      <c r="E126" s="2">
        <f>IF(AND(ISNUMBER(E123),ISNUMBER(D123)),E123-D123,"n/a")</f>
        <v>-1206</v>
      </c>
      <c r="F126" s="2">
        <f>IF(AND(ISNUMBER(F123),ISNUMBER(E123)),F123-E123,"n/a")</f>
        <v>606</v>
      </c>
      <c r="G126" s="2" t="s">
        <v>100</v>
      </c>
      <c r="H126" s="7">
        <f>IF(AND(ISNUMBER(H123),ISNUMBER(F123)),H123-F123,"n/a")</f>
        <v>39.25280399999974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20" t="s">
        <v>185</v>
      </c>
      <c r="C127" s="18">
        <f>IF(AND(ISNUMBER(C123),ISNUMBER(C56)),C123/C56,"n/a")</f>
        <v>0.6456725468577729</v>
      </c>
      <c r="D127" s="18">
        <f>IF(AND(ISNUMBER(D123),ISNUMBER(D56)),D123/D56,"n/a")</f>
        <v>0.6276396058188644</v>
      </c>
      <c r="E127" s="18">
        <f>IF(AND(ISNUMBER(E123),ISNUMBER(E56)),E123/E56,"n/a")</f>
        <v>0.5960017258737236</v>
      </c>
      <c r="F127" s="18">
        <f>IF(AND(ISNUMBER(F123),ISNUMBER(F56)),F123/F56,"n/a")</f>
        <v>0.585552268244576</v>
      </c>
      <c r="G127" s="18">
        <f>IF(AND(ISNUMBER(G123),ISNUMBER(G56)),G123/G56,"n/a")</f>
        <v>0.6392239812274846</v>
      </c>
      <c r="H127" s="32">
        <v>0.614</v>
      </c>
      <c r="I127" s="1"/>
      <c r="J127" s="18">
        <f>IF(AND(ISNUMBER(J123),ISNUMBER(J56)),J123/J56,"n/a")</f>
        <v>0.6958532449514413</v>
      </c>
      <c r="K127" s="18">
        <f>IF(AND(ISNUMBER(K123),ISNUMBER(K56)),K123/K56,"n/a")</f>
        <v>0.6553876888500437</v>
      </c>
      <c r="L127" s="18">
        <f>IF(AND(ISNUMBER(L123),ISNUMBER(L56)),L123/L56,"n/a")</f>
        <v>0.6592036276037977</v>
      </c>
      <c r="M127" s="18">
        <f>IF(AND(ISNUMBER(M123),ISNUMBER(M56)),M123/M56,"n/a")</f>
        <v>0.6272237196765499</v>
      </c>
      <c r="N127" s="18">
        <f>IF(AND(ISNUMBER(N123),ISNUMBER(N56)),N123/N56,"n/a")</f>
        <v>0.6791529806415543</v>
      </c>
      <c r="O127" s="18">
        <f>IF(AND(ISNUMBER(O123),ISNUMBER(O56)),O123/O56,"n/a")</f>
        <v>0.688388568101315</v>
      </c>
      <c r="P127" s="18">
        <f>IF(AND(ISNUMBER(P123),ISNUMBER(P56)),P123/P56,"n/a")</f>
        <v>0.6437675424469701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37" t="s">
        <v>103</v>
      </c>
      <c r="C128" s="5">
        <f>IF(AND(ISNUMBER(C127),ISNUMBER(J127)),(C127-J127)*10000,"n/a")</f>
        <v>-501.8069809366843</v>
      </c>
      <c r="D128" s="5">
        <f>IF(AND(ISNUMBER(D127),ISNUMBER(K127)),(D127-K127)*10000,"n/a")</f>
        <v>-277.48083031179374</v>
      </c>
      <c r="E128" s="5">
        <f>IF(AND(ISNUMBER(E127),ISNUMBER(L127)),(E127-L127)*10000,"n/a")</f>
        <v>-632.0190173007412</v>
      </c>
      <c r="F128" s="5">
        <f>IF(AND(ISNUMBER(F127),ISNUMBER(M127)),(F127-M127)*10000,"n/a")</f>
        <v>-416.7145143197393</v>
      </c>
      <c r="G128" s="5">
        <f>IF(AND(ISNUMBER(G127),ISNUMBER(N127)),(G127-N127)*10000,"n/a")</f>
        <v>-399.2899941406969</v>
      </c>
      <c r="H128" s="30">
        <f>IF(AND(ISNUMBER(H127),ISNUMBER(C127)),(H127-C127)*10000,"n/a")</f>
        <v>-316.72546857772875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37" t="s">
        <v>104</v>
      </c>
      <c r="C129" s="5">
        <f>IF(AND(ISNUMBER(C127),ISNUMBER(M127)),(C127-M127)*10000,"n/a")</f>
        <v>184.4882718122298</v>
      </c>
      <c r="D129" s="5">
        <f>IF(AND(ISNUMBER(D127),ISNUMBER(C127)),(D127-C127)*10000,"n/a")</f>
        <v>-180.32941038908513</v>
      </c>
      <c r="E129" s="5">
        <f>IF(AND(ISNUMBER(E127),ISNUMBER(D127)),(E127-D127)*10000,"n/a")</f>
        <v>-316.3787994514078</v>
      </c>
      <c r="F129" s="5">
        <f>IF(AND(ISNUMBER(F127),ISNUMBER(E127)),(F127-E127)*10000,"n/a")</f>
        <v>-104.49457629147618</v>
      </c>
      <c r="G129" s="5" t="s">
        <v>100</v>
      </c>
      <c r="H129" s="30">
        <f>IF(AND(ISNUMBER(H127),ISNUMBER(F127)),(H127-F127)*10000,"n/a")</f>
        <v>284.4773175542403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20" t="s">
        <v>105</v>
      </c>
      <c r="C130" s="18" t="s">
        <v>106</v>
      </c>
      <c r="D130" s="18" t="s">
        <v>106</v>
      </c>
      <c r="E130" s="18" t="s">
        <v>106</v>
      </c>
      <c r="F130" s="18" t="s">
        <v>106</v>
      </c>
      <c r="G130" s="18" t="s">
        <v>106</v>
      </c>
      <c r="H130" s="21" t="s">
        <v>106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20" t="s">
        <v>107</v>
      </c>
      <c r="C131" s="18" t="s">
        <v>106</v>
      </c>
      <c r="D131" s="18" t="s">
        <v>106</v>
      </c>
      <c r="E131" s="18" t="s">
        <v>106</v>
      </c>
      <c r="F131" s="18" t="s">
        <v>106</v>
      </c>
      <c r="G131" s="18" t="s">
        <v>106</v>
      </c>
      <c r="H131" s="21" t="s">
        <v>106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20" t="s">
        <v>108</v>
      </c>
      <c r="C132" s="18" t="str">
        <f>IF(AND(ISNUMBER(C124),ISNUMBER(C130),ISNUMBER(C131)),(1+C124)/((1+C130)*(1+C131))-1,"n/a")</f>
        <v>n/a</v>
      </c>
      <c r="D132" s="18" t="str">
        <f>IF(AND(ISNUMBER(D124),ISNUMBER(D130),ISNUMBER(D131)),(1+D124)/((1+D130)*(1+D131))-1,"n/a")</f>
        <v>n/a</v>
      </c>
      <c r="E132" s="18" t="str">
        <f>IF(AND(ISNUMBER(E124),ISNUMBER(E130),ISNUMBER(E131)),(1+E124)/((1+E130)*(1+E131))-1,"n/a")</f>
        <v>n/a</v>
      </c>
      <c r="F132" s="18" t="str">
        <f>IF(AND(ISNUMBER(F124),ISNUMBER(F130),ISNUMBER(F131)),(1+F124)/((1+F130)*(1+F131))-1,"n/a")</f>
        <v>n/a</v>
      </c>
      <c r="G132" s="18" t="str">
        <f>IF(AND(ISNUMBER(G124),ISNUMBER(G130),ISNUMBER(G131)),(1+G124)/((1+G130)*(1+G131))-1,"n/a")</f>
        <v>n/a</v>
      </c>
      <c r="H132" s="21" t="str">
        <f>IF(AND(ISNUMBER(H124),ISNUMBER(H130),ISNUMBER(H131)),(1+H124)/((1+H130)*(1+H131))-1,"n/a")</f>
        <v>n/a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4" t="s">
        <v>186</v>
      </c>
      <c r="C133" s="3">
        <v>1245</v>
      </c>
      <c r="D133" s="2">
        <f>G133-P133</f>
        <v>1671</v>
      </c>
      <c r="E133" s="3">
        <v>1437</v>
      </c>
      <c r="F133" s="3">
        <v>1729</v>
      </c>
      <c r="G133" s="3">
        <v>5567</v>
      </c>
      <c r="H133" s="7">
        <f>H56*H137</f>
        <v>1536.6169419999999</v>
      </c>
      <c r="I133" s="1"/>
      <c r="J133" s="3">
        <v>1047</v>
      </c>
      <c r="K133" s="2">
        <f>N133-O133</f>
        <v>1543</v>
      </c>
      <c r="L133" s="3">
        <v>1247</v>
      </c>
      <c r="M133" s="3">
        <v>1404</v>
      </c>
      <c r="N133" s="3">
        <v>5071</v>
      </c>
      <c r="O133" s="3">
        <v>3528</v>
      </c>
      <c r="P133" s="3">
        <v>3896</v>
      </c>
      <c r="Q133" s="1"/>
      <c r="R133" s="9" t="s">
        <v>161</v>
      </c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20" t="s">
        <v>98</v>
      </c>
      <c r="C134" s="18">
        <f>IF(AND(ISNUMBER(C133),ISNUMBER(J133)),IF(OR(J133&gt;0,AND(J133&lt;0,C133&lt;0)),C133/J133-1,"n/m"),"n/a")</f>
        <v>0.18911174785100293</v>
      </c>
      <c r="D134" s="18">
        <f>IF(AND(ISNUMBER(D133),ISNUMBER(K133)),IF(OR(K133&gt;0,AND(K133&lt;0,D133&lt;0)),D133/K133-1,"n/m"),"n/a")</f>
        <v>0.08295528191834078</v>
      </c>
      <c r="E134" s="18">
        <f>IF(AND(ISNUMBER(E133),ISNUMBER(L133)),IF(OR(L133&gt;0,AND(L133&lt;0,E133&lt;0)),E133/L133-1,"n/m"),"n/a")</f>
        <v>0.15236567762630315</v>
      </c>
      <c r="F134" s="18">
        <f>IF(AND(ISNUMBER(F133),ISNUMBER(M133)),IF(OR(M133&gt;0,AND(M133&lt;0,F133&lt;0)),F133/M133-1,"n/m"),"n/a")</f>
        <v>0.2314814814814814</v>
      </c>
      <c r="G134" s="18">
        <f>IF(AND(ISNUMBER(G133),ISNUMBER(N133)),IF(OR(N133&gt;0,AND(N133&lt;0,G133&lt;0)),G133/N133-1,"n/m"),"n/a")</f>
        <v>0.09781108262670091</v>
      </c>
      <c r="H134" s="21">
        <f>IF(AND(ISNUMBER(H133),ISNUMBER(C133)),IF(OR(C133&gt;0,AND(C133&lt;0,H133&lt;0)),H133/C133-1,"n/m"),"n/a")</f>
        <v>0.23423047550200793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20" t="s">
        <v>99</v>
      </c>
      <c r="C135" s="18">
        <f>IF(AND(ISNUMBER(C133),ISNUMBER(M133)),IF(OR(M133&gt;0,AND(M133&lt;0,C133&lt;0)),C133/M133-1,"n/m"),"n/a")</f>
        <v>-0.11324786324786329</v>
      </c>
      <c r="D135" s="18">
        <f>IF(AND(ISNUMBER(D133),ISNUMBER(C133)),IF(OR(C133&gt;0,AND(C133&lt;0,D133&lt;0)),D133/C133-1,"n/m"),"n/a")</f>
        <v>0.3421686746987951</v>
      </c>
      <c r="E135" s="18">
        <f>IF(AND(ISNUMBER(E133),ISNUMBER(D133)),IF(OR(D133&gt;0,AND(D133&lt;0,E133&lt;0)),E133/D133-1,"n/m"),"n/a")</f>
        <v>-0.1400359066427289</v>
      </c>
      <c r="F135" s="18">
        <f>IF(AND(ISNUMBER(F133),ISNUMBER(E133)),IF(OR(E133&gt;0,AND(E133&lt;0,F133&lt;0)),F133/E133-1,"n/m"),"n/a")</f>
        <v>0.20320111343075853</v>
      </c>
      <c r="G135" s="18" t="s">
        <v>100</v>
      </c>
      <c r="H135" s="21">
        <f>IF(AND(ISNUMBER(H133),ISNUMBER(F133)),IF(OR(F133&gt;0,AND(F133&lt;0,H133&lt;0)),H133/F133-1,"n/m"),"n/a")</f>
        <v>-0.11126839676113365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8" t="s">
        <v>101</v>
      </c>
      <c r="C136" s="2">
        <f>IF(AND(ISNUMBER(C133),ISNUMBER(M133)),C133-M133,"n/a")</f>
        <v>-159</v>
      </c>
      <c r="D136" s="2">
        <f>IF(AND(ISNUMBER(D133),ISNUMBER(C133)),D133-C133,"n/a")</f>
        <v>426</v>
      </c>
      <c r="E136" s="2">
        <f>IF(AND(ISNUMBER(E133),ISNUMBER(D133)),E133-D133,"n/a")</f>
        <v>-234</v>
      </c>
      <c r="F136" s="2">
        <f>IF(AND(ISNUMBER(F133),ISNUMBER(E133)),F133-E133,"n/a")</f>
        <v>292</v>
      </c>
      <c r="G136" s="2" t="s">
        <v>100</v>
      </c>
      <c r="H136" s="7">
        <f>IF(AND(ISNUMBER(H133),ISNUMBER(F133)),H133-F133,"n/a")</f>
        <v>-192.38305800000012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20" t="s">
        <v>187</v>
      </c>
      <c r="C137" s="18">
        <f>IF(AND(ISNUMBER(C133),ISNUMBER(C56)),C133/C56,"n/a")</f>
        <v>0.17158213891951488</v>
      </c>
      <c r="D137" s="18">
        <f>IF(AND(ISNUMBER(D133),ISNUMBER(D56)),D133/D56,"n/a")</f>
        <v>0.19603472548099485</v>
      </c>
      <c r="E137" s="18">
        <f>IF(AND(ISNUMBER(E133),ISNUMBER(E56)),E133/E56,"n/a")</f>
        <v>0.20667337839781388</v>
      </c>
      <c r="F137" s="18">
        <f>IF(AND(ISNUMBER(F133),ISNUMBER(F56)),F133/F56,"n/a")</f>
        <v>0.21314102564102563</v>
      </c>
      <c r="G137" s="18">
        <f>IF(AND(ISNUMBER(G133),ISNUMBER(G56)),G133/G56,"n/a")</f>
        <v>0.18399048154146147</v>
      </c>
      <c r="H137" s="32">
        <v>0.197</v>
      </c>
      <c r="I137" s="1"/>
      <c r="J137" s="18">
        <f>IF(AND(ISNUMBER(J133),ISNUMBER(J56)),J133/J56,"n/a")</f>
        <v>0.16139972252196702</v>
      </c>
      <c r="K137" s="18">
        <f>IF(AND(ISNUMBER(K133),ISNUMBER(K56)),K133/K56,"n/a")</f>
        <v>0.19265825945810963</v>
      </c>
      <c r="L137" s="18">
        <f>IF(AND(ISNUMBER(L133),ISNUMBER(L56)),L133/L56,"n/a")</f>
        <v>0.17670398186198102</v>
      </c>
      <c r="M137" s="18">
        <f>IF(AND(ISNUMBER(M133),ISNUMBER(M56)),M133/M56,"n/a")</f>
        <v>0.18921832884097034</v>
      </c>
      <c r="N137" s="18">
        <f>IF(AND(ISNUMBER(N133),ISNUMBER(N56)),N133/N56,"n/a")</f>
        <v>0.17719617024250472</v>
      </c>
      <c r="O137" s="18">
        <f>IF(AND(ISNUMBER(O133),ISNUMBER(O56)),O133/O56,"n/a")</f>
        <v>0.17118734533456256</v>
      </c>
      <c r="P137" s="18">
        <f>IF(AND(ISNUMBER(P133),ISNUMBER(P56)),P133/P56,"n/a")</f>
        <v>0.17926655316799336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37" t="s">
        <v>103</v>
      </c>
      <c r="C138" s="5">
        <f>IF(AND(ISNUMBER(C137),ISNUMBER(J137)),(C137-J137)*10000,"n/a")</f>
        <v>101.82416397547856</v>
      </c>
      <c r="D138" s="5">
        <f>IF(AND(ISNUMBER(D137),ISNUMBER(K137)),(D137-K137)*10000,"n/a")</f>
        <v>33.764660228852165</v>
      </c>
      <c r="E138" s="5">
        <f>IF(AND(ISNUMBER(E137),ISNUMBER(L137)),(E137-L137)*10000,"n/a")</f>
        <v>299.69396535832857</v>
      </c>
      <c r="F138" s="5">
        <f>IF(AND(ISNUMBER(F137),ISNUMBER(M137)),(F137-M137)*10000,"n/a")</f>
        <v>239.22696800055294</v>
      </c>
      <c r="G138" s="5">
        <f>IF(AND(ISNUMBER(G137),ISNUMBER(N137)),(G137-N137)*10000,"n/a")</f>
        <v>67.94311298956745</v>
      </c>
      <c r="H138" s="30">
        <f>IF(AND(ISNUMBER(H137),ISNUMBER(C137)),(H137-C137)*10000,"n/a")</f>
        <v>254.17861080485133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37" t="s">
        <v>104</v>
      </c>
      <c r="C139" s="5">
        <f>IF(AND(ISNUMBER(C137),ISNUMBER(M137)),(C137-M137)*10000,"n/a")</f>
        <v>-176.36189921455465</v>
      </c>
      <c r="D139" s="5">
        <f>IF(AND(ISNUMBER(D137),ISNUMBER(C137)),(D137-C137)*10000,"n/a")</f>
        <v>244.52586561479973</v>
      </c>
      <c r="E139" s="5">
        <f>IF(AND(ISNUMBER(E137),ISNUMBER(D137)),(E137-D137)*10000,"n/a")</f>
        <v>106.38652916819036</v>
      </c>
      <c r="F139" s="5">
        <f>IF(AND(ISNUMBER(F137),ISNUMBER(E137)),(F137-E137)*10000,"n/a")</f>
        <v>64.67647243211749</v>
      </c>
      <c r="G139" s="5" t="s">
        <v>100</v>
      </c>
      <c r="H139" s="30">
        <f>IF(AND(ISNUMBER(H137),ISNUMBER(F137)),(H137-F137)*10000,"n/a")</f>
        <v>-161.41025641025624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20" t="s">
        <v>105</v>
      </c>
      <c r="C140" s="18" t="s">
        <v>106</v>
      </c>
      <c r="D140" s="18" t="s">
        <v>106</v>
      </c>
      <c r="E140" s="18" t="s">
        <v>106</v>
      </c>
      <c r="F140" s="18" t="s">
        <v>106</v>
      </c>
      <c r="G140" s="18" t="s">
        <v>106</v>
      </c>
      <c r="H140" s="21" t="s">
        <v>106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20" t="s">
        <v>107</v>
      </c>
      <c r="C141" s="18" t="s">
        <v>106</v>
      </c>
      <c r="D141" s="18" t="s">
        <v>106</v>
      </c>
      <c r="E141" s="18" t="s">
        <v>106</v>
      </c>
      <c r="F141" s="18" t="s">
        <v>106</v>
      </c>
      <c r="G141" s="18" t="s">
        <v>106</v>
      </c>
      <c r="H141" s="21" t="s">
        <v>106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20" t="s">
        <v>108</v>
      </c>
      <c r="C142" s="18" t="str">
        <f>IF(AND(ISNUMBER(C134),ISNUMBER(C140),ISNUMBER(C141)),(1+C134)/((1+C140)*(1+C141))-1,"n/a")</f>
        <v>n/a</v>
      </c>
      <c r="D142" s="18" t="str">
        <f>IF(AND(ISNUMBER(D134),ISNUMBER(D140),ISNUMBER(D141)),(1+D134)/((1+D140)*(1+D141))-1,"n/a")</f>
        <v>n/a</v>
      </c>
      <c r="E142" s="18" t="str">
        <f>IF(AND(ISNUMBER(E134),ISNUMBER(E140),ISNUMBER(E141)),(1+E134)/((1+E140)*(1+E141))-1,"n/a")</f>
        <v>n/a</v>
      </c>
      <c r="F142" s="18" t="str">
        <f>IF(AND(ISNUMBER(F134),ISNUMBER(F140),ISNUMBER(F141)),(1+F134)/((1+F140)*(1+F141))-1,"n/a")</f>
        <v>n/a</v>
      </c>
      <c r="G142" s="18" t="str">
        <f>IF(AND(ISNUMBER(G134),ISNUMBER(G140),ISNUMBER(G141)),(1+G134)/((1+G140)*(1+G141))-1,"n/a")</f>
        <v>n/a</v>
      </c>
      <c r="H142" s="21" t="str">
        <f>IF(AND(ISNUMBER(H134),ISNUMBER(H140),ISNUMBER(H141)),(1+H134)/((1+H140)*(1+H141))-1,"n/a")</f>
        <v>n/a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4" t="s">
        <v>188</v>
      </c>
      <c r="C143" s="3">
        <v>926</v>
      </c>
      <c r="D143" s="2">
        <f>G143-P143</f>
        <v>1075</v>
      </c>
      <c r="E143" s="3">
        <v>907</v>
      </c>
      <c r="F143" s="3">
        <v>1143</v>
      </c>
      <c r="G143" s="3">
        <v>3825</v>
      </c>
      <c r="H143" s="7">
        <f>H56*H147</f>
        <v>1021.8112659999999</v>
      </c>
      <c r="I143" s="1"/>
      <c r="J143" s="3">
        <v>612</v>
      </c>
      <c r="K143" s="2">
        <f>N143-O143</f>
        <v>830</v>
      </c>
      <c r="L143" s="3">
        <v>840</v>
      </c>
      <c r="M143" s="3">
        <v>984</v>
      </c>
      <c r="N143" s="3">
        <v>2763</v>
      </c>
      <c r="O143" s="3">
        <v>1933</v>
      </c>
      <c r="P143" s="3">
        <v>2750</v>
      </c>
      <c r="Q143" s="1"/>
      <c r="R143" s="9" t="s">
        <v>161</v>
      </c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20" t="s">
        <v>98</v>
      </c>
      <c r="C144" s="18">
        <f>IF(AND(ISNUMBER(C143),ISNUMBER(J143)),IF(OR(J143&gt;0,AND(J143&lt;0,C143&lt;0)),C143/J143-1,"n/m"),"n/a")</f>
        <v>0.5130718954248366</v>
      </c>
      <c r="D144" s="18">
        <f>IF(AND(ISNUMBER(D143),ISNUMBER(K143)),IF(OR(K143&gt;0,AND(K143&lt;0,D143&lt;0)),D143/K143-1,"n/m"),"n/a")</f>
        <v>0.29518072289156616</v>
      </c>
      <c r="E144" s="18">
        <f>IF(AND(ISNUMBER(E143),ISNUMBER(L143)),IF(OR(L143&gt;0,AND(L143&lt;0,E143&lt;0)),E143/L143-1,"n/m"),"n/a")</f>
        <v>0.0797619047619047</v>
      </c>
      <c r="F144" s="18">
        <f>IF(AND(ISNUMBER(F143),ISNUMBER(M143)),IF(OR(M143&gt;0,AND(M143&lt;0,F143&lt;0)),F143/M143-1,"n/m"),"n/a")</f>
        <v>0.16158536585365857</v>
      </c>
      <c r="G144" s="18">
        <f>IF(AND(ISNUMBER(G143),ISNUMBER(N143)),IF(OR(N143&gt;0,AND(N143&lt;0,G143&lt;0)),G143/N143-1,"n/m"),"n/a")</f>
        <v>0.3843648208469055</v>
      </c>
      <c r="H144" s="21">
        <f>IF(AND(ISNUMBER(H143),ISNUMBER(C143)),IF(OR(C143&gt;0,AND(C143&lt;0,H143&lt;0)),H143/C143-1,"n/m"),"n/a")</f>
        <v>0.10346788984881194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0" t="s">
        <v>99</v>
      </c>
      <c r="C145" s="18">
        <f>IF(AND(ISNUMBER(C143),ISNUMBER(M143)),IF(OR(M143&gt;0,AND(M143&lt;0,C143&lt;0)),C143/M143-1,"n/m"),"n/a")</f>
        <v>-0.058943089430894324</v>
      </c>
      <c r="D145" s="18">
        <f>IF(AND(ISNUMBER(D143),ISNUMBER(C143)),IF(OR(C143&gt;0,AND(C143&lt;0,D143&lt;0)),D143/C143-1,"n/m"),"n/a")</f>
        <v>0.1609071274298055</v>
      </c>
      <c r="E145" s="18">
        <f>IF(AND(ISNUMBER(E143),ISNUMBER(D143)),IF(OR(D143&gt;0,AND(D143&lt;0,E143&lt;0)),E143/D143-1,"n/m"),"n/a")</f>
        <v>-0.15627906976744188</v>
      </c>
      <c r="F145" s="18">
        <f>IF(AND(ISNUMBER(F143),ISNUMBER(E143)),IF(OR(E143&gt;0,AND(E143&lt;0,F143&lt;0)),F143/E143-1,"n/m"),"n/a")</f>
        <v>0.2601984564498345</v>
      </c>
      <c r="G145" s="18" t="s">
        <v>100</v>
      </c>
      <c r="H145" s="21">
        <f>IF(AND(ISNUMBER(H143),ISNUMBER(F143)),IF(OR(F143&gt;0,AND(F143&lt;0,H143&lt;0)),H143/F143-1,"n/m"),"n/a")</f>
        <v>-0.10602688888888889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8" t="s">
        <v>101</v>
      </c>
      <c r="C146" s="2">
        <f>IF(AND(ISNUMBER(C143),ISNUMBER(M143)),C143-M143,"n/a")</f>
        <v>-58</v>
      </c>
      <c r="D146" s="2">
        <f>IF(AND(ISNUMBER(D143),ISNUMBER(C143)),D143-C143,"n/a")</f>
        <v>149</v>
      </c>
      <c r="E146" s="2">
        <f>IF(AND(ISNUMBER(E143),ISNUMBER(D143)),E143-D143,"n/a")</f>
        <v>-168</v>
      </c>
      <c r="F146" s="2">
        <f>IF(AND(ISNUMBER(F143),ISNUMBER(E143)),F143-E143,"n/a")</f>
        <v>236</v>
      </c>
      <c r="G146" s="2" t="s">
        <v>100</v>
      </c>
      <c r="H146" s="7">
        <f>IF(AND(ISNUMBER(H143),ISNUMBER(F143)),H143-F143,"n/a")</f>
        <v>-121.18873400000007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20" t="s">
        <v>189</v>
      </c>
      <c r="C147" s="18">
        <f>IF(AND(ISNUMBER(C143),ISNUMBER(C56)),C143/C56,"n/a")</f>
        <v>0.12761852260198456</v>
      </c>
      <c r="D147" s="18">
        <f>IF(AND(ISNUMBER(D143),ISNUMBER(D56)),D143/D56,"n/a")</f>
        <v>0.12611450023463164</v>
      </c>
      <c r="E147" s="18">
        <f>IF(AND(ISNUMBER(E143),ISNUMBER(E56)),E143/E56,"n/a")</f>
        <v>0.13044728894002589</v>
      </c>
      <c r="F147" s="18">
        <f>IF(AND(ISNUMBER(F143),ISNUMBER(F56)),F143/F56,"n/a")</f>
        <v>0.14090236686390534</v>
      </c>
      <c r="G147" s="18">
        <f>IF(AND(ISNUMBER(G143),ISNUMBER(G56)),G143/G56,"n/a")</f>
        <v>0.12641702746471892</v>
      </c>
      <c r="H147" s="32">
        <v>0.131</v>
      </c>
      <c r="I147" s="1"/>
      <c r="J147" s="18">
        <f>IF(AND(ISNUMBER(J143),ISNUMBER(J56)),J143/J56,"n/a")</f>
        <v>0.09434253121627871</v>
      </c>
      <c r="K147" s="18">
        <f>IF(AND(ISNUMBER(K143),ISNUMBER(K56)),K143/K56,"n/a")</f>
        <v>0.10363341241103759</v>
      </c>
      <c r="L147" s="18">
        <f>IF(AND(ISNUMBER(L143),ISNUMBER(L56)),L143/L56,"n/a")</f>
        <v>0.119030749610316</v>
      </c>
      <c r="M147" s="18">
        <f>IF(AND(ISNUMBER(M143),ISNUMBER(M56)),M143/M56,"n/a")</f>
        <v>0.1326145552560647</v>
      </c>
      <c r="N147" s="18">
        <f>IF(AND(ISNUMBER(N143),ISNUMBER(N56)),N143/N56,"n/a")</f>
        <v>0.09654762736739116</v>
      </c>
      <c r="O147" s="18">
        <f>IF(AND(ISNUMBER(O143),ISNUMBER(O56)),O143/O56,"n/a")</f>
        <v>0.09379397350672036</v>
      </c>
      <c r="P147" s="18">
        <f>IF(AND(ISNUMBER(P143),ISNUMBER(P56)),P143/P56,"n/a")</f>
        <v>0.12653568306262367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37" t="s">
        <v>103</v>
      </c>
      <c r="C148" s="5">
        <f>IF(AND(ISNUMBER(C147),ISNUMBER(J147)),(C147-J147)*10000,"n/a")</f>
        <v>332.75991385705845</v>
      </c>
      <c r="D148" s="5">
        <f>IF(AND(ISNUMBER(D147),ISNUMBER(K147)),(D147-K147)*10000,"n/a")</f>
        <v>224.81087823594052</v>
      </c>
      <c r="E148" s="5">
        <f>IF(AND(ISNUMBER(E147),ISNUMBER(L147)),(E147-L147)*10000,"n/a")</f>
        <v>114.16539329709887</v>
      </c>
      <c r="F148" s="5">
        <f>IF(AND(ISNUMBER(F147),ISNUMBER(M147)),(F147-M147)*10000,"n/a")</f>
        <v>82.87811607840645</v>
      </c>
      <c r="G148" s="5">
        <f>IF(AND(ISNUMBER(G147),ISNUMBER(N147)),(G147-N147)*10000,"n/a")</f>
        <v>298.69400097327764</v>
      </c>
      <c r="H148" s="30">
        <f>IF(AND(ISNUMBER(H147),ISNUMBER(C147)),(H147-C147)*10000,"n/a")</f>
        <v>33.81477398015448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37" t="s">
        <v>104</v>
      </c>
      <c r="C149" s="5">
        <f>IF(AND(ISNUMBER(C147),ISNUMBER(M147)),(C147-M147)*10000,"n/a")</f>
        <v>-49.96032654080135</v>
      </c>
      <c r="D149" s="5">
        <f>IF(AND(ISNUMBER(D147),ISNUMBER(C147)),(D147-C147)*10000,"n/a")</f>
        <v>-15.040223673529196</v>
      </c>
      <c r="E149" s="5">
        <f>IF(AND(ISNUMBER(E147),ISNUMBER(D147)),(E147-D147)*10000,"n/a")</f>
        <v>43.32788705394247</v>
      </c>
      <c r="F149" s="5">
        <f>IF(AND(ISNUMBER(F147),ISNUMBER(E147)),(F147-E147)*10000,"n/a")</f>
        <v>104.55077923879452</v>
      </c>
      <c r="G149" s="5" t="s">
        <v>100</v>
      </c>
      <c r="H149" s="30">
        <f>IF(AND(ISNUMBER(H147),ISNUMBER(F147)),(H147-F147)*10000,"n/a")</f>
        <v>-99.02366863905331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20" t="s">
        <v>105</v>
      </c>
      <c r="C150" s="18" t="s">
        <v>106</v>
      </c>
      <c r="D150" s="18" t="s">
        <v>106</v>
      </c>
      <c r="E150" s="18" t="s">
        <v>106</v>
      </c>
      <c r="F150" s="18" t="s">
        <v>106</v>
      </c>
      <c r="G150" s="18" t="s">
        <v>106</v>
      </c>
      <c r="H150" s="21" t="s">
        <v>106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20" t="s">
        <v>107</v>
      </c>
      <c r="C151" s="18" t="s">
        <v>106</v>
      </c>
      <c r="D151" s="18" t="s">
        <v>106</v>
      </c>
      <c r="E151" s="18" t="s">
        <v>106</v>
      </c>
      <c r="F151" s="18" t="s">
        <v>106</v>
      </c>
      <c r="G151" s="18" t="s">
        <v>106</v>
      </c>
      <c r="H151" s="21" t="s">
        <v>106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20" t="s">
        <v>108</v>
      </c>
      <c r="C152" s="18" t="str">
        <f>IF(AND(ISNUMBER(C144),ISNUMBER(C150),ISNUMBER(C151)),(1+C144)/((1+C150)*(1+C151))-1,"n/a")</f>
        <v>n/a</v>
      </c>
      <c r="D152" s="18" t="str">
        <f>IF(AND(ISNUMBER(D144),ISNUMBER(D150),ISNUMBER(D151)),(1+D144)/((1+D150)*(1+D151))-1,"n/a")</f>
        <v>n/a</v>
      </c>
      <c r="E152" s="18" t="str">
        <f>IF(AND(ISNUMBER(E144),ISNUMBER(E150),ISNUMBER(E151)),(1+E144)/((1+E150)*(1+E151))-1,"n/a")</f>
        <v>n/a</v>
      </c>
      <c r="F152" s="18" t="str">
        <f>IF(AND(ISNUMBER(F144),ISNUMBER(F150),ISNUMBER(F151)),(1+F144)/((1+F150)*(1+F151))-1,"n/a")</f>
        <v>n/a</v>
      </c>
      <c r="G152" s="18" t="str">
        <f>IF(AND(ISNUMBER(G144),ISNUMBER(G150),ISNUMBER(G151)),(1+G144)/((1+G150)*(1+G151))-1,"n/a")</f>
        <v>n/a</v>
      </c>
      <c r="H152" s="21" t="str">
        <f>IF(AND(ISNUMBER(H144),ISNUMBER(H150),ISNUMBER(H151)),(1+H144)/((1+H150)*(1+H151))-1,"n/a")</f>
        <v>n/a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4" t="s">
        <v>190</v>
      </c>
      <c r="C153" s="3">
        <v>138</v>
      </c>
      <c r="D153" s="2">
        <f>G153-P153</f>
        <v>144</v>
      </c>
      <c r="E153" s="3">
        <v>225</v>
      </c>
      <c r="F153" s="3">
        <v>126</v>
      </c>
      <c r="G153" s="3">
        <v>589</v>
      </c>
      <c r="H153" s="7">
        <f>H56*H157</f>
        <v>163.801806</v>
      </c>
      <c r="I153" s="1"/>
      <c r="J153" s="3">
        <v>206</v>
      </c>
      <c r="K153" s="2">
        <f>N153-O153</f>
        <v>205</v>
      </c>
      <c r="L153" s="3">
        <v>148</v>
      </c>
      <c r="M153" s="3">
        <v>159</v>
      </c>
      <c r="N153" s="3">
        <v>808</v>
      </c>
      <c r="O153" s="3">
        <v>603</v>
      </c>
      <c r="P153" s="3">
        <v>445</v>
      </c>
      <c r="Q153" s="1"/>
      <c r="R153" s="9" t="s">
        <v>161</v>
      </c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20" t="s">
        <v>98</v>
      </c>
      <c r="C154" s="18">
        <f>IF(AND(ISNUMBER(C153),ISNUMBER(J153)),IF(OR(J153&gt;0,AND(J153&lt;0,C153&lt;0)),C153/J153-1,"n/m"),"n/a")</f>
        <v>-0.33009708737864074</v>
      </c>
      <c r="D154" s="18">
        <f>IF(AND(ISNUMBER(D153),ISNUMBER(K153)),IF(OR(K153&gt;0,AND(K153&lt;0,D153&lt;0)),D153/K153-1,"n/m"),"n/a")</f>
        <v>-0.29756097560975614</v>
      </c>
      <c r="E154" s="18">
        <f>IF(AND(ISNUMBER(E153),ISNUMBER(L153)),IF(OR(L153&gt;0,AND(L153&lt;0,E153&lt;0)),E153/L153-1,"n/m"),"n/a")</f>
        <v>0.5202702702702702</v>
      </c>
      <c r="F154" s="18">
        <f>IF(AND(ISNUMBER(F153),ISNUMBER(M153)),IF(OR(M153&gt;0,AND(M153&lt;0,F153&lt;0)),F153/M153-1,"n/m"),"n/a")</f>
        <v>-0.2075471698113207</v>
      </c>
      <c r="G154" s="18">
        <f>IF(AND(ISNUMBER(G153),ISNUMBER(N153)),IF(OR(N153&gt;0,AND(N153&lt;0,G153&lt;0)),G153/N153-1,"n/m"),"n/a")</f>
        <v>-0.27103960396039606</v>
      </c>
      <c r="H154" s="21">
        <f>IF(AND(ISNUMBER(H153),ISNUMBER(C153)),IF(OR(C153&gt;0,AND(C153&lt;0,H153&lt;0)),H153/C153-1,"n/m"),"n/a")</f>
        <v>0.18696960869565227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20" t="s">
        <v>99</v>
      </c>
      <c r="C155" s="18">
        <f>IF(AND(ISNUMBER(C153),ISNUMBER(M153)),IF(OR(M153&gt;0,AND(M153&lt;0,C153&lt;0)),C153/M153-1,"n/m"),"n/a")</f>
        <v>-0.13207547169811318</v>
      </c>
      <c r="D155" s="18">
        <f>IF(AND(ISNUMBER(D153),ISNUMBER(C153)),IF(OR(C153&gt;0,AND(C153&lt;0,D153&lt;0)),D153/C153-1,"n/m"),"n/a")</f>
        <v>0.04347826086956519</v>
      </c>
      <c r="E155" s="18">
        <f>IF(AND(ISNUMBER(E153),ISNUMBER(D153)),IF(OR(D153&gt;0,AND(D153&lt;0,E153&lt;0)),E153/D153-1,"n/m"),"n/a")</f>
        <v>0.5625</v>
      </c>
      <c r="F155" s="18">
        <f>IF(AND(ISNUMBER(F153),ISNUMBER(E153)),IF(OR(E153&gt;0,AND(E153&lt;0,F153&lt;0)),F153/E153-1,"n/m"),"n/a")</f>
        <v>-0.43999999999999995</v>
      </c>
      <c r="G155" s="18" t="s">
        <v>100</v>
      </c>
      <c r="H155" s="21">
        <f>IF(AND(ISNUMBER(H153),ISNUMBER(F153)),IF(OR(F153&gt;0,AND(F153&lt;0,H153&lt;0)),H153/F153-1,"n/m"),"n/a")</f>
        <v>0.3000143333333334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8" t="s">
        <v>101</v>
      </c>
      <c r="C156" s="2">
        <f>IF(AND(ISNUMBER(C153),ISNUMBER(M153)),C153-M153,"n/a")</f>
        <v>-21</v>
      </c>
      <c r="D156" s="2">
        <f>IF(AND(ISNUMBER(D153),ISNUMBER(C153)),D153-C153,"n/a")</f>
        <v>6</v>
      </c>
      <c r="E156" s="2">
        <f>IF(AND(ISNUMBER(E153),ISNUMBER(D153)),E153-D153,"n/a")</f>
        <v>81</v>
      </c>
      <c r="F156" s="2">
        <f>IF(AND(ISNUMBER(F153),ISNUMBER(E153)),F153-E153,"n/a")</f>
        <v>-99</v>
      </c>
      <c r="G156" s="2" t="s">
        <v>100</v>
      </c>
      <c r="H156" s="7">
        <f>IF(AND(ISNUMBER(H153),ISNUMBER(F153)),H153-F153,"n/a")</f>
        <v>37.801806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20" t="s">
        <v>191</v>
      </c>
      <c r="C157" s="18">
        <f>IF(AND(ISNUMBER(C153),ISNUMBER(C56)),C153/C56,"n/a")</f>
        <v>0.019018743109151047</v>
      </c>
      <c r="D157" s="18">
        <f>IF(AND(ISNUMBER(D153),ISNUMBER(D56)),D153/D56,"n/a")</f>
        <v>0.01689347724073205</v>
      </c>
      <c r="E157" s="18">
        <f>IF(AND(ISNUMBER(E153),ISNUMBER(E56)),E153/E56,"n/a")</f>
        <v>0.03236013231698547</v>
      </c>
      <c r="F157" s="18">
        <f>IF(AND(ISNUMBER(F153),ISNUMBER(F56)),F153/F56,"n/a")</f>
        <v>0.015532544378698224</v>
      </c>
      <c r="G157" s="18">
        <f>IF(AND(ISNUMBER(G153),ISNUMBER(G56)),G153/G56,"n/a")</f>
        <v>0.019466569719403776</v>
      </c>
      <c r="H157" s="32">
        <v>0.021</v>
      </c>
      <c r="I157" s="1"/>
      <c r="J157" s="18">
        <f>IF(AND(ISNUMBER(J153),ISNUMBER(J56)),J153/J56,"n/a")</f>
        <v>0.03175581933096963</v>
      </c>
      <c r="K157" s="18">
        <f>IF(AND(ISNUMBER(K153),ISNUMBER(K56)),K153/K56,"n/a")</f>
        <v>0.02559620427019603</v>
      </c>
      <c r="L157" s="18">
        <f>IF(AND(ISNUMBER(L153),ISNUMBER(L56)),L153/L56,"n/a")</f>
        <v>0.020972084455150915</v>
      </c>
      <c r="M157" s="18">
        <f>IF(AND(ISNUMBER(M153),ISNUMBER(M56)),M153/M56,"n/a")</f>
        <v>0.02142857142857143</v>
      </c>
      <c r="N157" s="18">
        <f>IF(AND(ISNUMBER(N153),ISNUMBER(N56)),N153/N56,"n/a")</f>
        <v>0.028233978614857783</v>
      </c>
      <c r="O157" s="18">
        <f>IF(AND(ISNUMBER(O153),ISNUMBER(O56)),O153/O56,"n/a")</f>
        <v>0.029259061575040032</v>
      </c>
      <c r="P157" s="18">
        <f>IF(AND(ISNUMBER(P153),ISNUMBER(P56)),P153/P56,"n/a")</f>
        <v>0.020475774168315464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37" t="s">
        <v>103</v>
      </c>
      <c r="C158" s="5">
        <f>IF(AND(ISNUMBER(C157),ISNUMBER(J157)),(C157-J157)*10000,"n/a")</f>
        <v>-127.37076221818585</v>
      </c>
      <c r="D158" s="5">
        <f>IF(AND(ISNUMBER(D157),ISNUMBER(K157)),(D157-K157)*10000,"n/a")</f>
        <v>-87.0272702946398</v>
      </c>
      <c r="E158" s="5">
        <f>IF(AND(ISNUMBER(E157),ISNUMBER(L157)),(E157-L157)*10000,"n/a")</f>
        <v>113.88047861834556</v>
      </c>
      <c r="F158" s="5">
        <f>IF(AND(ISNUMBER(F157),ISNUMBER(M157)),(F157-M157)*10000,"n/a")</f>
        <v>-58.960270498732044</v>
      </c>
      <c r="G158" s="5">
        <f>IF(AND(ISNUMBER(G157),ISNUMBER(N157)),(G157-N157)*10000,"n/a")</f>
        <v>-87.67408895454007</v>
      </c>
      <c r="H158" s="30">
        <f>IF(AND(ISNUMBER(H157),ISNUMBER(C157)),(H157-C157)*10000,"n/a")</f>
        <v>19.812568908489542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37" t="s">
        <v>104</v>
      </c>
      <c r="C159" s="5">
        <f>IF(AND(ISNUMBER(C157),ISNUMBER(M157)),(C157-M157)*10000,"n/a")</f>
        <v>-24.098283194203816</v>
      </c>
      <c r="D159" s="5">
        <f>IF(AND(ISNUMBER(D157),ISNUMBER(C157)),(D157-C157)*10000,"n/a")</f>
        <v>-21.252658684189978</v>
      </c>
      <c r="E159" s="5">
        <f>IF(AND(ISNUMBER(E157),ISNUMBER(D157)),(E157-D157)*10000,"n/a")</f>
        <v>154.66655076253423</v>
      </c>
      <c r="F159" s="5">
        <f>IF(AND(ISNUMBER(F157),ISNUMBER(E157)),(F157-E157)*10000,"n/a")</f>
        <v>-168.2758793828725</v>
      </c>
      <c r="G159" s="5" t="s">
        <v>100</v>
      </c>
      <c r="H159" s="30">
        <f>IF(AND(ISNUMBER(H157),ISNUMBER(F157)),(H157-F157)*10000,"n/a")</f>
        <v>54.674556213017766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20" t="s">
        <v>105</v>
      </c>
      <c r="C160" s="18" t="s">
        <v>106</v>
      </c>
      <c r="D160" s="18" t="s">
        <v>106</v>
      </c>
      <c r="E160" s="18" t="s">
        <v>106</v>
      </c>
      <c r="F160" s="18" t="s">
        <v>106</v>
      </c>
      <c r="G160" s="18" t="s">
        <v>106</v>
      </c>
      <c r="H160" s="21" t="s">
        <v>106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20" t="s">
        <v>107</v>
      </c>
      <c r="C161" s="18" t="s">
        <v>106</v>
      </c>
      <c r="D161" s="18" t="s">
        <v>106</v>
      </c>
      <c r="E161" s="18" t="s">
        <v>106</v>
      </c>
      <c r="F161" s="18" t="s">
        <v>106</v>
      </c>
      <c r="G161" s="18" t="s">
        <v>106</v>
      </c>
      <c r="H161" s="21" t="s">
        <v>106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20" t="s">
        <v>108</v>
      </c>
      <c r="C162" s="18" t="str">
        <f>IF(AND(ISNUMBER(C154),ISNUMBER(C160),ISNUMBER(C161)),(1+C154)/((1+C160)*(1+C161))-1,"n/a")</f>
        <v>n/a</v>
      </c>
      <c r="D162" s="18" t="str">
        <f>IF(AND(ISNUMBER(D154),ISNUMBER(D160),ISNUMBER(D161)),(1+D154)/((1+D160)*(1+D161))-1,"n/a")</f>
        <v>n/a</v>
      </c>
      <c r="E162" s="18" t="str">
        <f>IF(AND(ISNUMBER(E154),ISNUMBER(E160),ISNUMBER(E161)),(1+E154)/((1+E160)*(1+E161))-1,"n/a")</f>
        <v>n/a</v>
      </c>
      <c r="F162" s="18" t="str">
        <f>IF(AND(ISNUMBER(F154),ISNUMBER(F160),ISNUMBER(F161)),(1+F154)/((1+F160)*(1+F161))-1,"n/a")</f>
        <v>n/a</v>
      </c>
      <c r="G162" s="18" t="str">
        <f>IF(AND(ISNUMBER(G154),ISNUMBER(G160),ISNUMBER(G161)),(1+G154)/((1+G160)*(1+G161))-1,"n/a")</f>
        <v>n/a</v>
      </c>
      <c r="H162" s="21" t="str">
        <f>IF(AND(ISNUMBER(H154),ISNUMBER(H160),ISNUMBER(H161)),(1+H154)/((1+H160)*(1+H161))-1,"n/a")</f>
        <v>n/a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4" t="s">
        <v>192</v>
      </c>
      <c r="C163" s="3">
        <v>262</v>
      </c>
      <c r="D163" s="2">
        <f>G163-P163</f>
        <v>284</v>
      </c>
      <c r="E163" s="3">
        <v>240</v>
      </c>
      <c r="F163" s="3">
        <v>364</v>
      </c>
      <c r="G163" s="3">
        <v>935</v>
      </c>
      <c r="H163" s="7">
        <f>H56-H123-H133-H143-H153</f>
        <v>288.6031819999998</v>
      </c>
      <c r="I163" s="1"/>
      <c r="J163" s="3">
        <v>108</v>
      </c>
      <c r="K163" s="2">
        <f>N163-O163</f>
        <v>182</v>
      </c>
      <c r="L163" s="3">
        <v>170</v>
      </c>
      <c r="M163" s="3">
        <v>219</v>
      </c>
      <c r="N163" s="3">
        <v>540</v>
      </c>
      <c r="O163" s="3">
        <v>358</v>
      </c>
      <c r="P163" s="3">
        <v>651</v>
      </c>
      <c r="Q163" s="1"/>
      <c r="R163" s="9" t="s">
        <v>161</v>
      </c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20" t="s">
        <v>98</v>
      </c>
      <c r="C164" s="18">
        <f>IF(AND(ISNUMBER(C163),ISNUMBER(J163)),IF(OR(J163&gt;0,AND(J163&lt;0,C163&lt;0)),C163/J163-1,"n/m"),"n/a")</f>
        <v>1.425925925925926</v>
      </c>
      <c r="D164" s="18">
        <f>IF(AND(ISNUMBER(D163),ISNUMBER(K163)),IF(OR(K163&gt;0,AND(K163&lt;0,D163&lt;0)),D163/K163-1,"n/m"),"n/a")</f>
        <v>0.5604395604395604</v>
      </c>
      <c r="E164" s="18">
        <f>IF(AND(ISNUMBER(E163),ISNUMBER(L163)),IF(OR(L163&gt;0,AND(L163&lt;0,E163&lt;0)),E163/L163-1,"n/m"),"n/a")</f>
        <v>0.41176470588235303</v>
      </c>
      <c r="F164" s="18">
        <f>IF(AND(ISNUMBER(F163),ISNUMBER(M163)),IF(OR(M163&gt;0,AND(M163&lt;0,F163&lt;0)),F163/M163-1,"n/m"),"n/a")</f>
        <v>0.6621004566210045</v>
      </c>
      <c r="G164" s="18">
        <f>IF(AND(ISNUMBER(G163),ISNUMBER(N163)),IF(OR(N163&gt;0,AND(N163&lt;0,G163&lt;0)),G163/N163-1,"n/m"),"n/a")</f>
        <v>0.7314814814814814</v>
      </c>
      <c r="H164" s="21">
        <f>IF(AND(ISNUMBER(H163),ISNUMBER(C163)),IF(OR(C163&gt;0,AND(C163&lt;0,H163&lt;0)),H163/C163-1,"n/m"),"n/a")</f>
        <v>0.101538862595419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20" t="s">
        <v>99</v>
      </c>
      <c r="C165" s="18">
        <f>IF(AND(ISNUMBER(C163),ISNUMBER(M163)),IF(OR(M163&gt;0,AND(M163&lt;0,C163&lt;0)),C163/M163-1,"n/m"),"n/a")</f>
        <v>0.19634703196347036</v>
      </c>
      <c r="D165" s="18">
        <f>IF(AND(ISNUMBER(D163),ISNUMBER(C163)),IF(OR(C163&gt;0,AND(C163&lt;0,D163&lt;0)),D163/C163-1,"n/m"),"n/a")</f>
        <v>0.08396946564885499</v>
      </c>
      <c r="E165" s="18">
        <f>IF(AND(ISNUMBER(E163),ISNUMBER(D163)),IF(OR(D163&gt;0,AND(D163&lt;0,E163&lt;0)),E163/D163-1,"n/m"),"n/a")</f>
        <v>-0.15492957746478875</v>
      </c>
      <c r="F165" s="18">
        <f>IF(AND(ISNUMBER(F163),ISNUMBER(E163)),IF(OR(E163&gt;0,AND(E163&lt;0,F163&lt;0)),F163/E163-1,"n/m"),"n/a")</f>
        <v>0.5166666666666666</v>
      </c>
      <c r="G165" s="18" t="s">
        <v>100</v>
      </c>
      <c r="H165" s="21">
        <f>IF(AND(ISNUMBER(H163),ISNUMBER(F163)),IF(OR(F163&gt;0,AND(F163&lt;0,H163&lt;0)),H163/F163-1,"n/m"),"n/a")</f>
        <v>-0.207134115384616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8" t="s">
        <v>101</v>
      </c>
      <c r="C166" s="2">
        <f>IF(AND(ISNUMBER(C163),ISNUMBER(M163)),C163-M163,"n/a")</f>
        <v>43</v>
      </c>
      <c r="D166" s="2">
        <f>IF(AND(ISNUMBER(D163),ISNUMBER(C163)),D163-C163,"n/a")</f>
        <v>22</v>
      </c>
      <c r="E166" s="2">
        <f>IF(AND(ISNUMBER(E163),ISNUMBER(D163)),E163-D163,"n/a")</f>
        <v>-44</v>
      </c>
      <c r="F166" s="2">
        <f>IF(AND(ISNUMBER(F163),ISNUMBER(E163)),F163-E163,"n/a")</f>
        <v>124</v>
      </c>
      <c r="G166" s="2" t="s">
        <v>100</v>
      </c>
      <c r="H166" s="7">
        <f>IF(AND(ISNUMBER(H163),ISNUMBER(F163)),H163-F163,"n/a")</f>
        <v>-75.39681800000022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20" t="s">
        <v>193</v>
      </c>
      <c r="C167" s="18">
        <f>IF(AND(ISNUMBER(C163),ISNUMBER(C56)),C163/C56,"n/a")</f>
        <v>0.036108048511576625</v>
      </c>
      <c r="D167" s="18">
        <f>IF(AND(ISNUMBER(D163),ISNUMBER(D56)),D163/D56,"n/a")</f>
        <v>0.0333176912247771</v>
      </c>
      <c r="E167" s="18">
        <f>IF(AND(ISNUMBER(E163),ISNUMBER(E56)),E163/E56,"n/a")</f>
        <v>0.03451747447145117</v>
      </c>
      <c r="F167" s="18">
        <f>IF(AND(ISNUMBER(F163),ISNUMBER(F56)),F163/F56,"n/a")</f>
        <v>0.04487179487179487</v>
      </c>
      <c r="G167" s="18">
        <f>IF(AND(ISNUMBER(G163),ISNUMBER(G56)),G163/G56,"n/a")</f>
        <v>0.030901940046931288</v>
      </c>
      <c r="H167" s="21">
        <f>IF(AND(ISNUMBER(H163),ISNUMBER(H56)),H163/H56,"n/a")</f>
        <v>0.03699999999999998</v>
      </c>
      <c r="I167" s="1"/>
      <c r="J167" s="18">
        <f>IF(AND(ISNUMBER(J163),ISNUMBER(J56)),J163/J56,"n/a")</f>
        <v>0.016648681979343303</v>
      </c>
      <c r="K167" s="18">
        <f>IF(AND(ISNUMBER(K163),ISNUMBER(K56)),K163/K56,"n/a")</f>
        <v>0.02272443501061306</v>
      </c>
      <c r="L167" s="18">
        <f>IF(AND(ISNUMBER(L163),ISNUMBER(L56)),L163/L56,"n/a")</f>
        <v>0.02408955646875443</v>
      </c>
      <c r="M167" s="18">
        <f>IF(AND(ISNUMBER(M163),ISNUMBER(M56)),M163/M56,"n/a")</f>
        <v>0.029514824797843665</v>
      </c>
      <c r="N167" s="18">
        <f>IF(AND(ISNUMBER(N163),ISNUMBER(N56)),N163/N56,"n/a")</f>
        <v>0.018869243133692083</v>
      </c>
      <c r="O167" s="18">
        <f>IF(AND(ISNUMBER(O163),ISNUMBER(O56)),O163/O56,"n/a")</f>
        <v>0.017371051482362076</v>
      </c>
      <c r="P167" s="18">
        <f>IF(AND(ISNUMBER(P163),ISNUMBER(P56)),P163/P56,"n/a")</f>
        <v>0.029954447154097456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37" t="s">
        <v>103</v>
      </c>
      <c r="C168" s="5">
        <f>IF(AND(ISNUMBER(C167),ISNUMBER(J167)),(C167-J167)*10000,"n/a")</f>
        <v>194.5936653223332</v>
      </c>
      <c r="D168" s="5">
        <f>IF(AND(ISNUMBER(D167),ISNUMBER(K167)),(D167-K167)*10000,"n/a")</f>
        <v>105.93256214164043</v>
      </c>
      <c r="E168" s="5">
        <f>IF(AND(ISNUMBER(E167),ISNUMBER(L167)),(E167-L167)*10000,"n/a")</f>
        <v>104.2791800269674</v>
      </c>
      <c r="F168" s="5">
        <f>IF(AND(ISNUMBER(F167),ISNUMBER(M167)),(F167-M167)*10000,"n/a")</f>
        <v>153.5697007395121</v>
      </c>
      <c r="G168" s="5">
        <f>IF(AND(ISNUMBER(G167),ISNUMBER(N167)),(G167-N167)*10000,"n/a")</f>
        <v>120.32696913239205</v>
      </c>
      <c r="H168" s="30">
        <f>IF(AND(ISNUMBER(H167),ISNUMBER(C167)),(H167-C167)*10000,"n/a")</f>
        <v>8.919514884233523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37" t="s">
        <v>104</v>
      </c>
      <c r="C169" s="5">
        <f>IF(AND(ISNUMBER(C167),ISNUMBER(M167)),(C167-M167)*10000,"n/a")</f>
        <v>65.93223713732961</v>
      </c>
      <c r="D169" s="5">
        <f>IF(AND(ISNUMBER(D167),ISNUMBER(C167)),(D167-C167)*10000,"n/a")</f>
        <v>-27.90357286799522</v>
      </c>
      <c r="E169" s="5">
        <f>IF(AND(ISNUMBER(E167),ISNUMBER(D167)),(E167-D167)*10000,"n/a")</f>
        <v>11.99783246674066</v>
      </c>
      <c r="F169" s="5">
        <f>IF(AND(ISNUMBER(F167),ISNUMBER(E167)),(F167-E167)*10000,"n/a")</f>
        <v>103.54320400343703</v>
      </c>
      <c r="G169" s="5" t="s">
        <v>100</v>
      </c>
      <c r="H169" s="30">
        <f>IF(AND(ISNUMBER(H167),ISNUMBER(F167)),(H167-F167)*10000,"n/a")</f>
        <v>-78.71794871794894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20" t="s">
        <v>105</v>
      </c>
      <c r="C170" s="18" t="s">
        <v>106</v>
      </c>
      <c r="D170" s="18" t="s">
        <v>106</v>
      </c>
      <c r="E170" s="18" t="s">
        <v>106</v>
      </c>
      <c r="F170" s="18" t="s">
        <v>106</v>
      </c>
      <c r="G170" s="18" t="s">
        <v>106</v>
      </c>
      <c r="H170" s="21" t="s">
        <v>106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20" t="s">
        <v>107</v>
      </c>
      <c r="C171" s="18" t="s">
        <v>106</v>
      </c>
      <c r="D171" s="18" t="s">
        <v>106</v>
      </c>
      <c r="E171" s="18" t="s">
        <v>106</v>
      </c>
      <c r="F171" s="18" t="s">
        <v>106</v>
      </c>
      <c r="G171" s="18" t="s">
        <v>106</v>
      </c>
      <c r="H171" s="21" t="s">
        <v>106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20" t="s">
        <v>108</v>
      </c>
      <c r="C172" s="18" t="str">
        <f>IF(AND(ISNUMBER(C164),ISNUMBER(C170),ISNUMBER(C171)),(1+C164)/((1+C170)*(1+C171))-1,"n/a")</f>
        <v>n/a</v>
      </c>
      <c r="D172" s="18" t="str">
        <f>IF(AND(ISNUMBER(D164),ISNUMBER(D170),ISNUMBER(D171)),(1+D164)/((1+D170)*(1+D171))-1,"n/a")</f>
        <v>n/a</v>
      </c>
      <c r="E172" s="18" t="str">
        <f>IF(AND(ISNUMBER(E164),ISNUMBER(E170),ISNUMBER(E171)),(1+E164)/((1+E170)*(1+E171))-1,"n/a")</f>
        <v>n/a</v>
      </c>
      <c r="F172" s="18" t="str">
        <f>IF(AND(ISNUMBER(F164),ISNUMBER(F170),ISNUMBER(F171)),(1+F164)/((1+F170)*(1+F171))-1,"n/a")</f>
        <v>n/a</v>
      </c>
      <c r="G172" s="18" t="str">
        <f>IF(AND(ISNUMBER(G164),ISNUMBER(G170),ISNUMBER(G171)),(1+G164)/((1+G170)*(1+G171))-1,"n/a")</f>
        <v>n/a</v>
      </c>
      <c r="H172" s="21" t="str">
        <f>IF(AND(ISNUMBER(H164),ISNUMBER(H170),ISNUMBER(H171)),(1+H164)/((1+H170)*(1+H171))-1,"n/a")</f>
        <v>n/a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46" t="s">
        <v>194</v>
      </c>
      <c r="C173" s="14">
        <f>C123+C133+C143+C153+C163</f>
        <v>7256</v>
      </c>
      <c r="D173" s="14">
        <f>D123+D133+D143+D153+D163</f>
        <v>8524</v>
      </c>
      <c r="E173" s="14">
        <f>E123+E133+E143+E153+E163</f>
        <v>6953</v>
      </c>
      <c r="F173" s="14">
        <f>F123+F133+F143+F153+F163</f>
        <v>8112</v>
      </c>
      <c r="G173" s="14">
        <f>G123+G133+G143+G153+G163</f>
        <v>30257</v>
      </c>
      <c r="H173" s="48">
        <f>H123+H133+H143+H153+H163</f>
        <v>7800.085999999999</v>
      </c>
      <c r="I173" s="1"/>
      <c r="J173" s="14">
        <f>J123+J133+J143+J153+J163</f>
        <v>6487</v>
      </c>
      <c r="K173" s="14">
        <f>K123+K133+K143+K153+K163</f>
        <v>8009</v>
      </c>
      <c r="L173" s="14">
        <f>L123+L133+L143+L153+L163</f>
        <v>7057</v>
      </c>
      <c r="M173" s="14">
        <f>M123+M133+M143+M153+M163</f>
        <v>7420</v>
      </c>
      <c r="N173" s="14">
        <f>N123+N133+N143+N153+N163</f>
        <v>28618</v>
      </c>
      <c r="O173" s="14">
        <f>O123+O133+O143+O153+O163</f>
        <v>20609</v>
      </c>
      <c r="P173" s="14">
        <f>P123+P133+P143+P153+P163</f>
        <v>21733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1" t="s">
        <v>195</v>
      </c>
      <c r="C174" s="19">
        <f>C173-C56</f>
        <v>0</v>
      </c>
      <c r="D174" s="19">
        <f>D173-D56</f>
        <v>0</v>
      </c>
      <c r="E174" s="19">
        <f>E173-E56</f>
        <v>0</v>
      </c>
      <c r="F174" s="19">
        <f>F173-F56</f>
        <v>0</v>
      </c>
      <c r="G174" s="19">
        <f>G173-G56</f>
        <v>0</v>
      </c>
      <c r="H174" s="49">
        <f>H173-H56</f>
        <v>0</v>
      </c>
      <c r="I174" s="1"/>
      <c r="J174" s="19">
        <f>J173-J56</f>
        <v>0</v>
      </c>
      <c r="K174" s="19">
        <f>K173-K56</f>
        <v>0</v>
      </c>
      <c r="L174" s="19">
        <f>L173-L56</f>
        <v>0</v>
      </c>
      <c r="M174" s="19">
        <f>M173-M56</f>
        <v>0</v>
      </c>
      <c r="N174" s="19">
        <f>N173-N56</f>
        <v>0</v>
      </c>
      <c r="O174" s="19">
        <f>O173-O56</f>
        <v>0</v>
      </c>
      <c r="P174" s="19">
        <f>P173-P56</f>
        <v>0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3" t="s">
        <v>118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46" t="s">
        <v>118</v>
      </c>
      <c r="C177" s="36">
        <v>682</v>
      </c>
      <c r="D177" s="36">
        <v>782</v>
      </c>
      <c r="E177" s="36">
        <v>619</v>
      </c>
      <c r="F177" s="36">
        <v>760</v>
      </c>
      <c r="G177" s="39">
        <f>P177+D177</f>
        <v>2086</v>
      </c>
      <c r="H177" s="65">
        <f>H56*H180</f>
        <v>702.0077399999999</v>
      </c>
      <c r="I177" s="1"/>
      <c r="J177" s="36">
        <v>659</v>
      </c>
      <c r="K177" s="36">
        <v>434</v>
      </c>
      <c r="L177" s="36">
        <v>720</v>
      </c>
      <c r="M177" s="36">
        <v>-98</v>
      </c>
      <c r="N177" s="39">
        <f>O177+K177</f>
        <v>2523</v>
      </c>
      <c r="O177" s="36">
        <v>2089</v>
      </c>
      <c r="P177" s="36">
        <v>1304</v>
      </c>
      <c r="Q177" s="1"/>
      <c r="R177" s="9" t="s">
        <v>196</v>
      </c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25" t="s">
        <v>98</v>
      </c>
      <c r="C178" s="18">
        <f>IF(AND(ISNUMBER(C177),ISNUMBER(J177)),IF(OR(J177&gt;0,AND(J177&lt;0,C177&lt;0)),C177/J177-1,"n/m"),"n/a")</f>
        <v>0.03490136570561453</v>
      </c>
      <c r="D178" s="18">
        <f>IF(AND(ISNUMBER(D177),ISNUMBER(K177)),IF(OR(K177&gt;0,AND(K177&lt;0,D177&lt;0)),D177/K177-1,"n/m"),"n/a")</f>
        <v>0.8018433179723503</v>
      </c>
      <c r="E178" s="18">
        <f>IF(AND(ISNUMBER(E177),ISNUMBER(L177)),IF(OR(L177&gt;0,AND(L177&lt;0,E177&lt;0)),E177/L177-1,"n/m"),"n/a")</f>
        <v>-0.14027777777777772</v>
      </c>
      <c r="F178" s="18" t="str">
        <f>IF(AND(ISNUMBER(F177),ISNUMBER(M177)),IF(OR(M177&gt;0,AND(M177&lt;0,F177&lt;0)),F177/M177-1,"n/m"),"n/a")</f>
        <v>n/m</v>
      </c>
      <c r="G178" s="18">
        <f>IF(AND(ISNUMBER(G177),ISNUMBER(N177)),IF(OR(N177&gt;0,AND(N177&lt;0,G177&lt;0)),G177/N177-1,"n/m"),"n/a")</f>
        <v>-0.17320650019817674</v>
      </c>
      <c r="H178" s="21">
        <f>IF(AND(ISNUMBER(H177),ISNUMBER(C177)),IF(OR(C177&gt;0,AND(C177&lt;0,H177&lt;0)),H177/C177-1,"n/m"),"n/a")</f>
        <v>0.029336862170087796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4" t="s">
        <v>101</v>
      </c>
      <c r="C179" s="2">
        <f>IF(AND(ISNUMBER(C177),ISNUMBER(M177)),C177-M177,"n/a")</f>
        <v>780</v>
      </c>
      <c r="D179" s="2">
        <f>IF(AND(ISNUMBER(D177),ISNUMBER(C177)),D177-C177,"n/a")</f>
        <v>100</v>
      </c>
      <c r="E179" s="2">
        <f>IF(AND(ISNUMBER(E177),ISNUMBER(D177)),E177-D177,"n/a")</f>
        <v>-163</v>
      </c>
      <c r="F179" s="2">
        <f>IF(AND(ISNUMBER(F177),ISNUMBER(E177)),F177-E177,"n/a")</f>
        <v>141</v>
      </c>
      <c r="G179" s="2" t="s">
        <v>100</v>
      </c>
      <c r="H179" s="7">
        <f>IF(AND(ISNUMBER(H177),ISNUMBER(F177)),H177-F177,"n/a")</f>
        <v>-57.9922600000001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25" t="s">
        <v>125</v>
      </c>
      <c r="C180" s="18">
        <f>C177/C56</f>
        <v>0.09399117971334069</v>
      </c>
      <c r="D180" s="18">
        <f>D177/D56</f>
        <v>0.09174096668230877</v>
      </c>
      <c r="E180" s="18">
        <f>E177/E56</f>
        <v>0.08902631957428449</v>
      </c>
      <c r="F180" s="18">
        <f>F177/F56</f>
        <v>0.09368836291913216</v>
      </c>
      <c r="G180" s="18">
        <f>G177/G56</f>
        <v>0.06894272399775259</v>
      </c>
      <c r="H180" s="32">
        <v>0.09</v>
      </c>
      <c r="I180" s="1"/>
      <c r="J180" s="18">
        <f>J177/J56</f>
        <v>0.10158779096654848</v>
      </c>
      <c r="K180" s="18">
        <f>K177/K56</f>
        <v>0.05418903733300037</v>
      </c>
      <c r="L180" s="18">
        <f>L177/L56</f>
        <v>0.10202635680884228</v>
      </c>
      <c r="M180" s="18">
        <f>M177/M56</f>
        <v>-0.013207547169811321</v>
      </c>
      <c r="N180" s="18">
        <f>N177/N56</f>
        <v>0.08816129708575023</v>
      </c>
      <c r="O180" s="18">
        <f>O177/O56</f>
        <v>0.1013634819738949</v>
      </c>
      <c r="P180" s="18">
        <f>P177/P56</f>
        <v>0.06000092025951318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20" t="s">
        <v>103</v>
      </c>
      <c r="C181" s="5">
        <f>IF(AND(ISNUMBER(C180),ISNUMBER(J180)),(C180-J180)*10000,"n/a")</f>
        <v>-75.96611253207791</v>
      </c>
      <c r="D181" s="5">
        <f>IF(AND(ISNUMBER(D180),ISNUMBER(K180)),(D180-K180)*10000,"n/a")</f>
        <v>375.519293493084</v>
      </c>
      <c r="E181" s="5">
        <f>IF(AND(ISNUMBER(E180),ISNUMBER(L180)),(E180-L180)*10000,"n/a")</f>
        <v>-130.00037234557797</v>
      </c>
      <c r="F181" s="5">
        <f>IF(AND(ISNUMBER(F180),ISNUMBER(M180)),(F180-M180)*10000,"n/a")</f>
        <v>1068.9591008894347</v>
      </c>
      <c r="G181" s="5">
        <f>IF(AND(ISNUMBER(G180),ISNUMBER(N180)),(G180-N180)*10000,"n/a")</f>
        <v>-192.1857308799764</v>
      </c>
      <c r="H181" s="30">
        <f>IF(AND(ISNUMBER(H180),ISNUMBER(C180)),(H180-C180)*10000,"n/a")</f>
        <v>-39.91179713340689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20" t="s">
        <v>104</v>
      </c>
      <c r="C182" s="5">
        <f>IF(AND(ISNUMBER(C180),ISNUMBER(M180)),(C180-M180)*10000,"n/a")</f>
        <v>1071.98726883152</v>
      </c>
      <c r="D182" s="5">
        <f>IF(AND(ISNUMBER(D180),ISNUMBER(C180)),(D180-C180)*10000,"n/a")</f>
        <v>-22.502130310319142</v>
      </c>
      <c r="E182" s="5">
        <f>IF(AND(ISNUMBER(E180),ISNUMBER(D180)),(E180-D180)*10000,"n/a")</f>
        <v>-27.146471080242847</v>
      </c>
      <c r="F182" s="5">
        <f>IF(AND(ISNUMBER(F180),ISNUMBER(E180)),(F180-E180)*10000,"n/a")</f>
        <v>46.62043344847669</v>
      </c>
      <c r="G182" s="5" t="s">
        <v>100</v>
      </c>
      <c r="H182" s="30">
        <f>IF(AND(ISNUMBER(H180),ISNUMBER(F180)),(H180-F180)*10000,"n/a")</f>
        <v>-36.883629191321596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4" t="s">
        <v>197</v>
      </c>
      <c r="C183" s="2">
        <f>C56-C177</f>
        <v>6574</v>
      </c>
      <c r="D183" s="2">
        <f>D56-D177</f>
        <v>7742</v>
      </c>
      <c r="E183" s="2">
        <f>E56-E177</f>
        <v>6334</v>
      </c>
      <c r="F183" s="2">
        <f>F56-F177</f>
        <v>7352</v>
      </c>
      <c r="G183" s="2">
        <f>G56-G177</f>
        <v>28171</v>
      </c>
      <c r="H183" s="7">
        <f>H56-H177</f>
        <v>7098.078259999999</v>
      </c>
      <c r="I183" s="1"/>
      <c r="J183" s="2">
        <f>J56-J177</f>
        <v>5828</v>
      </c>
      <c r="K183" s="2">
        <f>K56-K177</f>
        <v>7575</v>
      </c>
      <c r="L183" s="2">
        <f>L56-L177</f>
        <v>6337</v>
      </c>
      <c r="M183" s="2">
        <f>M56-M177</f>
        <v>7518</v>
      </c>
      <c r="N183" s="2">
        <f>N56-N177</f>
        <v>26095</v>
      </c>
      <c r="O183" s="2">
        <f>O56-O177</f>
        <v>18520</v>
      </c>
      <c r="P183" s="2">
        <f>P56-P177</f>
        <v>20429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20" t="s">
        <v>98</v>
      </c>
      <c r="C184" s="18">
        <f>IF(AND(ISNUMBER(C183),ISNUMBER(J183)),IF(OR(J183&gt;0,AND(J183&lt;0,C183&lt;0)),C183/J183-1,"n/m"),"n/a")</f>
        <v>0.1280027453671928</v>
      </c>
      <c r="D184" s="18">
        <f>IF(AND(ISNUMBER(D183),ISNUMBER(K183)),IF(OR(K183&gt;0,AND(K183&lt;0,D183&lt;0)),D183/K183-1,"n/m"),"n/a")</f>
        <v>0.02204620462046214</v>
      </c>
      <c r="E184" s="18">
        <f>IF(AND(ISNUMBER(E183),ISNUMBER(L183)),IF(OR(L183&gt;0,AND(L183&lt;0,E183&lt;0)),E183/L183-1,"n/m"),"n/a")</f>
        <v>-0.0004734101309767924</v>
      </c>
      <c r="F184" s="18">
        <f>IF(AND(ISNUMBER(F183),ISNUMBER(M183)),IF(OR(M183&gt;0,AND(M183&lt;0,F183&lt;0)),F183/M183-1,"n/m"),"n/a")</f>
        <v>-0.022080340516094754</v>
      </c>
      <c r="G184" s="18">
        <f>IF(AND(ISNUMBER(G183),ISNUMBER(N183)),IF(OR(N183&gt;0,AND(N183&lt;0,G183&lt;0)),G183/N183-1,"n/m"),"n/a")</f>
        <v>0.07955547039662769</v>
      </c>
      <c r="H184" s="21">
        <f>IF(AND(ISNUMBER(H183),ISNUMBER(C183)),IF(OR(C183&gt;0,AND(C183&lt;0,H183&lt;0)),H183/C183-1,"n/m"),"n/a")</f>
        <v>0.07971984484332206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8" t="s">
        <v>101</v>
      </c>
      <c r="C185" s="2">
        <f>IF(AND(ISNUMBER(C183),ISNUMBER(M183)),C183-M183,"n/a")</f>
        <v>-944</v>
      </c>
      <c r="D185" s="2">
        <f>IF(AND(ISNUMBER(D183),ISNUMBER(C183)),D183-C183,"n/a")</f>
        <v>1168</v>
      </c>
      <c r="E185" s="2">
        <f>IF(AND(ISNUMBER(E183),ISNUMBER(D183)),E183-D183,"n/a")</f>
        <v>-1408</v>
      </c>
      <c r="F185" s="2">
        <f>IF(AND(ISNUMBER(F183),ISNUMBER(E183)),F183-E183,"n/a")</f>
        <v>1018</v>
      </c>
      <c r="G185" s="2" t="s">
        <v>100</v>
      </c>
      <c r="H185" s="7">
        <f>IF(AND(ISNUMBER(H183),ISNUMBER(F183)),H183-F183,"n/a")</f>
        <v>-253.92174000000068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3" t="s">
        <v>198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4" t="s">
        <v>199</v>
      </c>
      <c r="C188" s="3">
        <v>85</v>
      </c>
      <c r="D188" s="2">
        <f>G188-P188</f>
        <v>110</v>
      </c>
      <c r="E188" s="3">
        <v>93</v>
      </c>
      <c r="F188" s="3">
        <v>112</v>
      </c>
      <c r="G188" s="3">
        <v>381</v>
      </c>
      <c r="H188" s="7">
        <f>F188</f>
        <v>112</v>
      </c>
      <c r="I188" s="1"/>
      <c r="J188" s="3">
        <v>125</v>
      </c>
      <c r="K188" s="2">
        <f>N188-O188</f>
        <v>115</v>
      </c>
      <c r="L188" s="3">
        <v>89</v>
      </c>
      <c r="M188" s="3">
        <v>97</v>
      </c>
      <c r="N188" s="3">
        <v>377</v>
      </c>
      <c r="O188" s="3">
        <v>262</v>
      </c>
      <c r="P188" s="3">
        <v>271</v>
      </c>
      <c r="Q188" s="1"/>
      <c r="R188" s="9" t="s">
        <v>200</v>
      </c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20" t="s">
        <v>98</v>
      </c>
      <c r="C189" s="18">
        <f>IF(AND(ISNUMBER(C188),ISNUMBER(J188)),IF(OR(J188&gt;0,AND(J188&lt;0,C188&lt;0)),C188/J188-1,"n/m"),"n/a")</f>
        <v>-0.31999999999999995</v>
      </c>
      <c r="D189" s="18">
        <f>IF(AND(ISNUMBER(D188),ISNUMBER(K188)),IF(OR(K188&gt;0,AND(K188&lt;0,D188&lt;0)),D188/K188-1,"n/m"),"n/a")</f>
        <v>-0.04347826086956519</v>
      </c>
      <c r="E189" s="18">
        <f>IF(AND(ISNUMBER(E188),ISNUMBER(L188)),IF(OR(L188&gt;0,AND(L188&lt;0,E188&lt;0)),E188/L188-1,"n/m"),"n/a")</f>
        <v>0.04494382022471921</v>
      </c>
      <c r="F189" s="18">
        <f>IF(AND(ISNUMBER(F188),ISNUMBER(M188)),IF(OR(M188&gt;0,AND(M188&lt;0,F188&lt;0)),F188/M188-1,"n/m"),"n/a")</f>
        <v>0.15463917525773185</v>
      </c>
      <c r="G189" s="18">
        <f>IF(AND(ISNUMBER(G188),ISNUMBER(N188)),IF(OR(N188&gt;0,AND(N188&lt;0,G188&lt;0)),G188/N188-1,"n/m"),"n/a")</f>
        <v>0.010610079575596787</v>
      </c>
      <c r="H189" s="21">
        <f>IF(AND(ISNUMBER(H188),ISNUMBER(C188)),IF(OR(C188&gt;0,AND(C188&lt;0,H188&lt;0)),H188/C188-1,"n/m"),"n/a")</f>
        <v>0.3176470588235294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8" t="s">
        <v>101</v>
      </c>
      <c r="C190" s="2">
        <f>IF(AND(ISNUMBER(C188),ISNUMBER(M188)),C188-M188,"n/a")</f>
        <v>-12</v>
      </c>
      <c r="D190" s="2">
        <f>IF(AND(ISNUMBER(D188),ISNUMBER(C188)),D188-C188,"n/a")</f>
        <v>25</v>
      </c>
      <c r="E190" s="2">
        <f>IF(AND(ISNUMBER(E188),ISNUMBER(D188)),E188-D188,"n/a")</f>
        <v>-17</v>
      </c>
      <c r="F190" s="2">
        <f>IF(AND(ISNUMBER(F188),ISNUMBER(E188)),F188-E188,"n/a")</f>
        <v>19</v>
      </c>
      <c r="G190" s="2" t="s">
        <v>100</v>
      </c>
      <c r="H190" s="7">
        <f>IF(AND(ISNUMBER(H188),ISNUMBER(F188)),H188-F188,"n/a")</f>
        <v>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3" t="s">
        <v>201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4" t="s">
        <v>202</v>
      </c>
      <c r="C193" s="47">
        <v>46</v>
      </c>
      <c r="D193" s="47">
        <v>48</v>
      </c>
      <c r="E193" s="47">
        <v>32</v>
      </c>
      <c r="F193" s="47">
        <v>19</v>
      </c>
      <c r="G193" s="58">
        <f>IF(AND(ISNUMBER(P193),ISNUMBER(D193)),P193+D193,"n/a")</f>
        <v>191</v>
      </c>
      <c r="H193" s="53" t="s">
        <v>203</v>
      </c>
      <c r="I193" s="1"/>
      <c r="J193" s="47">
        <v>48</v>
      </c>
      <c r="K193" s="47">
        <v>62</v>
      </c>
      <c r="L193" s="47">
        <v>47</v>
      </c>
      <c r="M193" s="47">
        <v>50</v>
      </c>
      <c r="N193" s="58">
        <f>IF(AND(ISNUMBER(O193),ISNUMBER(K193)),O193+K193,"n/a")</f>
        <v>110</v>
      </c>
      <c r="O193" s="47">
        <v>48</v>
      </c>
      <c r="P193" s="47">
        <v>143</v>
      </c>
      <c r="Q193" s="1"/>
      <c r="R193" s="9" t="s">
        <v>204</v>
      </c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20" t="s">
        <v>98</v>
      </c>
      <c r="C194" s="18">
        <f>IF(AND(ISNUMBER(C193),ISNUMBER(J193)),IF(OR(J193&gt;0,AND(J193&lt;0,C193&lt;0)),C193/J193-1,"n/m"),"n/a")</f>
        <v>-0.04166666666666663</v>
      </c>
      <c r="D194" s="18">
        <f>IF(AND(ISNUMBER(D193),ISNUMBER(K193)),IF(OR(K193&gt;0,AND(K193&lt;0,D193&lt;0)),D193/K193-1,"n/m"),"n/a")</f>
        <v>-0.22580645161290325</v>
      </c>
      <c r="E194" s="18">
        <f>IF(AND(ISNUMBER(E193),ISNUMBER(L193)),IF(OR(L193&gt;0,AND(L193&lt;0,E193&lt;0)),E193/L193-1,"n/m"),"n/a")</f>
        <v>-0.3191489361702128</v>
      </c>
      <c r="F194" s="18">
        <f>IF(AND(ISNUMBER(F193),ISNUMBER(M193)),IF(OR(M193&gt;0,AND(M193&lt;0,F193&lt;0)),F193/M193-1,"n/m"),"n/a")</f>
        <v>-0.62</v>
      </c>
      <c r="G194" s="18">
        <f>IF(AND(ISNUMBER(G193),ISNUMBER(N193)),IF(OR(N193&gt;0,AND(N193&lt;0,G193&lt;0)),G193/N193-1,"n/m"),"n/a")</f>
        <v>0.7363636363636363</v>
      </c>
      <c r="H194" s="21" t="str">
        <f>IF(AND(ISNUMBER(H193),ISNUMBER(C193)),IF(OR(C193&gt;0,AND(C193&lt;0,H193&lt;0)),H193/C193-1,"n/m"),"n/a")</f>
        <v>n/a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8" t="s">
        <v>101</v>
      </c>
      <c r="C195" s="58">
        <f>IF(AND(ISNUMBER(C193),ISNUMBER(M193)),C193-M193,"n/a")</f>
        <v>-4</v>
      </c>
      <c r="D195" s="58">
        <f>IF(AND(ISNUMBER(D193),ISNUMBER(C193)),D193-C193,"n/a")</f>
        <v>2</v>
      </c>
      <c r="E195" s="58">
        <f>IF(AND(ISNUMBER(E193),ISNUMBER(D193)),E193-D193,"n/a")</f>
        <v>-16</v>
      </c>
      <c r="F195" s="58">
        <f>IF(AND(ISNUMBER(F193),ISNUMBER(E193)),F193-E193,"n/a")</f>
        <v>-13</v>
      </c>
      <c r="G195" s="58" t="s">
        <v>100</v>
      </c>
      <c r="H195" s="53" t="str">
        <f>IF(AND(ISNUMBER(H193),ISNUMBER(F193)),H193-F193,"n/a")</f>
        <v>n/a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4" t="s">
        <v>205</v>
      </c>
      <c r="C196" s="47">
        <v>5</v>
      </c>
      <c r="D196" s="47">
        <v>4</v>
      </c>
      <c r="E196" s="47">
        <v>0</v>
      </c>
      <c r="F196" s="47">
        <v>2</v>
      </c>
      <c r="G196" s="58">
        <f>IF(AND(ISNUMBER(P196),ISNUMBER(D196)),P196+D196,"n/a")</f>
        <v>16</v>
      </c>
      <c r="H196" s="53" t="s">
        <v>203</v>
      </c>
      <c r="I196" s="1"/>
      <c r="J196" s="47">
        <v>2</v>
      </c>
      <c r="K196" s="47">
        <v>7</v>
      </c>
      <c r="L196" s="47">
        <v>4</v>
      </c>
      <c r="M196" s="47">
        <v>3</v>
      </c>
      <c r="N196" s="58">
        <f>IF(AND(ISNUMBER(O196),ISNUMBER(K196)),O196+K196,"n/a")</f>
        <v>16</v>
      </c>
      <c r="O196" s="47">
        <v>9</v>
      </c>
      <c r="P196" s="47">
        <v>12</v>
      </c>
      <c r="Q196" s="1"/>
      <c r="R196" s="9" t="s">
        <v>204</v>
      </c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20" t="s">
        <v>98</v>
      </c>
      <c r="C197" s="18">
        <f>IF(AND(ISNUMBER(C196),ISNUMBER(J196)),IF(OR(J196&gt;0,AND(J196&lt;0,C196&lt;0)),C196/J196-1,"n/m"),"n/a")</f>
        <v>1.5</v>
      </c>
      <c r="D197" s="18">
        <f>IF(AND(ISNUMBER(D196),ISNUMBER(K196)),IF(OR(K196&gt;0,AND(K196&lt;0,D196&lt;0)),D196/K196-1,"n/m"),"n/a")</f>
        <v>-0.4285714285714286</v>
      </c>
      <c r="E197" s="18">
        <f>IF(AND(ISNUMBER(E196),ISNUMBER(L196)),IF(OR(L196&gt;0,AND(L196&lt;0,E196&lt;0)),E196/L196-1,"n/m"),"n/a")</f>
        <v>-1</v>
      </c>
      <c r="F197" s="18">
        <f>IF(AND(ISNUMBER(F196),ISNUMBER(M196)),IF(OR(M196&gt;0,AND(M196&lt;0,F196&lt;0)),F196/M196-1,"n/m"),"n/a")</f>
        <v>-0.33333333333333337</v>
      </c>
      <c r="G197" s="18">
        <f>IF(AND(ISNUMBER(G196),ISNUMBER(N196)),IF(OR(N196&gt;0,AND(N196&lt;0,G196&lt;0)),G196/N196-1,"n/m"),"n/a")</f>
        <v>0</v>
      </c>
      <c r="H197" s="21" t="str">
        <f>IF(AND(ISNUMBER(H196),ISNUMBER(C196)),IF(OR(C196&gt;0,AND(C196&lt;0,H196&lt;0)),H196/C196-1,"n/m"),"n/a")</f>
        <v>n/a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8" t="s">
        <v>101</v>
      </c>
      <c r="C198" s="58">
        <f>IF(AND(ISNUMBER(C196),ISNUMBER(M196)),C196-M196,"n/a")</f>
        <v>2</v>
      </c>
      <c r="D198" s="58">
        <f>IF(AND(ISNUMBER(D196),ISNUMBER(C196)),D196-C196,"n/a")</f>
        <v>-1</v>
      </c>
      <c r="E198" s="58">
        <f>IF(AND(ISNUMBER(E196),ISNUMBER(D196)),E196-D196,"n/a")</f>
        <v>-4</v>
      </c>
      <c r="F198" s="58">
        <f>IF(AND(ISNUMBER(F196),ISNUMBER(E196)),F196-E196,"n/a")</f>
        <v>2</v>
      </c>
      <c r="G198" s="58" t="s">
        <v>100</v>
      </c>
      <c r="H198" s="53" t="str">
        <f>IF(AND(ISNUMBER(H196),ISNUMBER(F196)),H196-F196,"n/a")</f>
        <v>n/a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4" t="s">
        <v>206</v>
      </c>
      <c r="C199" s="47">
        <v>0</v>
      </c>
      <c r="D199" s="47">
        <v>0</v>
      </c>
      <c r="E199" s="47">
        <v>1</v>
      </c>
      <c r="F199" s="47">
        <v>7</v>
      </c>
      <c r="G199" s="58">
        <f>IF(AND(ISNUMBER(P199),ISNUMBER(D199)),P199+D199,"n/a")</f>
        <v>2</v>
      </c>
      <c r="H199" s="53" t="s">
        <v>203</v>
      </c>
      <c r="I199" s="1"/>
      <c r="J199" s="47">
        <v>4</v>
      </c>
      <c r="K199" s="47">
        <v>8</v>
      </c>
      <c r="L199" s="47">
        <v>1</v>
      </c>
      <c r="M199" s="47">
        <v>1</v>
      </c>
      <c r="N199" s="58">
        <f>IF(AND(ISNUMBER(O199),ISNUMBER(K199)),O199+K199,"n/a")</f>
        <v>21</v>
      </c>
      <c r="O199" s="47">
        <v>13</v>
      </c>
      <c r="P199" s="47">
        <v>2</v>
      </c>
      <c r="Q199" s="1"/>
      <c r="R199" s="9" t="s">
        <v>204</v>
      </c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20" t="s">
        <v>98</v>
      </c>
      <c r="C200" s="18">
        <f>IF(AND(ISNUMBER(C199),ISNUMBER(J199)),IF(OR(J199&gt;0,AND(J199&lt;0,C199&lt;0)),C199/J199-1,"n/m"),"n/a")</f>
        <v>-1</v>
      </c>
      <c r="D200" s="18">
        <f>IF(AND(ISNUMBER(D199),ISNUMBER(K199)),IF(OR(K199&gt;0,AND(K199&lt;0,D199&lt;0)),D199/K199-1,"n/m"),"n/a")</f>
        <v>-1</v>
      </c>
      <c r="E200" s="18">
        <f>IF(AND(ISNUMBER(E199),ISNUMBER(L199)),IF(OR(L199&gt;0,AND(L199&lt;0,E199&lt;0)),E199/L199-1,"n/m"),"n/a")</f>
        <v>0</v>
      </c>
      <c r="F200" s="18">
        <f>IF(AND(ISNUMBER(F199),ISNUMBER(M199)),IF(OR(M199&gt;0,AND(M199&lt;0,F199&lt;0)),F199/M199-1,"n/m"),"n/a")</f>
        <v>6</v>
      </c>
      <c r="G200" s="18">
        <f>IF(AND(ISNUMBER(G199),ISNUMBER(N199)),IF(OR(N199&gt;0,AND(N199&lt;0,G199&lt;0)),G199/N199-1,"n/m"),"n/a")</f>
        <v>-0.9047619047619048</v>
      </c>
      <c r="H200" s="21" t="str">
        <f>IF(AND(ISNUMBER(H199),ISNUMBER(C199)),IF(OR(C199&gt;0,AND(C199&lt;0,H199&lt;0)),H199/C199-1,"n/m"),"n/a")</f>
        <v>n/a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8" t="s">
        <v>101</v>
      </c>
      <c r="C201" s="58">
        <f>IF(AND(ISNUMBER(C199),ISNUMBER(M199)),C199-M199,"n/a")</f>
        <v>-1</v>
      </c>
      <c r="D201" s="58">
        <f>IF(AND(ISNUMBER(D199),ISNUMBER(C199)),D199-C199,"n/a")</f>
        <v>0</v>
      </c>
      <c r="E201" s="58">
        <f>IF(AND(ISNUMBER(E199),ISNUMBER(D199)),E199-D199,"n/a")</f>
        <v>1</v>
      </c>
      <c r="F201" s="58">
        <f>IF(AND(ISNUMBER(F199),ISNUMBER(E199)),F199-E199,"n/a")</f>
        <v>6</v>
      </c>
      <c r="G201" s="58" t="s">
        <v>100</v>
      </c>
      <c r="H201" s="53" t="str">
        <f>IF(AND(ISNUMBER(H199),ISNUMBER(F199)),H199-F199,"n/a")</f>
        <v>n/a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25" t="s">
        <v>207</v>
      </c>
      <c r="C202" s="42">
        <v>0.26</v>
      </c>
      <c r="D202" s="18" t="s">
        <v>106</v>
      </c>
      <c r="E202" s="42">
        <v>0.27</v>
      </c>
      <c r="F202" s="42">
        <v>0.28</v>
      </c>
      <c r="G202" s="18" t="s">
        <v>106</v>
      </c>
      <c r="H202" s="21" t="s">
        <v>203</v>
      </c>
      <c r="I202" s="1"/>
      <c r="J202" s="42">
        <v>0.22</v>
      </c>
      <c r="K202" s="18" t="s">
        <v>106</v>
      </c>
      <c r="L202" s="42">
        <v>0.25</v>
      </c>
      <c r="M202" s="42">
        <v>0.28</v>
      </c>
      <c r="N202" s="18" t="s">
        <v>106</v>
      </c>
      <c r="O202" s="1"/>
      <c r="P202" s="1"/>
      <c r="Q202" s="1"/>
      <c r="R202" s="9" t="s">
        <v>208</v>
      </c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20" t="s">
        <v>103</v>
      </c>
      <c r="C203" s="5">
        <f>IF(AND(ISNUMBER(C202),ISNUMBER(J202)),(C202-J202)*10000,"n/a")</f>
        <v>400.00000000000006</v>
      </c>
      <c r="D203" s="5" t="str">
        <f>IF(AND(ISNUMBER(D202),ISNUMBER(K202)),(D202-K202)*10000,"n/a")</f>
        <v>n/a</v>
      </c>
      <c r="E203" s="5">
        <f>IF(AND(ISNUMBER(E202),ISNUMBER(L202)),(E202-L202)*10000,"n/a")</f>
        <v>200.00000000000017</v>
      </c>
      <c r="F203" s="5">
        <f>IF(AND(ISNUMBER(F202),ISNUMBER(M202)),(F202-M202)*10000,"n/a")</f>
        <v>0</v>
      </c>
      <c r="G203" s="5" t="str">
        <f>IF(AND(ISNUMBER(G202),ISNUMBER(N202)),(G202-N202)*10000,"n/a")</f>
        <v>n/a</v>
      </c>
      <c r="H203" s="30" t="str">
        <f>IF(AND(ISNUMBER(H202),ISNUMBER(C202)),(H202-C202)*10000,"n/a")</f>
        <v>n/a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20" t="s">
        <v>104</v>
      </c>
      <c r="C204" s="5">
        <f>IF(AND(ISNUMBER(C202),ISNUMBER(M202)),(C202-M202)*10000,"n/a")</f>
        <v>-200.00000000000017</v>
      </c>
      <c r="D204" s="5" t="str">
        <f>IF(AND(ISNUMBER(D202),ISNUMBER(C202)),(D202-C202)*10000,"n/a")</f>
        <v>n/a</v>
      </c>
      <c r="E204" s="5" t="str">
        <f>IF(AND(ISNUMBER(E202),ISNUMBER(D202)),(E202-D202)*10000,"n/a")</f>
        <v>n/a</v>
      </c>
      <c r="F204" s="5">
        <f>IF(AND(ISNUMBER(F202),ISNUMBER(E202)),(F202-E202)*10000,"n/a")</f>
        <v>100.00000000000009</v>
      </c>
      <c r="G204" s="5" t="s">
        <v>100</v>
      </c>
      <c r="H204" s="30" t="str">
        <f>IF(AND(ISNUMBER(H202),ISNUMBER(F202)),(H202-F202)*10000,"n/a")</f>
        <v>n/a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4" t="s">
        <v>209</v>
      </c>
      <c r="C205" s="35">
        <f>C202*'Revenue summary'!C50</f>
        <v>4838.34</v>
      </c>
      <c r="D205" s="2" t="s">
        <v>100</v>
      </c>
      <c r="E205" s="35">
        <f>E202*'Revenue summary'!E50</f>
        <v>4865.67</v>
      </c>
      <c r="F205" s="35">
        <f>F202*'Revenue summary'!F50</f>
        <v>5617.64</v>
      </c>
      <c r="G205" s="2" t="s">
        <v>100</v>
      </c>
      <c r="H205" s="7" t="s">
        <v>100</v>
      </c>
      <c r="I205" s="1"/>
      <c r="J205" s="35">
        <f>J202*'Revenue summary'!J50</f>
        <v>3762.88</v>
      </c>
      <c r="K205" s="2" t="s">
        <v>100</v>
      </c>
      <c r="L205" s="35">
        <f>L202*'Revenue summary'!L50</f>
        <v>4490.75</v>
      </c>
      <c r="M205" s="35">
        <f>M202*'Revenue summary'!M50</f>
        <v>5083.400000000001</v>
      </c>
      <c r="N205" s="2" t="s">
        <v>100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20" t="s">
        <v>98</v>
      </c>
      <c r="C206" s="18">
        <f>IF(AND(ISNUMBER(C205),ISNUMBER(J205)),IF(OR(J205&gt;0,AND(J205&lt;0,C205&lt;0)),C205/J205-1,"n/m"),"n/a")</f>
        <v>0.28580767922442374</v>
      </c>
      <c r="D206" s="18" t="str">
        <f>IF(AND(ISNUMBER(D205),ISNUMBER(K205)),IF(OR(K205&gt;0,AND(K205&lt;0,D205&lt;0)),D205/K205-1,"n/m"),"n/a")</f>
        <v>n/a</v>
      </c>
      <c r="E206" s="18">
        <f>IF(AND(ISNUMBER(E205),ISNUMBER(L205)),IF(OR(L205&gt;0,AND(L205&lt;0,E205&lt;0)),E205/L205-1,"n/m"),"n/a")</f>
        <v>0.08348716806769474</v>
      </c>
      <c r="F206" s="18">
        <f>IF(AND(ISNUMBER(F205),ISNUMBER(M205)),IF(OR(M205&gt;0,AND(M205&lt;0,F205&lt;0)),F205/M205-1,"n/m"),"n/a")</f>
        <v>0.10509501514734221</v>
      </c>
      <c r="G206" s="18" t="str">
        <f>IF(AND(ISNUMBER(G205),ISNUMBER(N205)),IF(OR(N205&gt;0,AND(N205&lt;0,G205&lt;0)),G205/N205-1,"n/m"),"n/a")</f>
        <v>n/a</v>
      </c>
      <c r="H206" s="21" t="str">
        <f>IF(AND(ISNUMBER(H205),ISNUMBER(C205)),IF(OR(C205&gt;0,AND(C205&lt;0,H205&lt;0)),H205/C205-1,"n/m"),"n/a")</f>
        <v>n/a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8" t="s">
        <v>101</v>
      </c>
      <c r="C207" s="2">
        <f>IF(AND(ISNUMBER(C205),ISNUMBER(M205)),C205-M205,"n/a")</f>
        <v>-245.0600000000004</v>
      </c>
      <c r="D207" s="2" t="str">
        <f>IF(AND(ISNUMBER(D205),ISNUMBER(C205)),D205-C205,"n/a")</f>
        <v>n/a</v>
      </c>
      <c r="E207" s="2" t="str">
        <f>IF(AND(ISNUMBER(E205),ISNUMBER(D205)),E205-D205,"n/a")</f>
        <v>n/a</v>
      </c>
      <c r="F207" s="2">
        <f>IF(AND(ISNUMBER(F205),ISNUMBER(E205)),F205-E205,"n/a")</f>
        <v>751.9700000000003</v>
      </c>
      <c r="G207" s="2" t="s">
        <v>100</v>
      </c>
      <c r="H207" s="7" t="str">
        <f>IF(AND(ISNUMBER(H205),ISNUMBER(F205)),H205-F205,"n/a")</f>
        <v>n/a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20" t="s">
        <v>105</v>
      </c>
      <c r="C208" s="18" t="s">
        <v>106</v>
      </c>
      <c r="D208" s="18" t="s">
        <v>106</v>
      </c>
      <c r="E208" s="18" t="s">
        <v>106</v>
      </c>
      <c r="F208" s="18" t="s">
        <v>106</v>
      </c>
      <c r="G208" s="18" t="s">
        <v>106</v>
      </c>
      <c r="H208" s="21" t="s">
        <v>106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20" t="s">
        <v>107</v>
      </c>
      <c r="C209" s="18" t="s">
        <v>106</v>
      </c>
      <c r="D209" s="18" t="s">
        <v>106</v>
      </c>
      <c r="E209" s="18" t="s">
        <v>106</v>
      </c>
      <c r="F209" s="18" t="s">
        <v>106</v>
      </c>
      <c r="G209" s="18" t="s">
        <v>106</v>
      </c>
      <c r="H209" s="21" t="s">
        <v>106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20" t="s">
        <v>108</v>
      </c>
      <c r="C210" s="18" t="str">
        <f>IF(AND(ISNUMBER(C206),ISNUMBER(C208),ISNUMBER(C209)),(1+C206)/((1+C208)*(1+C209))-1,"n/a")</f>
        <v>n/a</v>
      </c>
      <c r="D210" s="18" t="str">
        <f>IF(AND(ISNUMBER(D206),ISNUMBER(D208),ISNUMBER(D209)),(1+D206)/((1+D208)*(1+D209))-1,"n/a")</f>
        <v>n/a</v>
      </c>
      <c r="E210" s="18" t="str">
        <f>IF(AND(ISNUMBER(E206),ISNUMBER(E208),ISNUMBER(E209)),(1+E206)/((1+E208)*(1+E209))-1,"n/a")</f>
        <v>n/a</v>
      </c>
      <c r="F210" s="18" t="str">
        <f>IF(AND(ISNUMBER(F206),ISNUMBER(F208),ISNUMBER(F209)),(1+F206)/((1+F208)*(1+F209))-1,"n/a")</f>
        <v>n/a</v>
      </c>
      <c r="G210" s="18" t="str">
        <f>IF(AND(ISNUMBER(G206),ISNUMBER(G208),ISNUMBER(G209)),(1+G206)/((1+G208)*(1+G209))-1,"n/a")</f>
        <v>n/a</v>
      </c>
      <c r="H210" s="21" t="str">
        <f>IF(AND(ISNUMBER(H206),ISNUMBER(H208),ISNUMBER(H209)),(1+H206)/((1+H208)*(1+H209))-1,"n/a")</f>
        <v>n/a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46" t="s">
        <v>210</v>
      </c>
      <c r="C212" s="26" t="b">
        <f>AND(ABS(C86)&lt;0.5,ABS(C120)&lt;0.5,ABS(C174)&lt;0.5)</f>
        <v>1</v>
      </c>
      <c r="D212" s="26" t="b">
        <f>AND(ABS(D86)&lt;0.5,ABS(D120)&lt;0.5,ABS(D174)&lt;0.5)</f>
        <v>1</v>
      </c>
      <c r="E212" s="26" t="b">
        <f>AND(ABS(E86)&lt;0.5,ABS(E120)&lt;0.5,ABS(E174)&lt;0.5)</f>
        <v>1</v>
      </c>
      <c r="F212" s="26" t="b">
        <f>AND(ABS(F86)&lt;0.5,ABS(F120)&lt;0.5,ABS(F174)&lt;0.5)</f>
        <v>1</v>
      </c>
      <c r="G212" s="26" t="b">
        <f>AND(ABS(G86)&lt;0.5,ABS(G120)&lt;0.5,ABS(G174)&lt;0.5)</f>
        <v>1</v>
      </c>
      <c r="H212" s="22" t="b">
        <f>AND(ABS(H86)&lt;0.5,ABS(H120)&lt;0.5,ABS(H174)&lt;0.5)</f>
        <v>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211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148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149</v>
      </c>
      <c r="C10" s="2">
        <f>M19</f>
        <v>40250</v>
      </c>
      <c r="D10" s="2">
        <f>C19</f>
        <v>45906</v>
      </c>
      <c r="E10" s="2">
        <f>D19</f>
        <v>46650</v>
      </c>
      <c r="F10" s="2">
        <f>E19</f>
        <v>46565</v>
      </c>
      <c r="G10" s="2">
        <f>N19</f>
        <v>38783</v>
      </c>
      <c r="H10" s="7">
        <f>F19</f>
        <v>87882</v>
      </c>
      <c r="I10" s="1"/>
      <c r="J10" s="1"/>
      <c r="K10" s="2">
        <f>J19</f>
        <v>40722</v>
      </c>
      <c r="L10" s="2">
        <f>K19</f>
        <v>38783</v>
      </c>
      <c r="M10" s="2">
        <f>L19</f>
        <v>40637</v>
      </c>
      <c r="N10" s="3">
        <v>32229</v>
      </c>
      <c r="O10" s="1"/>
      <c r="P10" s="1"/>
      <c r="Q10" s="1"/>
      <c r="R10" s="9" t="s">
        <v>150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0" t="s">
        <v>98</v>
      </c>
      <c r="C11" s="18" t="str">
        <f>IF(AND(ISNUMBER(C10),ISNUMBER(J10)),IF(OR(J10&gt;0,AND(J10&lt;0,C10&lt;0)),C10/J10-1,"n/m"),"n/a")</f>
        <v>n/a</v>
      </c>
      <c r="D11" s="18">
        <f>IF(AND(ISNUMBER(D10),ISNUMBER(K10)),IF(OR(K10&gt;0,AND(K10&lt;0,D10&lt;0)),D10/K10-1,"n/m"),"n/a")</f>
        <v>0.1273021953735083</v>
      </c>
      <c r="E11" s="18">
        <f>IF(AND(ISNUMBER(E10),ISNUMBER(L10)),IF(OR(L10&gt;0,AND(L10&lt;0,E10&lt;0)),E10/L10-1,"n/m"),"n/a")</f>
        <v>0.20284660804991872</v>
      </c>
      <c r="F11" s="18">
        <f>IF(AND(ISNUMBER(F10),ISNUMBER(M10)),IF(OR(M10&gt;0,AND(M10&lt;0,F10&lt;0)),F10/M10-1,"n/m"),"n/a")</f>
        <v>0.1458769102049855</v>
      </c>
      <c r="G11" s="18">
        <f>IF(AND(ISNUMBER(G10),ISNUMBER(N10)),IF(OR(N10&gt;0,AND(N10&lt;0,G10&lt;0)),G10/N10-1,"n/m"),"n/a")</f>
        <v>0.2033572248595985</v>
      </c>
      <c r="H11" s="21">
        <f>IF(AND(ISNUMBER(H10),ISNUMBER(C10)),IF(OR(C10&gt;0,AND(C10&lt;0,H10&lt;0)),H10/C10-1,"n/m"),"n/a")</f>
        <v>1.1834037267080744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101</v>
      </c>
      <c r="C12" s="2">
        <f>IF(AND(ISNUMBER(C10),ISNUMBER(M10)),C10-M10,"n/a")</f>
        <v>-387</v>
      </c>
      <c r="D12" s="2">
        <f>IF(AND(ISNUMBER(D10),ISNUMBER(C10)),D10-C10,"n/a")</f>
        <v>5656</v>
      </c>
      <c r="E12" s="2">
        <f>IF(AND(ISNUMBER(E10),ISNUMBER(D10)),E10-D10,"n/a")</f>
        <v>744</v>
      </c>
      <c r="F12" s="2">
        <f>IF(AND(ISNUMBER(F10),ISNUMBER(E10)),F10-E10,"n/a")</f>
        <v>-85</v>
      </c>
      <c r="G12" s="2" t="s">
        <v>100</v>
      </c>
      <c r="H12" s="7">
        <f>IF(AND(ISNUMBER(H10),ISNUMBER(F10)),H10-F10,"n/a")</f>
        <v>41317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151</v>
      </c>
      <c r="C13" s="2">
        <f>C56</f>
        <v>3624</v>
      </c>
      <c r="D13" s="2">
        <f>D56</f>
        <v>4020</v>
      </c>
      <c r="E13" s="2">
        <f>E56</f>
        <v>3649</v>
      </c>
      <c r="F13" s="2">
        <f>F56</f>
        <v>4101</v>
      </c>
      <c r="G13" s="2">
        <f>G56</f>
        <v>14450</v>
      </c>
      <c r="H13" s="7">
        <f>H56</f>
        <v>4297.4298</v>
      </c>
      <c r="I13" s="1"/>
      <c r="J13" s="2">
        <f>J56</f>
        <v>3175</v>
      </c>
      <c r="K13" s="2">
        <f>K56</f>
        <v>3412</v>
      </c>
      <c r="L13" s="2">
        <f>L56</f>
        <v>3373</v>
      </c>
      <c r="M13" s="2">
        <f>M56</f>
        <v>3433</v>
      </c>
      <c r="N13" s="2">
        <f>N56</f>
        <v>12682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0" t="s">
        <v>98</v>
      </c>
      <c r="C14" s="18">
        <f>IF(AND(ISNUMBER(C13),ISNUMBER(J13)),IF(OR(J13&gt;0,AND(J13&lt;0,C13&lt;0)),C13/J13-1,"n/m"),"n/a")</f>
        <v>0.1414173228346456</v>
      </c>
      <c r="D14" s="18">
        <f>IF(AND(ISNUMBER(D13),ISNUMBER(K13)),IF(OR(K13&gt;0,AND(K13&lt;0,D13&lt;0)),D13/K13-1,"n/m"),"n/a")</f>
        <v>0.17819460726846414</v>
      </c>
      <c r="E14" s="18">
        <f>IF(AND(ISNUMBER(E13),ISNUMBER(L13)),IF(OR(L13&gt;0,AND(L13&lt;0,E13&lt;0)),E13/L13-1,"n/m"),"n/a")</f>
        <v>0.08182626741772903</v>
      </c>
      <c r="F14" s="18">
        <f>IF(AND(ISNUMBER(F13),ISNUMBER(M13)),IF(OR(M13&gt;0,AND(M13&lt;0,F13&lt;0)),F13/M13-1,"n/m"),"n/a")</f>
        <v>0.19458199825225742</v>
      </c>
      <c r="G14" s="18">
        <f>IF(AND(ISNUMBER(G13),ISNUMBER(N13)),IF(OR(N13&gt;0,AND(N13&lt;0,G13&lt;0)),G13/N13-1,"n/m"),"n/a")</f>
        <v>0.13941018766756041</v>
      </c>
      <c r="H14" s="21">
        <f>IF(AND(ISNUMBER(H13),ISNUMBER(C13)),IF(OR(C13&gt;0,AND(C13&lt;0,H13&lt;0)),H13/C13-1,"n/m"),"n/a")</f>
        <v>0.1858249999999999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8" t="s">
        <v>101</v>
      </c>
      <c r="C15" s="2">
        <f>IF(AND(ISNUMBER(C13),ISNUMBER(M13)),C13-M13,"n/a")</f>
        <v>191</v>
      </c>
      <c r="D15" s="2">
        <f>IF(AND(ISNUMBER(D13),ISNUMBER(C13)),D13-C13,"n/a")</f>
        <v>396</v>
      </c>
      <c r="E15" s="2">
        <f>IF(AND(ISNUMBER(E13),ISNUMBER(D13)),E13-D13,"n/a")</f>
        <v>-371</v>
      </c>
      <c r="F15" s="2">
        <f>IF(AND(ISNUMBER(F13),ISNUMBER(E13)),F13-E13,"n/a")</f>
        <v>452</v>
      </c>
      <c r="G15" s="2" t="s">
        <v>100</v>
      </c>
      <c r="H15" s="7">
        <f>IF(AND(ISNUMBER(H13),ISNUMBER(F13)),H13-F13,"n/a")</f>
        <v>196.4297999999999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152</v>
      </c>
      <c r="C16" s="2">
        <f>C19-C10+C13</f>
        <v>9280</v>
      </c>
      <c r="D16" s="2">
        <f>D19-D10+D13</f>
        <v>4764</v>
      </c>
      <c r="E16" s="2">
        <f>E19-E10+E13</f>
        <v>3564</v>
      </c>
      <c r="F16" s="2">
        <f>F19-F10+F13</f>
        <v>45418</v>
      </c>
      <c r="G16" s="2">
        <f>G19-G10+G13</f>
        <v>22317</v>
      </c>
      <c r="H16" s="7">
        <f>H25*H13</f>
        <v>4297.4298</v>
      </c>
      <c r="I16" s="1"/>
      <c r="J16" s="2" t="s">
        <v>106</v>
      </c>
      <c r="K16" s="2">
        <f>K19-K10+K13</f>
        <v>1473</v>
      </c>
      <c r="L16" s="2">
        <f>L19-L10+L13</f>
        <v>5227</v>
      </c>
      <c r="M16" s="2">
        <f>M19-M10+M13</f>
        <v>3046</v>
      </c>
      <c r="N16" s="2">
        <f>N19-N10+N13</f>
        <v>19236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0" t="s">
        <v>98</v>
      </c>
      <c r="C17" s="18" t="str">
        <f>IF(AND(ISNUMBER(C16),ISNUMBER(J16)),IF(OR(J16&gt;0,AND(J16&lt;0,C16&lt;0)),C16/J16-1,"n/m"),"n/a")</f>
        <v>n/a</v>
      </c>
      <c r="D17" s="18">
        <f>IF(AND(ISNUMBER(D16),ISNUMBER(K16)),IF(OR(K16&gt;0,AND(K16&lt;0,D16&lt;0)),D16/K16-1,"n/m"),"n/a")</f>
        <v>2.2342158859470467</v>
      </c>
      <c r="E17" s="18">
        <f>IF(AND(ISNUMBER(E16),ISNUMBER(L16)),IF(OR(L16&gt;0,AND(L16&lt;0,E16&lt;0)),E16/L16-1,"n/m"),"n/a")</f>
        <v>-0.31815572986416685</v>
      </c>
      <c r="F17" s="18">
        <f>IF(AND(ISNUMBER(F16),ISNUMBER(M16)),IF(OR(M16&gt;0,AND(M16&lt;0,F16&lt;0)),F16/M16-1,"n/m"),"n/a")</f>
        <v>13.910702560735391</v>
      </c>
      <c r="G17" s="18">
        <f>IF(AND(ISNUMBER(G16),ISNUMBER(N16)),IF(OR(N16&gt;0,AND(N16&lt;0,G16&lt;0)),G16/N16-1,"n/m"),"n/a")</f>
        <v>0.16016843418590154</v>
      </c>
      <c r="H17" s="21">
        <f>IF(AND(ISNUMBER(H16),ISNUMBER(C16)),IF(OR(C16&gt;0,AND(C16&lt;0,H16&lt;0)),H16/C16-1,"n/m"),"n/a")</f>
        <v>-0.5369148922413793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101</v>
      </c>
      <c r="C18" s="2">
        <f>IF(AND(ISNUMBER(C16),ISNUMBER(M16)),C16-M16,"n/a")</f>
        <v>6234</v>
      </c>
      <c r="D18" s="2">
        <f>IF(AND(ISNUMBER(D16),ISNUMBER(C16)),D16-C16,"n/a")</f>
        <v>-4516</v>
      </c>
      <c r="E18" s="2">
        <f>IF(AND(ISNUMBER(E16),ISNUMBER(D16)),E16-D16,"n/a")</f>
        <v>-1200</v>
      </c>
      <c r="F18" s="2">
        <f>IF(AND(ISNUMBER(F16),ISNUMBER(E16)),F16-E16,"n/a")</f>
        <v>41854</v>
      </c>
      <c r="G18" s="2" t="s">
        <v>100</v>
      </c>
      <c r="H18" s="7">
        <f>IF(AND(ISNUMBER(H16),ISNUMBER(F16)),H16-F16,"n/a")</f>
        <v>-41120.5702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3" t="s">
        <v>153</v>
      </c>
      <c r="C19" s="29">
        <v>45906</v>
      </c>
      <c r="D19" s="29">
        <v>46650</v>
      </c>
      <c r="E19" s="29">
        <v>46565</v>
      </c>
      <c r="F19" s="29">
        <v>87882</v>
      </c>
      <c r="G19" s="14">
        <f>D19</f>
        <v>46650</v>
      </c>
      <c r="H19" s="48">
        <f>H10+H16-H13</f>
        <v>87882</v>
      </c>
      <c r="I19" s="1"/>
      <c r="J19" s="29">
        <v>40722</v>
      </c>
      <c r="K19" s="29">
        <v>38783</v>
      </c>
      <c r="L19" s="29">
        <v>40637</v>
      </c>
      <c r="M19" s="29">
        <v>40250</v>
      </c>
      <c r="N19" s="14">
        <f>K19</f>
        <v>38783</v>
      </c>
      <c r="O19" s="1"/>
      <c r="P19" s="1"/>
      <c r="Q19" s="1"/>
      <c r="R19" s="9" t="s">
        <v>154</v>
      </c>
      <c r="S19" s="1"/>
      <c r="T19" s="1"/>
      <c r="U19" s="1"/>
      <c r="V19" s="1"/>
      <c r="W19" s="1"/>
      <c r="X19" s="1"/>
      <c r="Y19" s="1"/>
      <c r="Z19" s="1"/>
    </row>
    <row r="20">
      <c r="A20" s="1"/>
      <c r="B20" s="20" t="s">
        <v>98</v>
      </c>
      <c r="C20" s="18">
        <f>IF(AND(ISNUMBER(C19),ISNUMBER(J19)),IF(OR(J19&gt;0,AND(J19&lt;0,C19&lt;0)),C19/J19-1,"n/m"),"n/a")</f>
        <v>0.1273021953735083</v>
      </c>
      <c r="D20" s="18">
        <f>IF(AND(ISNUMBER(D19),ISNUMBER(K19)),IF(OR(K19&gt;0,AND(K19&lt;0,D19&lt;0)),D19/K19-1,"n/m"),"n/a")</f>
        <v>0.20284660804991872</v>
      </c>
      <c r="E20" s="18">
        <f>IF(AND(ISNUMBER(E19),ISNUMBER(L19)),IF(OR(L19&gt;0,AND(L19&lt;0,E19&lt;0)),E19/L19-1,"n/m"),"n/a")</f>
        <v>0.1458769102049855</v>
      </c>
      <c r="F20" s="18">
        <f>IF(AND(ISNUMBER(F19),ISNUMBER(M19)),IF(OR(M19&gt;0,AND(M19&lt;0,F19&lt;0)),F19/M19-1,"n/m"),"n/a")</f>
        <v>1.1834037267080744</v>
      </c>
      <c r="G20" s="18">
        <f>IF(AND(ISNUMBER(G19),ISNUMBER(N19)),IF(OR(N19&gt;0,AND(N19&lt;0,G19&lt;0)),G19/N19-1,"n/m"),"n/a")</f>
        <v>0.20284660804991872</v>
      </c>
      <c r="H20" s="21">
        <f>IF(AND(ISNUMBER(H19),ISNUMBER(C19)),IF(OR(C19&gt;0,AND(C19&lt;0,H19&lt;0)),H19/C19-1,"n/m"),"n/a")</f>
        <v>0.9143902757809437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8" t="s">
        <v>101</v>
      </c>
      <c r="C21" s="2">
        <f>IF(AND(ISNUMBER(C19),ISNUMBER(M19)),C19-M19,"n/a")</f>
        <v>5656</v>
      </c>
      <c r="D21" s="2">
        <f>IF(AND(ISNUMBER(D19),ISNUMBER(C19)),D19-C19,"n/a")</f>
        <v>744</v>
      </c>
      <c r="E21" s="2">
        <f>IF(AND(ISNUMBER(E19),ISNUMBER(D19)),E19-D19,"n/a")</f>
        <v>-85</v>
      </c>
      <c r="F21" s="2">
        <f>IF(AND(ISNUMBER(F19),ISNUMBER(E19)),F19-E19,"n/a")</f>
        <v>41317</v>
      </c>
      <c r="G21" s="2" t="s">
        <v>100</v>
      </c>
      <c r="H21" s="7">
        <f>IF(AND(ISNUMBER(H19),ISNUMBER(F19)),H19-F19,"n/a")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" t="s">
        <v>155</v>
      </c>
      <c r="C22" s="2">
        <f>IF(AND(ISNUMBER(C10),ISNUMBER(C19)),(C10+C19)/2,"n/a")</f>
        <v>43078</v>
      </c>
      <c r="D22" s="2">
        <f>IF(AND(ISNUMBER(D10),ISNUMBER(D19)),(D10+D19)/2,"n/a")</f>
        <v>46278</v>
      </c>
      <c r="E22" s="2">
        <f>IF(AND(ISNUMBER(E10),ISNUMBER(E19)),(E10+E19)/2,"n/a")</f>
        <v>46607.5</v>
      </c>
      <c r="F22" s="2">
        <f>IF(AND(ISNUMBER(F10),ISNUMBER(F19)),(F10+F19)/2,"n/a")</f>
        <v>67223.5</v>
      </c>
      <c r="G22" s="2">
        <f>IF(AND(ISNUMBER(G10),ISNUMBER(G19)),(G10+G19)/2,"n/a")</f>
        <v>42716.5</v>
      </c>
      <c r="H22" s="7">
        <f>IF(AND(ISNUMBER(H10),ISNUMBER(H19)),(H10+H19)/2,"n/a")</f>
        <v>87882</v>
      </c>
      <c r="I22" s="1"/>
      <c r="J22" s="1"/>
      <c r="K22" s="2">
        <f>IF(AND(ISNUMBER(K10),ISNUMBER(K19)),(K10+K19)/2,"n/a")</f>
        <v>39752.5</v>
      </c>
      <c r="L22" s="2">
        <f>IF(AND(ISNUMBER(L10),ISNUMBER(L19)),(L10+L19)/2,"n/a")</f>
        <v>39710</v>
      </c>
      <c r="M22" s="2">
        <f>IF(AND(ISNUMBER(M10),ISNUMBER(M19)),(M10+M19)/2,"n/a")</f>
        <v>40443.5</v>
      </c>
      <c r="N22" s="2">
        <f>IF(AND(ISNUMBER(N10),ISNUMBER(N19)),(N10+N19)/2,"n/a")</f>
        <v>35506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20" t="s">
        <v>98</v>
      </c>
      <c r="C23" s="18" t="str">
        <f>IF(AND(ISNUMBER(C22),ISNUMBER(J22)),IF(OR(J22&gt;0,AND(J22&lt;0,C22&lt;0)),C22/J22-1,"n/m"),"n/a")</f>
        <v>n/a</v>
      </c>
      <c r="D23" s="18">
        <f>IF(AND(ISNUMBER(D22),ISNUMBER(K22)),IF(OR(K22&gt;0,AND(K22&lt;0,D22&lt;0)),D22/K22-1,"n/m"),"n/a")</f>
        <v>0.16415319791208094</v>
      </c>
      <c r="E23" s="18">
        <f>IF(AND(ISNUMBER(E22),ISNUMBER(L22)),IF(OR(L22&gt;0,AND(L22&lt;0,E22&lt;0)),E22/L22-1,"n/m"),"n/a")</f>
        <v>0.17369680181314529</v>
      </c>
      <c r="F23" s="18">
        <f>IF(AND(ISNUMBER(F22),ISNUMBER(M22)),IF(OR(M22&gt;0,AND(M22&lt;0,F22&lt;0)),F22/M22-1,"n/m"),"n/a")</f>
        <v>0.6621583196310903</v>
      </c>
      <c r="G23" s="18">
        <f>IF(AND(ISNUMBER(G22),ISNUMBER(N22)),IF(OR(N22&gt;0,AND(N22&lt;0,G22&lt;0)),G22/N22-1,"n/m"),"n/a")</f>
        <v>0.20307835295443022</v>
      </c>
      <c r="H23" s="21">
        <f>IF(AND(ISNUMBER(H22),ISNUMBER(C22)),IF(OR(C22&gt;0,AND(C22&lt;0,H22&lt;0)),H22/C22-1,"n/m"),"n/a")</f>
        <v>1.0400668554714705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101</v>
      </c>
      <c r="C24" s="2">
        <f>IF(AND(ISNUMBER(C22),ISNUMBER(M22)),C22-M22,"n/a")</f>
        <v>2634.5</v>
      </c>
      <c r="D24" s="2">
        <f>IF(AND(ISNUMBER(D22),ISNUMBER(C22)),D22-C22,"n/a")</f>
        <v>3200</v>
      </c>
      <c r="E24" s="2">
        <f>IF(AND(ISNUMBER(E22),ISNUMBER(D22)),E22-D22,"n/a")</f>
        <v>329.5</v>
      </c>
      <c r="F24" s="2">
        <f>IF(AND(ISNUMBER(F22),ISNUMBER(E22)),F22-E22,"n/a")</f>
        <v>20616</v>
      </c>
      <c r="G24" s="2" t="s">
        <v>100</v>
      </c>
      <c r="H24" s="7">
        <f>IF(AND(ISNUMBER(H22),ISNUMBER(F22)),H22-F22,"n/a")</f>
        <v>20658.5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" t="s">
        <v>156</v>
      </c>
      <c r="C25" s="28">
        <f>IF(AND(ISNUMBER(C16)),C16/C13,"n/a")</f>
        <v>2.5607064017660046</v>
      </c>
      <c r="D25" s="28">
        <f>IF(AND(ISNUMBER(D16)),D16/D13,"n/a")</f>
        <v>1.1850746268656716</v>
      </c>
      <c r="E25" s="28">
        <f>IF(AND(ISNUMBER(E16)),E16/E13,"n/a")</f>
        <v>0.9767059468347492</v>
      </c>
      <c r="F25" s="28">
        <f>IF(AND(ISNUMBER(F16)),F16/F13,"n/a")</f>
        <v>11.07485979029505</v>
      </c>
      <c r="G25" s="28">
        <f>IF(AND(ISNUMBER(G16)),G16/G13,"n/a")</f>
        <v>1.5444290657439446</v>
      </c>
      <c r="H25" s="67">
        <v>1</v>
      </c>
      <c r="I25" s="1"/>
      <c r="J25" s="1"/>
      <c r="K25" s="28">
        <f>IF(AND(ISNUMBER(K16)),K16/K13,"n/a")</f>
        <v>0.4317116060961313</v>
      </c>
      <c r="L25" s="28">
        <f>IF(AND(ISNUMBER(L16)),L16/L13,"n/a")</f>
        <v>1.5496590572190927</v>
      </c>
      <c r="M25" s="28">
        <f>IF(AND(ISNUMBER(M16)),M16/M13,"n/a")</f>
        <v>0.8872706087969706</v>
      </c>
      <c r="N25" s="28">
        <f>IF(AND(ISNUMBER(N16)),N16/N13,"n/a")</f>
        <v>1.5167954581296326</v>
      </c>
      <c r="O25" s="1"/>
      <c r="P25" s="1"/>
      <c r="Q25" s="1"/>
      <c r="R25" s="1" t="s">
        <v>212</v>
      </c>
      <c r="S25" s="1"/>
      <c r="T25" s="1"/>
      <c r="U25" s="1"/>
      <c r="V25" s="1"/>
      <c r="W25" s="1"/>
      <c r="X25" s="1"/>
      <c r="Y25" s="1"/>
      <c r="Z25" s="1"/>
    </row>
    <row r="26">
      <c r="A26" s="1"/>
      <c r="B26" s="8" t="s">
        <v>136</v>
      </c>
      <c r="C26" s="100" t="str">
        <f>IF(AND(ISNUMBER(C25),ISNUMBER(J25)),C25-J25,"n/a")</f>
        <v>n/a</v>
      </c>
      <c r="D26" s="100">
        <f>IF(AND(ISNUMBER(D25),ISNUMBER(K25)),D25-K25,"n/a")</f>
        <v>0.7533630207695403</v>
      </c>
      <c r="E26" s="100">
        <f>IF(AND(ISNUMBER(E25),ISNUMBER(L25)),E25-L25,"n/a")</f>
        <v>-0.5729531103843435</v>
      </c>
      <c r="F26" s="100">
        <f>IF(AND(ISNUMBER(F25),ISNUMBER(M25)),F25-M25,"n/a")</f>
        <v>10.18758918149808</v>
      </c>
      <c r="G26" s="100">
        <f>IF(AND(ISNUMBER(G25),ISNUMBER(N25)),G25-N25,"n/a")</f>
        <v>0.027633607614311995</v>
      </c>
      <c r="H26" s="101">
        <f>IF(AND(ISNUMBER(H25),ISNUMBER(C25)),H25-C25,"n/a")</f>
        <v>-1.5607064017660046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8" t="s">
        <v>137</v>
      </c>
      <c r="C27" s="100">
        <f>IF(AND(ISNUMBER(C25),ISNUMBER(M25)),C25-M25,"n/a")</f>
        <v>1.673435792969034</v>
      </c>
      <c r="D27" s="100">
        <f>IF(AND(ISNUMBER(D25),ISNUMBER(C25)),D25-C25,"n/a")</f>
        <v>-1.375631774900333</v>
      </c>
      <c r="E27" s="100">
        <f>IF(AND(ISNUMBER(E25),ISNUMBER(D25)),E25-D25,"n/a")</f>
        <v>-0.20836868003092235</v>
      </c>
      <c r="F27" s="100">
        <f>IF(AND(ISNUMBER(F25),ISNUMBER(E25)),F25-E25,"n/a")</f>
        <v>10.098153843460302</v>
      </c>
      <c r="G27" s="100" t="s">
        <v>100</v>
      </c>
      <c r="H27" s="101">
        <f>IF(AND(ISNUMBER(H25),ISNUMBER(F25)),H25-F25,"n/a")</f>
        <v>-10.07485979029505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157</v>
      </c>
      <c r="C28" s="18">
        <f>C13/C10</f>
        <v>0.09003726708074535</v>
      </c>
      <c r="D28" s="18">
        <f>D13/D10</f>
        <v>0.08757025225460724</v>
      </c>
      <c r="E28" s="18">
        <f>E13/E10</f>
        <v>0.0782207931404073</v>
      </c>
      <c r="F28" s="18">
        <f>F13/F10</f>
        <v>0.08807043917105122</v>
      </c>
      <c r="G28" s="18">
        <f>G13/G10</f>
        <v>0.3725859268236083</v>
      </c>
      <c r="H28" s="32">
        <v>0.0489</v>
      </c>
      <c r="I28" s="1"/>
      <c r="J28" s="1"/>
      <c r="K28" s="18">
        <f>K13/K10</f>
        <v>0.08378763322037228</v>
      </c>
      <c r="L28" s="18">
        <f>L13/L10</f>
        <v>0.08697109558311632</v>
      </c>
      <c r="M28" s="18">
        <f>M13/M10</f>
        <v>0.0844796613923272</v>
      </c>
      <c r="N28" s="18">
        <f>N13/N10</f>
        <v>0.39349654038288495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0" t="s">
        <v>103</v>
      </c>
      <c r="C29" s="5" t="str">
        <f>IF(AND(ISNUMBER(C28),ISNUMBER(J28)),(C28-J28)*10000,"n/a")</f>
        <v>n/a</v>
      </c>
      <c r="D29" s="5">
        <f>IF(AND(ISNUMBER(D28),ISNUMBER(K28)),(D28-K28)*10000,"n/a")</f>
        <v>37.82619034234963</v>
      </c>
      <c r="E29" s="5">
        <f>IF(AND(ISNUMBER(E28),ISNUMBER(L28)),(E28-L28)*10000,"n/a")</f>
        <v>-87.50302442709024</v>
      </c>
      <c r="F29" s="5">
        <f>IF(AND(ISNUMBER(F28),ISNUMBER(M28)),(F28-M28)*10000,"n/a")</f>
        <v>35.90777778724019</v>
      </c>
      <c r="G29" s="5">
        <f>IF(AND(ISNUMBER(G28),ISNUMBER(N28)),(G28-N28)*10000,"n/a")</f>
        <v>-209.10613559276646</v>
      </c>
      <c r="H29" s="30">
        <f>IF(AND(ISNUMBER(H28),ISNUMBER(C28)),(H28-C28)*10000,"n/a")</f>
        <v>-411.37267080745346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20" t="s">
        <v>104</v>
      </c>
      <c r="C30" s="5">
        <f>IF(AND(ISNUMBER(C28),ISNUMBER(M28)),(C28-M28)*10000,"n/a")</f>
        <v>55.57605688418149</v>
      </c>
      <c r="D30" s="5">
        <f>IF(AND(ISNUMBER(D28),ISNUMBER(C28)),(D28-C28)*10000,"n/a")</f>
        <v>-24.67014826138106</v>
      </c>
      <c r="E30" s="5">
        <f>IF(AND(ISNUMBER(E28),ISNUMBER(D28)),(E28-D28)*10000,"n/a")</f>
        <v>-93.49459114199945</v>
      </c>
      <c r="F30" s="5">
        <f>IF(AND(ISNUMBER(F28),ISNUMBER(E28)),(F28-E28)*10000,"n/a")</f>
        <v>98.49646030643922</v>
      </c>
      <c r="G30" s="5" t="s">
        <v>100</v>
      </c>
      <c r="H30" s="30">
        <f>IF(AND(ISNUMBER(H28),ISNUMBER(F28)),(H28-F28)*10000,"n/a")</f>
        <v>-391.70439171051214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4" t="s">
        <v>158</v>
      </c>
      <c r="C31" s="2">
        <f>IF(AND(ISNUMBER(C19),ISNUMBER(C10)),C19-C10,"n/a")</f>
        <v>5656</v>
      </c>
      <c r="D31" s="2">
        <f>IF(AND(ISNUMBER(D19),ISNUMBER(D10)),D19-D10,"n/a")</f>
        <v>744</v>
      </c>
      <c r="E31" s="2">
        <f>IF(AND(ISNUMBER(E19),ISNUMBER(E10)),E19-E10,"n/a")</f>
        <v>-85</v>
      </c>
      <c r="F31" s="2">
        <f>IF(AND(ISNUMBER(F19),ISNUMBER(F10)),F19-F10,"n/a")</f>
        <v>41317</v>
      </c>
      <c r="G31" s="2">
        <f>IF(AND(ISNUMBER(G19),ISNUMBER(G10)),G19-G10,"n/a")</f>
        <v>7867</v>
      </c>
      <c r="H31" s="7">
        <f>IF(AND(ISNUMBER(H19),ISNUMBER(H10)),H19-H10,"n/a")</f>
        <v>0</v>
      </c>
      <c r="I31" s="1"/>
      <c r="J31" s="1"/>
      <c r="K31" s="2">
        <f>IF(AND(ISNUMBER(K19),ISNUMBER(K10)),K19-K10,"n/a")</f>
        <v>-1939</v>
      </c>
      <c r="L31" s="2">
        <f>IF(AND(ISNUMBER(L19),ISNUMBER(L10)),L19-L10,"n/a")</f>
        <v>1854</v>
      </c>
      <c r="M31" s="2">
        <f>IF(AND(ISNUMBER(M19),ISNUMBER(M10)),M19-M10,"n/a")</f>
        <v>-387</v>
      </c>
      <c r="N31" s="2">
        <f>IF(AND(ISNUMBER(N19),ISNUMBER(N10)),N19-N10,"n/a")</f>
        <v>6554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8" t="s">
        <v>129</v>
      </c>
      <c r="C32" s="2" t="str">
        <f>IF(AND(ISNUMBER(C31),ISNUMBER(J31)),C31-J31,"n/a")</f>
        <v>n/a</v>
      </c>
      <c r="D32" s="2">
        <f>IF(AND(ISNUMBER(D31),ISNUMBER(K31)),D31-K31,"n/a")</f>
        <v>2683</v>
      </c>
      <c r="E32" s="2">
        <f>IF(AND(ISNUMBER(E31),ISNUMBER(L31)),E31-L31,"n/a")</f>
        <v>-1939</v>
      </c>
      <c r="F32" s="2">
        <f>IF(AND(ISNUMBER(F31),ISNUMBER(M31)),F31-M31,"n/a")</f>
        <v>41704</v>
      </c>
      <c r="G32" s="2">
        <f>IF(AND(ISNUMBER(G31),ISNUMBER(N31)),G31-N31,"n/a")</f>
        <v>1313</v>
      </c>
      <c r="H32" s="7">
        <f>IF(AND(ISNUMBER(H31),ISNUMBER(C31)),H31-C31,"n/a")</f>
        <v>-5656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8" t="s">
        <v>101</v>
      </c>
      <c r="C33" s="2">
        <f>IF(AND(ISNUMBER(C31),ISNUMBER(M31)),C31-M31,"n/a")</f>
        <v>6043</v>
      </c>
      <c r="D33" s="2">
        <f>IF(AND(ISNUMBER(D31),ISNUMBER(C31)),D31-C31,"n/a")</f>
        <v>-4912</v>
      </c>
      <c r="E33" s="2">
        <f>IF(AND(ISNUMBER(E31),ISNUMBER(D31)),E31-D31,"n/a")</f>
        <v>-829</v>
      </c>
      <c r="F33" s="2">
        <f>IF(AND(ISNUMBER(F31),ISNUMBER(E31)),F31-E31,"n/a")</f>
        <v>41402</v>
      </c>
      <c r="G33" s="2" t="s">
        <v>100</v>
      </c>
      <c r="H33" s="7">
        <f>IF(AND(ISNUMBER(H31),ISNUMBER(F31)),H31-F31,"n/a")</f>
        <v>-41317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3" t="s">
        <v>159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"/>
      <c r="T35" s="1"/>
      <c r="U35" s="1"/>
      <c r="V35" s="1"/>
      <c r="W35" s="1"/>
      <c r="X35" s="1"/>
      <c r="Y35" s="1"/>
      <c r="Z35" s="1"/>
    </row>
    <row r="36">
      <c r="A36" s="1"/>
      <c r="B36" s="4" t="s">
        <v>160</v>
      </c>
      <c r="C36" s="3">
        <v>3256</v>
      </c>
      <c r="D36" s="2">
        <f>G36-P36</f>
        <v>3639</v>
      </c>
      <c r="E36" s="3">
        <v>3323</v>
      </c>
      <c r="F36" s="3">
        <v>3700</v>
      </c>
      <c r="G36" s="3">
        <v>12977</v>
      </c>
      <c r="H36" s="7">
        <f>H10*H28*H40</f>
        <v>3884.8765392</v>
      </c>
      <c r="I36" s="1"/>
      <c r="J36" s="3">
        <v>2811</v>
      </c>
      <c r="K36" s="2">
        <f>N36-O36</f>
        <v>3058</v>
      </c>
      <c r="L36" s="3">
        <v>3017</v>
      </c>
      <c r="M36" s="3">
        <v>3065</v>
      </c>
      <c r="N36" s="3">
        <v>11275</v>
      </c>
      <c r="O36" s="3">
        <v>8217</v>
      </c>
      <c r="P36" s="3">
        <v>9338</v>
      </c>
      <c r="Q36" s="1"/>
      <c r="R36" s="9" t="s">
        <v>161</v>
      </c>
      <c r="S36" s="1"/>
      <c r="T36" s="1"/>
      <c r="U36" s="1"/>
      <c r="V36" s="1"/>
      <c r="W36" s="1"/>
      <c r="X36" s="1"/>
      <c r="Y36" s="1"/>
      <c r="Z36" s="1"/>
    </row>
    <row r="37">
      <c r="A37" s="1"/>
      <c r="B37" s="20" t="s">
        <v>98</v>
      </c>
      <c r="C37" s="18">
        <f>IF(AND(ISNUMBER(C36),ISNUMBER(J36)),IF(OR(J36&gt;0,AND(J36&lt;0,C36&lt;0)),C36/J36-1,"n/m"),"n/a")</f>
        <v>0.15830665243685527</v>
      </c>
      <c r="D37" s="18">
        <f>IF(AND(ISNUMBER(D36),ISNUMBER(K36)),IF(OR(K36&gt;0,AND(K36&lt;0,D36&lt;0)),D36/K36-1,"n/m"),"n/a")</f>
        <v>0.1899934597776325</v>
      </c>
      <c r="E37" s="18">
        <f>IF(AND(ISNUMBER(E36),ISNUMBER(L36)),IF(OR(L36&gt;0,AND(L36&lt;0,E36&lt;0)),E36/L36-1,"n/m"),"n/a")</f>
        <v>0.10142525687769299</v>
      </c>
      <c r="F37" s="18">
        <f>IF(AND(ISNUMBER(F36),ISNUMBER(M36)),IF(OR(M36&gt;0,AND(M36&lt;0,F36&lt;0)),F36/M36-1,"n/m"),"n/a")</f>
        <v>0.20717781402936386</v>
      </c>
      <c r="G37" s="18">
        <f>IF(AND(ISNUMBER(G36),ISNUMBER(N36)),IF(OR(N36&gt;0,AND(N36&lt;0,G36&lt;0)),G36/N36-1,"n/m"),"n/a")</f>
        <v>0.15095343680709528</v>
      </c>
      <c r="H37" s="21">
        <f>IF(AND(ISNUMBER(H36),ISNUMBER(C36)),IF(OR(C36&gt;0,AND(C36&lt;0,H36&lt;0)),H36/C36-1,"n/m"),"n/a")</f>
        <v>0.19314390024570027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0" t="s">
        <v>99</v>
      </c>
      <c r="C38" s="18">
        <f>IF(AND(ISNUMBER(C36),ISNUMBER(M36)),IF(OR(M36&gt;0,AND(M36&lt;0,C36&lt;0)),C36/M36-1,"n/m"),"n/a")</f>
        <v>0.062316476345840144</v>
      </c>
      <c r="D38" s="18">
        <f>IF(AND(ISNUMBER(D36),ISNUMBER(C36)),IF(OR(C36&gt;0,AND(C36&lt;0,D36&lt;0)),D36/C36-1,"n/m"),"n/a")</f>
        <v>0.11762899262899262</v>
      </c>
      <c r="E38" s="18">
        <f>IF(AND(ISNUMBER(E36),ISNUMBER(D36)),IF(OR(D36&gt;0,AND(D36&lt;0,E36&lt;0)),E36/D36-1,"n/m"),"n/a")</f>
        <v>-0.08683704314372076</v>
      </c>
      <c r="F38" s="18">
        <f>IF(AND(ISNUMBER(F36),ISNUMBER(E36)),IF(OR(E36&gt;0,AND(E36&lt;0,F36&lt;0)),F36/E36-1,"n/m"),"n/a")</f>
        <v>0.1134517002708395</v>
      </c>
      <c r="G38" s="18" t="s">
        <v>100</v>
      </c>
      <c r="H38" s="21">
        <f>IF(AND(ISNUMBER(H36),ISNUMBER(F36)),IF(OR(F36&gt;0,AND(F36&lt;0,H36&lt;0)),H36/F36-1,"n/m"),"n/a")</f>
        <v>0.04996663221621622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8" t="s">
        <v>101</v>
      </c>
      <c r="C39" s="2">
        <f>IF(AND(ISNUMBER(C36),ISNUMBER(M36)),C36-M36,"n/a")</f>
        <v>191</v>
      </c>
      <c r="D39" s="2">
        <f>IF(AND(ISNUMBER(D36),ISNUMBER(C36)),D36-C36,"n/a")</f>
        <v>383</v>
      </c>
      <c r="E39" s="2">
        <f>IF(AND(ISNUMBER(E36),ISNUMBER(D36)),E36-D36,"n/a")</f>
        <v>-316</v>
      </c>
      <c r="F39" s="2">
        <f>IF(AND(ISNUMBER(F36),ISNUMBER(E36)),F36-E36,"n/a")</f>
        <v>377</v>
      </c>
      <c r="G39" s="2" t="s">
        <v>100</v>
      </c>
      <c r="H39" s="7">
        <f>IF(AND(ISNUMBER(H36),ISNUMBER(F36)),H36-F36,"n/a")</f>
        <v>184.87653920000002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20" t="s">
        <v>162</v>
      </c>
      <c r="C40" s="18">
        <f>IF(AND(ISNUMBER(C36),ISNUMBER(C56)),C36/C56,"n/a")</f>
        <v>0.8984547461368654</v>
      </c>
      <c r="D40" s="18">
        <f>IF(AND(ISNUMBER(D36),ISNUMBER(D56)),D36/D56,"n/a")</f>
        <v>0.905223880597015</v>
      </c>
      <c r="E40" s="18">
        <f>IF(AND(ISNUMBER(E36),ISNUMBER(E56)),E36/E56,"n/a")</f>
        <v>0.9106604549191559</v>
      </c>
      <c r="F40" s="18">
        <f>IF(AND(ISNUMBER(F36),ISNUMBER(F56)),F36/F56,"n/a")</f>
        <v>0.9022189709826871</v>
      </c>
      <c r="G40" s="18">
        <f>IF(AND(ISNUMBER(G36),ISNUMBER(G56)),G36/G56,"n/a")</f>
        <v>0.8980622837370242</v>
      </c>
      <c r="H40" s="32">
        <v>0.904</v>
      </c>
      <c r="I40" s="1"/>
      <c r="J40" s="18">
        <f>IF(AND(ISNUMBER(J36),ISNUMBER(J56)),J36/J56,"n/a")</f>
        <v>0.8853543307086614</v>
      </c>
      <c r="K40" s="18">
        <f>IF(AND(ISNUMBER(K36),ISNUMBER(K56)),K36/K56,"n/a")</f>
        <v>0.8962485345838218</v>
      </c>
      <c r="L40" s="18">
        <f>IF(AND(ISNUMBER(L36),ISNUMBER(L56)),L36/L56,"n/a")</f>
        <v>0.8944559739104655</v>
      </c>
      <c r="M40" s="18">
        <f>IF(AND(ISNUMBER(M36),ISNUMBER(M56)),M36/M56,"n/a")</f>
        <v>0.8928051267113312</v>
      </c>
      <c r="N40" s="18">
        <f>IF(AND(ISNUMBER(N36),ISNUMBER(N56)),N36/N56,"n/a")</f>
        <v>0.8890553540451033</v>
      </c>
      <c r="O40" s="18">
        <f>IF(AND(ISNUMBER(O36),ISNUMBER(O56)),O36/O56,"n/a")</f>
        <v>0.8864077669902912</v>
      </c>
      <c r="P40" s="18">
        <f>IF(AND(ISNUMBER(P36),ISNUMBER(P56)),P36/P56,"n/a")</f>
        <v>0.8953020134228188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37" t="s">
        <v>103</v>
      </c>
      <c r="C41" s="5">
        <f>IF(AND(ISNUMBER(C40),ISNUMBER(J40)),(C40-J40)*10000,"n/a")</f>
        <v>131.00415428203948</v>
      </c>
      <c r="D41" s="5">
        <f>IF(AND(ISNUMBER(D40),ISNUMBER(K40)),(D40-K40)*10000,"n/a")</f>
        <v>89.75346013193163</v>
      </c>
      <c r="E41" s="5">
        <f>IF(AND(ISNUMBER(E40),ISNUMBER(L40)),(E40-L40)*10000,"n/a")</f>
        <v>162.0448100869043</v>
      </c>
      <c r="F41" s="5">
        <f>IF(AND(ISNUMBER(F40),ISNUMBER(M40)),(F40-M40)*10000,"n/a")</f>
        <v>94.13844271355943</v>
      </c>
      <c r="G41" s="5">
        <f>IF(AND(ISNUMBER(G40),ISNUMBER(N40)),(G40-N40)*10000,"n/a")</f>
        <v>90.06929691920962</v>
      </c>
      <c r="H41" s="30">
        <f>IF(AND(ISNUMBER(H40),ISNUMBER(C40)),(H40-C40)*10000,"n/a")</f>
        <v>55.45253863134647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37" t="s">
        <v>104</v>
      </c>
      <c r="C42" s="5">
        <f>IF(AND(ISNUMBER(C40),ISNUMBER(M40)),(C40-M40)*10000,"n/a")</f>
        <v>56.49619425534213</v>
      </c>
      <c r="D42" s="5">
        <f>IF(AND(ISNUMBER(D40),ISNUMBER(C40)),(D40-C40)*10000,"n/a")</f>
        <v>67.69134460149596</v>
      </c>
      <c r="E42" s="5">
        <f>IF(AND(ISNUMBER(E40),ISNUMBER(D40)),(E40-D40)*10000,"n/a")</f>
        <v>54.365743221409524</v>
      </c>
      <c r="F42" s="5">
        <f>IF(AND(ISNUMBER(F40),ISNUMBER(E40)),(F40-E40)*10000,"n/a")</f>
        <v>-84.41483936468819</v>
      </c>
      <c r="G42" s="5" t="s">
        <v>100</v>
      </c>
      <c r="H42" s="30">
        <f>IF(AND(ISNUMBER(H40),ISNUMBER(F40)),(H40-F40)*10000,"n/a")</f>
        <v>17.810290173129182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20" t="s">
        <v>105</v>
      </c>
      <c r="C43" s="18" t="s">
        <v>106</v>
      </c>
      <c r="D43" s="18" t="s">
        <v>106</v>
      </c>
      <c r="E43" s="18" t="s">
        <v>106</v>
      </c>
      <c r="F43" s="18" t="s">
        <v>106</v>
      </c>
      <c r="G43" s="18" t="s">
        <v>106</v>
      </c>
      <c r="H43" s="21" t="s">
        <v>106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0" t="s">
        <v>107</v>
      </c>
      <c r="C44" s="18" t="s">
        <v>106</v>
      </c>
      <c r="D44" s="18" t="s">
        <v>106</v>
      </c>
      <c r="E44" s="18" t="s">
        <v>106</v>
      </c>
      <c r="F44" s="18" t="s">
        <v>106</v>
      </c>
      <c r="G44" s="18" t="s">
        <v>106</v>
      </c>
      <c r="H44" s="21" t="s">
        <v>106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0" t="s">
        <v>108</v>
      </c>
      <c r="C45" s="18" t="str">
        <f>IF(AND(ISNUMBER(C37),ISNUMBER(C43),ISNUMBER(C44)),(1+C37)/((1+C43)*(1+C44))-1,"n/a")</f>
        <v>n/a</v>
      </c>
      <c r="D45" s="18" t="str">
        <f>IF(AND(ISNUMBER(D37),ISNUMBER(D43),ISNUMBER(D44)),(1+D37)/((1+D43)*(1+D44))-1,"n/a")</f>
        <v>n/a</v>
      </c>
      <c r="E45" s="18" t="str">
        <f>IF(AND(ISNUMBER(E37),ISNUMBER(E43),ISNUMBER(E44)),(1+E37)/((1+E43)*(1+E44))-1,"n/a")</f>
        <v>n/a</v>
      </c>
      <c r="F45" s="18" t="str">
        <f>IF(AND(ISNUMBER(F37),ISNUMBER(F43),ISNUMBER(F44)),(1+F37)/((1+F43)*(1+F44))-1,"n/a")</f>
        <v>n/a</v>
      </c>
      <c r="G45" s="18" t="str">
        <f>IF(AND(ISNUMBER(G37),ISNUMBER(G43),ISNUMBER(G44)),(1+G37)/((1+G43)*(1+G44))-1,"n/a")</f>
        <v>n/a</v>
      </c>
      <c r="H45" s="21" t="str">
        <f>IF(AND(ISNUMBER(H37),ISNUMBER(H43),ISNUMBER(H44)),(1+H37)/((1+H43)*(1+H44))-1,"n/a")</f>
        <v>n/a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" t="s">
        <v>163</v>
      </c>
      <c r="C46" s="3">
        <v>368</v>
      </c>
      <c r="D46" s="2">
        <f>G46-P46</f>
        <v>381</v>
      </c>
      <c r="E46" s="3">
        <v>326</v>
      </c>
      <c r="F46" s="3">
        <v>401</v>
      </c>
      <c r="G46" s="3">
        <v>1473</v>
      </c>
      <c r="H46" s="7">
        <f>H10*H28-H36</f>
        <v>412.55326079999986</v>
      </c>
      <c r="I46" s="1"/>
      <c r="J46" s="3">
        <v>364</v>
      </c>
      <c r="K46" s="2">
        <f>N46-O46</f>
        <v>354</v>
      </c>
      <c r="L46" s="3">
        <v>356</v>
      </c>
      <c r="M46" s="3">
        <v>368</v>
      </c>
      <c r="N46" s="3">
        <v>1407</v>
      </c>
      <c r="O46" s="3">
        <v>1053</v>
      </c>
      <c r="P46" s="3">
        <v>1092</v>
      </c>
      <c r="Q46" s="1"/>
      <c r="R46" s="9" t="s">
        <v>161</v>
      </c>
      <c r="S46" s="1"/>
      <c r="T46" s="1"/>
      <c r="U46" s="1"/>
      <c r="V46" s="1"/>
      <c r="W46" s="1"/>
      <c r="X46" s="1"/>
      <c r="Y46" s="1"/>
      <c r="Z46" s="1"/>
    </row>
    <row r="47">
      <c r="A47" s="1"/>
      <c r="B47" s="20" t="s">
        <v>98</v>
      </c>
      <c r="C47" s="18">
        <f>IF(AND(ISNUMBER(C46),ISNUMBER(J46)),IF(OR(J46&gt;0,AND(J46&lt;0,C46&lt;0)),C46/J46-1,"n/m"),"n/a")</f>
        <v>0.01098901098901095</v>
      </c>
      <c r="D47" s="18">
        <f>IF(AND(ISNUMBER(D46),ISNUMBER(K46)),IF(OR(K46&gt;0,AND(K46&lt;0,D46&lt;0)),D46/K46-1,"n/m"),"n/a")</f>
        <v>0.07627118644067798</v>
      </c>
      <c r="E47" s="18">
        <f>IF(AND(ISNUMBER(E46),ISNUMBER(L46)),IF(OR(L46&gt;0,AND(L46&lt;0,E46&lt;0)),E46/L46-1,"n/m"),"n/a")</f>
        <v>-0.0842696629213483</v>
      </c>
      <c r="F47" s="18">
        <f>IF(AND(ISNUMBER(F46),ISNUMBER(M46)),IF(OR(M46&gt;0,AND(M46&lt;0,F46&lt;0)),F46/M46-1,"n/m"),"n/a")</f>
        <v>0.08967391304347827</v>
      </c>
      <c r="G47" s="18">
        <f>IF(AND(ISNUMBER(G46),ISNUMBER(N46)),IF(OR(N46&gt;0,AND(N46&lt;0,G46&lt;0)),G46/N46-1,"n/m"),"n/a")</f>
        <v>0.046908315565032055</v>
      </c>
      <c r="H47" s="21">
        <f>IF(AND(ISNUMBER(H46),ISNUMBER(C46)),IF(OR(C46&gt;0,AND(C46&lt;0,H46&lt;0)),H46/C46-1,"n/m"),"n/a")</f>
        <v>0.12106864347826041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0" t="s">
        <v>99</v>
      </c>
      <c r="C48" s="18">
        <f>IF(AND(ISNUMBER(C46),ISNUMBER(M46)),IF(OR(M46&gt;0,AND(M46&lt;0,C46&lt;0)),C46/M46-1,"n/m"),"n/a")</f>
        <v>0</v>
      </c>
      <c r="D48" s="18">
        <f>IF(AND(ISNUMBER(D46),ISNUMBER(C46)),IF(OR(C46&gt;0,AND(C46&lt;0,D46&lt;0)),D46/C46-1,"n/m"),"n/a")</f>
        <v>0.03532608695652173</v>
      </c>
      <c r="E48" s="18">
        <f>IF(AND(ISNUMBER(E46),ISNUMBER(D46)),IF(OR(D46&gt;0,AND(D46&lt;0,E46&lt;0)),E46/D46-1,"n/m"),"n/a")</f>
        <v>-0.14435695538057747</v>
      </c>
      <c r="F48" s="18">
        <f>IF(AND(ISNUMBER(F46),ISNUMBER(E46)),IF(OR(E46&gt;0,AND(E46&lt;0,F46&lt;0)),F46/E46-1,"n/m"),"n/a")</f>
        <v>0.23006134969325154</v>
      </c>
      <c r="G48" s="18" t="s">
        <v>100</v>
      </c>
      <c r="H48" s="21">
        <f>IF(AND(ISNUMBER(H46),ISNUMBER(F46)),IF(OR(F46&gt;0,AND(F46&lt;0,H46&lt;0)),H46/F46-1,"n/m"),"n/a")</f>
        <v>0.028811124189525916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8" t="s">
        <v>101</v>
      </c>
      <c r="C49" s="2">
        <f>IF(AND(ISNUMBER(C46),ISNUMBER(M46)),C46-M46,"n/a")</f>
        <v>0</v>
      </c>
      <c r="D49" s="2">
        <f>IF(AND(ISNUMBER(D46),ISNUMBER(C46)),D46-C46,"n/a")</f>
        <v>13</v>
      </c>
      <c r="E49" s="2">
        <f>IF(AND(ISNUMBER(E46),ISNUMBER(D46)),E46-D46,"n/a")</f>
        <v>-55</v>
      </c>
      <c r="F49" s="2">
        <f>IF(AND(ISNUMBER(F46),ISNUMBER(E46)),F46-E46,"n/a")</f>
        <v>75</v>
      </c>
      <c r="G49" s="2" t="s">
        <v>100</v>
      </c>
      <c r="H49" s="7">
        <f>IF(AND(ISNUMBER(H46),ISNUMBER(F46)),H46-F46,"n/a")</f>
        <v>11.553260799999862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20" t="s">
        <v>164</v>
      </c>
      <c r="C50" s="18">
        <f>IF(AND(ISNUMBER(C46),ISNUMBER(C56)),C46/C56,"n/a")</f>
        <v>0.10154525386313466</v>
      </c>
      <c r="D50" s="18">
        <f>IF(AND(ISNUMBER(D46),ISNUMBER(D56)),D46/D56,"n/a")</f>
        <v>0.09477611940298507</v>
      </c>
      <c r="E50" s="18">
        <f>IF(AND(ISNUMBER(E46),ISNUMBER(E56)),E46/E56,"n/a")</f>
        <v>0.08933954508084406</v>
      </c>
      <c r="F50" s="18">
        <f>IF(AND(ISNUMBER(F46),ISNUMBER(F56)),F46/F56,"n/a")</f>
        <v>0.09778102901731285</v>
      </c>
      <c r="G50" s="18">
        <f>IF(AND(ISNUMBER(G46),ISNUMBER(G56)),G46/G56,"n/a")</f>
        <v>0.10193771626297578</v>
      </c>
      <c r="H50" s="21">
        <f>IF(AND(ISNUMBER(H46),ISNUMBER(H56)),H46/H56,"n/a")</f>
        <v>0.09599999999999997</v>
      </c>
      <c r="I50" s="1"/>
      <c r="J50" s="18">
        <f>IF(AND(ISNUMBER(J46),ISNUMBER(J56)),J46/J56,"n/a")</f>
        <v>0.11464566929133858</v>
      </c>
      <c r="K50" s="18">
        <f>IF(AND(ISNUMBER(K46),ISNUMBER(K56)),K46/K56,"n/a")</f>
        <v>0.10375146541617819</v>
      </c>
      <c r="L50" s="18">
        <f>IF(AND(ISNUMBER(L46),ISNUMBER(L56)),L46/L56,"n/a")</f>
        <v>0.10554402608953455</v>
      </c>
      <c r="M50" s="18">
        <f>IF(AND(ISNUMBER(M46),ISNUMBER(M56)),M46/M56,"n/a")</f>
        <v>0.10719487328866881</v>
      </c>
      <c r="N50" s="18">
        <f>IF(AND(ISNUMBER(N46),ISNUMBER(N56)),N46/N56,"n/a")</f>
        <v>0.1109446459548967</v>
      </c>
      <c r="O50" s="18">
        <f>IF(AND(ISNUMBER(O46),ISNUMBER(O56)),O46/O56,"n/a")</f>
        <v>0.11359223300970873</v>
      </c>
      <c r="P50" s="18">
        <f>IF(AND(ISNUMBER(P46),ISNUMBER(P56)),P46/P56,"n/a")</f>
        <v>0.10469798657718121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37" t="s">
        <v>103</v>
      </c>
      <c r="C51" s="5">
        <f>IF(AND(ISNUMBER(C50),ISNUMBER(J50)),(C50-J50)*10000,"n/a")</f>
        <v>-131.0041542820392</v>
      </c>
      <c r="D51" s="5">
        <f>IF(AND(ISNUMBER(D50),ISNUMBER(K50)),(D50-K50)*10000,"n/a")</f>
        <v>-89.75346013193122</v>
      </c>
      <c r="E51" s="5">
        <f>IF(AND(ISNUMBER(E50),ISNUMBER(L50)),(E50-L50)*10000,"n/a")</f>
        <v>-162.04481008690485</v>
      </c>
      <c r="F51" s="5">
        <f>IF(AND(ISNUMBER(F50),ISNUMBER(M50)),(F50-M50)*10000,"n/a")</f>
        <v>-94.13844271355956</v>
      </c>
      <c r="G51" s="5">
        <f>IF(AND(ISNUMBER(G50),ISNUMBER(N50)),(G50-N50)*10000,"n/a")</f>
        <v>-90.06929691920921</v>
      </c>
      <c r="H51" s="30">
        <f>IF(AND(ISNUMBER(H50),ISNUMBER(C50)),(H50-C50)*10000,"n/a")</f>
        <v>-55.45253863134689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37" t="s">
        <v>104</v>
      </c>
      <c r="C52" s="5">
        <f>IF(AND(ISNUMBER(C50),ISNUMBER(M50)),(C50-M50)*10000,"n/a")</f>
        <v>-56.49619425534144</v>
      </c>
      <c r="D52" s="5">
        <f>IF(AND(ISNUMBER(D50),ISNUMBER(C50)),(D50-C50)*10000,"n/a")</f>
        <v>-67.69134460149596</v>
      </c>
      <c r="E52" s="5">
        <f>IF(AND(ISNUMBER(E50),ISNUMBER(D50)),(E50-D50)*10000,"n/a")</f>
        <v>-54.36574322141008</v>
      </c>
      <c r="F52" s="5">
        <f>IF(AND(ISNUMBER(F50),ISNUMBER(E50)),(F50-E50)*10000,"n/a")</f>
        <v>84.41483936468791</v>
      </c>
      <c r="G52" s="5" t="s">
        <v>100</v>
      </c>
      <c r="H52" s="30">
        <f>IF(AND(ISNUMBER(H50),ISNUMBER(F50)),(H50-F50)*10000,"n/a")</f>
        <v>-17.810290173128767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20" t="s">
        <v>105</v>
      </c>
      <c r="C53" s="18" t="s">
        <v>106</v>
      </c>
      <c r="D53" s="18" t="s">
        <v>106</v>
      </c>
      <c r="E53" s="18" t="s">
        <v>106</v>
      </c>
      <c r="F53" s="18" t="s">
        <v>106</v>
      </c>
      <c r="G53" s="18" t="s">
        <v>106</v>
      </c>
      <c r="H53" s="21" t="s">
        <v>106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0" t="s">
        <v>107</v>
      </c>
      <c r="C54" s="18" t="s">
        <v>106</v>
      </c>
      <c r="D54" s="18" t="s">
        <v>106</v>
      </c>
      <c r="E54" s="18" t="s">
        <v>106</v>
      </c>
      <c r="F54" s="18" t="s">
        <v>106</v>
      </c>
      <c r="G54" s="18" t="s">
        <v>106</v>
      </c>
      <c r="H54" s="21" t="s">
        <v>106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0" t="s">
        <v>108</v>
      </c>
      <c r="C55" s="18" t="str">
        <f>IF(AND(ISNUMBER(C47),ISNUMBER(C53),ISNUMBER(C54)),(1+C47)/((1+C53)*(1+C54))-1,"n/a")</f>
        <v>n/a</v>
      </c>
      <c r="D55" s="18" t="str">
        <f>IF(AND(ISNUMBER(D47),ISNUMBER(D53),ISNUMBER(D54)),(1+D47)/((1+D53)*(1+D54))-1,"n/a")</f>
        <v>n/a</v>
      </c>
      <c r="E55" s="18" t="str">
        <f>IF(AND(ISNUMBER(E47),ISNUMBER(E53),ISNUMBER(E54)),(1+E47)/((1+E53)*(1+E54))-1,"n/a")</f>
        <v>n/a</v>
      </c>
      <c r="F55" s="18" t="str">
        <f>IF(AND(ISNUMBER(F47),ISNUMBER(F53),ISNUMBER(F54)),(1+F47)/((1+F53)*(1+F54))-1,"n/a")</f>
        <v>n/a</v>
      </c>
      <c r="G55" s="18" t="str">
        <f>IF(AND(ISNUMBER(G47),ISNUMBER(G53),ISNUMBER(G54)),(1+G47)/((1+G53)*(1+G54))-1,"n/a")</f>
        <v>n/a</v>
      </c>
      <c r="H55" s="21" t="str">
        <f>IF(AND(ISNUMBER(H47),ISNUMBER(H53),ISNUMBER(H54)),(1+H47)/((1+H53)*(1+H54))-1,"n/a")</f>
        <v>n/a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46" t="s">
        <v>213</v>
      </c>
      <c r="C56" s="14">
        <f>C36+C46</f>
        <v>3624</v>
      </c>
      <c r="D56" s="14">
        <f>D36+D46</f>
        <v>4020</v>
      </c>
      <c r="E56" s="14">
        <f>E36+E46</f>
        <v>3649</v>
      </c>
      <c r="F56" s="14">
        <f>F36+F46</f>
        <v>4101</v>
      </c>
      <c r="G56" s="14">
        <f>G36+G46</f>
        <v>14450</v>
      </c>
      <c r="H56" s="48">
        <f>H36+H46</f>
        <v>4297.4298</v>
      </c>
      <c r="I56" s="1"/>
      <c r="J56" s="14">
        <f>J36+J46</f>
        <v>3175</v>
      </c>
      <c r="K56" s="14">
        <f>K36+K46</f>
        <v>3412</v>
      </c>
      <c r="L56" s="14">
        <f>L36+L46</f>
        <v>3373</v>
      </c>
      <c r="M56" s="14">
        <f>M36+M46</f>
        <v>3433</v>
      </c>
      <c r="N56" s="14">
        <f>N36+N46</f>
        <v>12682</v>
      </c>
      <c r="O56" s="14">
        <f>O36+O46</f>
        <v>9270</v>
      </c>
      <c r="P56" s="14">
        <f>P36+P46</f>
        <v>10430</v>
      </c>
      <c r="Q56" s="1"/>
      <c r="R56" s="9" t="s">
        <v>166</v>
      </c>
      <c r="S56" s="1"/>
      <c r="T56" s="1"/>
      <c r="U56" s="1"/>
      <c r="V56" s="1"/>
      <c r="W56" s="1"/>
      <c r="X56" s="1"/>
      <c r="Y56" s="1"/>
      <c r="Z56" s="1"/>
    </row>
    <row r="57">
      <c r="A57" s="1"/>
      <c r="B57" s="25" t="s">
        <v>98</v>
      </c>
      <c r="C57" s="18">
        <f>IF(AND(ISNUMBER(C56),ISNUMBER(J56)),IF(OR(J56&gt;0,AND(J56&lt;0,C56&lt;0)),C56/J56-1,"n/m"),"n/a")</f>
        <v>0.1414173228346456</v>
      </c>
      <c r="D57" s="18">
        <f>IF(AND(ISNUMBER(D56),ISNUMBER(K56)),IF(OR(K56&gt;0,AND(K56&lt;0,D56&lt;0)),D56/K56-1,"n/m"),"n/a")</f>
        <v>0.17819460726846414</v>
      </c>
      <c r="E57" s="18">
        <f>IF(AND(ISNUMBER(E56),ISNUMBER(L56)),IF(OR(L56&gt;0,AND(L56&lt;0,E56&lt;0)),E56/L56-1,"n/m"),"n/a")</f>
        <v>0.08182626741772903</v>
      </c>
      <c r="F57" s="18">
        <f>IF(AND(ISNUMBER(F56),ISNUMBER(M56)),IF(OR(M56&gt;0,AND(M56&lt;0,F56&lt;0)),F56/M56-1,"n/m"),"n/a")</f>
        <v>0.19458199825225742</v>
      </c>
      <c r="G57" s="18">
        <f>IF(AND(ISNUMBER(G56),ISNUMBER(N56)),IF(OR(N56&gt;0,AND(N56&lt;0,G56&lt;0)),G56/N56-1,"n/m"),"n/a")</f>
        <v>0.13941018766756041</v>
      </c>
      <c r="H57" s="21">
        <f>IF(AND(ISNUMBER(H56),ISNUMBER(C56)),IF(OR(C56&gt;0,AND(C56&lt;0,H56&lt;0)),H56/C56-1,"n/m"),"n/a")</f>
        <v>0.1858249999999999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25" t="s">
        <v>99</v>
      </c>
      <c r="C58" s="18">
        <f>IF(AND(ISNUMBER(C56),ISNUMBER(M56)),IF(OR(M56&gt;0,AND(M56&lt;0,C56&lt;0)),C56/M56-1,"n/m"),"n/a")</f>
        <v>0.05563646956015145</v>
      </c>
      <c r="D58" s="18">
        <f>IF(AND(ISNUMBER(D56),ISNUMBER(C56)),IF(OR(C56&gt;0,AND(C56&lt;0,D56&lt;0)),D56/C56-1,"n/m"),"n/a")</f>
        <v>0.10927152317880795</v>
      </c>
      <c r="E58" s="18">
        <f>IF(AND(ISNUMBER(E56),ISNUMBER(D56)),IF(OR(D56&gt;0,AND(D56&lt;0,E56&lt;0)),E56/D56-1,"n/m"),"n/a")</f>
        <v>-0.09228855721393037</v>
      </c>
      <c r="F58" s="18">
        <f>IF(AND(ISNUMBER(F56),ISNUMBER(E56)),IF(OR(E56&gt;0,AND(E56&lt;0,F56&lt;0)),F56/E56-1,"n/m"),"n/a")</f>
        <v>0.12386955330227467</v>
      </c>
      <c r="G58" s="18" t="s">
        <v>100</v>
      </c>
      <c r="H58" s="21">
        <f>IF(AND(ISNUMBER(H56),ISNUMBER(F56)),IF(OR(F56&gt;0,AND(F56&lt;0,H56&lt;0)),H56/F56-1,"n/m"),"n/a")</f>
        <v>0.04789802487198247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4" t="s">
        <v>101</v>
      </c>
      <c r="C59" s="2">
        <f>IF(AND(ISNUMBER(C56),ISNUMBER(M56)),C56-M56,"n/a")</f>
        <v>191</v>
      </c>
      <c r="D59" s="2">
        <f>IF(AND(ISNUMBER(D56),ISNUMBER(C56)),D56-C56,"n/a")</f>
        <v>396</v>
      </c>
      <c r="E59" s="2">
        <f>IF(AND(ISNUMBER(E56),ISNUMBER(D56)),E56-D56,"n/a")</f>
        <v>-371</v>
      </c>
      <c r="F59" s="2">
        <f>IF(AND(ISNUMBER(F56),ISNUMBER(E56)),F56-E56,"n/a")</f>
        <v>452</v>
      </c>
      <c r="G59" s="2" t="s">
        <v>100</v>
      </c>
      <c r="H59" s="7">
        <f>IF(AND(ISNUMBER(H56),ISNUMBER(F56)),H56-F56,"n/a")</f>
        <v>196.4297999999999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25" t="s">
        <v>105</v>
      </c>
      <c r="C60" s="18" t="s">
        <v>106</v>
      </c>
      <c r="D60" s="18" t="s">
        <v>106</v>
      </c>
      <c r="E60" s="18" t="s">
        <v>106</v>
      </c>
      <c r="F60" s="18" t="s">
        <v>106</v>
      </c>
      <c r="G60" s="18" t="s">
        <v>106</v>
      </c>
      <c r="H60" s="21" t="s">
        <v>106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107</v>
      </c>
      <c r="C61" s="18" t="s">
        <v>106</v>
      </c>
      <c r="D61" s="18" t="s">
        <v>106</v>
      </c>
      <c r="E61" s="18" t="s">
        <v>106</v>
      </c>
      <c r="F61" s="18" t="s">
        <v>106</v>
      </c>
      <c r="G61" s="18" t="s">
        <v>106</v>
      </c>
      <c r="H61" s="21" t="s">
        <v>106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5" t="s">
        <v>108</v>
      </c>
      <c r="C62" s="18" t="str">
        <f>IF(AND(ISNUMBER(C57),ISNUMBER(C60),ISNUMBER(C61)),(1+C57)/((1+C60)*(1+C61))-1,"n/a")</f>
        <v>n/a</v>
      </c>
      <c r="D62" s="18" t="str">
        <f>IF(AND(ISNUMBER(D57),ISNUMBER(D60),ISNUMBER(D61)),(1+D57)/((1+D60)*(1+D61))-1,"n/a")</f>
        <v>n/a</v>
      </c>
      <c r="E62" s="18" t="str">
        <f>IF(AND(ISNUMBER(E57),ISNUMBER(E60),ISNUMBER(E61)),(1+E57)/((1+E60)*(1+E61))-1,"n/a")</f>
        <v>n/a</v>
      </c>
      <c r="F62" s="18" t="str">
        <f>IF(AND(ISNUMBER(F57),ISNUMBER(F60),ISNUMBER(F61)),(1+F57)/((1+F60)*(1+F61))-1,"n/a")</f>
        <v>n/a</v>
      </c>
      <c r="G62" s="18" t="str">
        <f>IF(AND(ISNUMBER(G57),ISNUMBER(G60),ISNUMBER(G61)),(1+G57)/((1+G60)*(1+G61))-1,"n/a")</f>
        <v>n/a</v>
      </c>
      <c r="H62" s="21" t="str">
        <f>IF(AND(ISNUMBER(H57),ISNUMBER(H60),ISNUMBER(H61)),(1+H57)/((1+H60)*(1+H61))-1,"n/a")</f>
        <v>n/a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3" t="s">
        <v>167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  <c r="T64" s="1"/>
      <c r="U64" s="1"/>
      <c r="V64" s="1"/>
      <c r="W64" s="1"/>
      <c r="X64" s="1"/>
      <c r="Y64" s="1"/>
      <c r="Z64" s="1"/>
    </row>
    <row r="65">
      <c r="A65" s="1"/>
      <c r="B65" s="4" t="s">
        <v>168</v>
      </c>
      <c r="C65" s="3">
        <v>2638</v>
      </c>
      <c r="D65" s="2">
        <f>G65-P65</f>
        <v>2998</v>
      </c>
      <c r="E65" s="3">
        <v>2661</v>
      </c>
      <c r="F65" s="3">
        <v>3058</v>
      </c>
      <c r="G65" s="3">
        <v>10523</v>
      </c>
      <c r="H65" s="7">
        <f>H56*H69</f>
        <v>3167.2057626</v>
      </c>
      <c r="I65" s="1"/>
      <c r="J65" s="3">
        <v>2211</v>
      </c>
      <c r="K65" s="2">
        <f>N65-O65</f>
        <v>2443</v>
      </c>
      <c r="L65" s="3">
        <v>2440</v>
      </c>
      <c r="M65" s="3">
        <v>2447</v>
      </c>
      <c r="N65" s="3">
        <v>8774</v>
      </c>
      <c r="O65" s="3">
        <v>6331</v>
      </c>
      <c r="P65" s="3">
        <v>7525</v>
      </c>
      <c r="Q65" s="1"/>
      <c r="R65" s="9" t="s">
        <v>161</v>
      </c>
      <c r="S65" s="1"/>
      <c r="T65" s="1"/>
      <c r="U65" s="1"/>
      <c r="V65" s="1"/>
      <c r="W65" s="1"/>
      <c r="X65" s="1"/>
      <c r="Y65" s="1"/>
      <c r="Z65" s="1"/>
    </row>
    <row r="66">
      <c r="A66" s="1"/>
      <c r="B66" s="20" t="s">
        <v>98</v>
      </c>
      <c r="C66" s="18">
        <f>IF(AND(ISNUMBER(C65),ISNUMBER(J65)),IF(OR(J65&gt;0,AND(J65&lt;0,C65&lt;0)),C65/J65-1,"n/m"),"n/a")</f>
        <v>0.19312528267752138</v>
      </c>
      <c r="D66" s="18">
        <f>IF(AND(ISNUMBER(D65),ISNUMBER(K65)),IF(OR(K65&gt;0,AND(K65&lt;0,D65&lt;0)),D65/K65-1,"n/m"),"n/a")</f>
        <v>0.2271796970937372</v>
      </c>
      <c r="E66" s="18">
        <f>IF(AND(ISNUMBER(E65),ISNUMBER(L65)),IF(OR(L65&gt;0,AND(L65&lt;0,E65&lt;0)),E65/L65-1,"n/m"),"n/a")</f>
        <v>0.09057377049180326</v>
      </c>
      <c r="F66" s="18">
        <f>IF(AND(ISNUMBER(F65),ISNUMBER(M65)),IF(OR(M65&gt;0,AND(M65&lt;0,F65&lt;0)),F65/M65-1,"n/m"),"n/a")</f>
        <v>0.24969350224765008</v>
      </c>
      <c r="G66" s="18">
        <f>IF(AND(ISNUMBER(G65),ISNUMBER(N65)),IF(OR(N65&gt;0,AND(N65&lt;0,G65&lt;0)),G65/N65-1,"n/m"),"n/a")</f>
        <v>0.19933895600638252</v>
      </c>
      <c r="H66" s="21">
        <f>IF(AND(ISNUMBER(H65),ISNUMBER(C65)),IF(OR(C65&gt;0,AND(C65&lt;0,H65&lt;0)),H65/C65-1,"n/m"),"n/a")</f>
        <v>0.20060870454890067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20" t="s">
        <v>99</v>
      </c>
      <c r="C67" s="18">
        <f>IF(AND(ISNUMBER(C65),ISNUMBER(M65)),IF(OR(M65&gt;0,AND(M65&lt;0,C65&lt;0)),C65/M65-1,"n/m"),"n/a")</f>
        <v>0.07805476093175323</v>
      </c>
      <c r="D67" s="18">
        <f>IF(AND(ISNUMBER(D65),ISNUMBER(C65)),IF(OR(C65&gt;0,AND(C65&lt;0,D65&lt;0)),D65/C65-1,"n/m"),"n/a")</f>
        <v>0.1364670204700531</v>
      </c>
      <c r="E67" s="18">
        <f>IF(AND(ISNUMBER(E65),ISNUMBER(D65)),IF(OR(D65&gt;0,AND(D65&lt;0,E65&lt;0)),E65/D65-1,"n/m"),"n/a")</f>
        <v>-0.11240827218145433</v>
      </c>
      <c r="F67" s="18">
        <f>IF(AND(ISNUMBER(F65),ISNUMBER(E65)),IF(OR(E65&gt;0,AND(E65&lt;0,F65&lt;0)),F65/E65-1,"n/m"),"n/a")</f>
        <v>0.1491920330702743</v>
      </c>
      <c r="G67" s="18" t="s">
        <v>100</v>
      </c>
      <c r="H67" s="21">
        <f>IF(AND(ISNUMBER(H65),ISNUMBER(F65)),IF(OR(F65&gt;0,AND(F65&lt;0,H65&lt;0)),H65/F65-1,"n/m"),"n/a")</f>
        <v>0.03571149856115108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8" t="s">
        <v>101</v>
      </c>
      <c r="C68" s="2">
        <f>IF(AND(ISNUMBER(C65),ISNUMBER(M65)),C65-M65,"n/a")</f>
        <v>191</v>
      </c>
      <c r="D68" s="2">
        <f>IF(AND(ISNUMBER(D65),ISNUMBER(C65)),D65-C65,"n/a")</f>
        <v>360</v>
      </c>
      <c r="E68" s="2">
        <f>IF(AND(ISNUMBER(E65),ISNUMBER(D65)),E65-D65,"n/a")</f>
        <v>-337</v>
      </c>
      <c r="F68" s="2">
        <f>IF(AND(ISNUMBER(F65),ISNUMBER(E65)),F65-E65,"n/a")</f>
        <v>397</v>
      </c>
      <c r="G68" s="2" t="s">
        <v>100</v>
      </c>
      <c r="H68" s="7">
        <f>IF(AND(ISNUMBER(H65),ISNUMBER(F65)),H65-F65,"n/a")</f>
        <v>109.20576260000007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0" t="s">
        <v>169</v>
      </c>
      <c r="C69" s="18">
        <f>IF(AND(ISNUMBER(C65),ISNUMBER(C56)),C65/C56,"n/a")</f>
        <v>0.727924944812362</v>
      </c>
      <c r="D69" s="18">
        <f>IF(AND(ISNUMBER(D65),ISNUMBER(D56)),D65/D56,"n/a")</f>
        <v>0.7457711442786069</v>
      </c>
      <c r="E69" s="18">
        <f>IF(AND(ISNUMBER(E65),ISNUMBER(E56)),E65/E56,"n/a")</f>
        <v>0.7292408879144971</v>
      </c>
      <c r="F69" s="18">
        <f>IF(AND(ISNUMBER(F65),ISNUMBER(F56)),F65/F56,"n/a")</f>
        <v>0.7456717873689344</v>
      </c>
      <c r="G69" s="18">
        <f>IF(AND(ISNUMBER(G65),ISNUMBER(G56)),G65/G56,"n/a")</f>
        <v>0.7282352941176471</v>
      </c>
      <c r="H69" s="32">
        <v>0.737</v>
      </c>
      <c r="I69" s="1"/>
      <c r="J69" s="18">
        <f>IF(AND(ISNUMBER(J65),ISNUMBER(J56)),J65/J56,"n/a")</f>
        <v>0.6963779527559055</v>
      </c>
      <c r="K69" s="18">
        <f>IF(AND(ISNUMBER(K65),ISNUMBER(K56)),K65/K56,"n/a")</f>
        <v>0.7160023446658851</v>
      </c>
      <c r="L69" s="18">
        <f>IF(AND(ISNUMBER(L65),ISNUMBER(L56)),L65/L56,"n/a")</f>
        <v>0.7233916394900682</v>
      </c>
      <c r="M69" s="18">
        <f>IF(AND(ISNUMBER(M65),ISNUMBER(M56)),M65/M56,"n/a")</f>
        <v>0.7127876492863385</v>
      </c>
      <c r="N69" s="18">
        <f>IF(AND(ISNUMBER(N65),ISNUMBER(N56)),N65/N56,"n/a")</f>
        <v>0.6918467118750986</v>
      </c>
      <c r="O69" s="18">
        <f>IF(AND(ISNUMBER(O65),ISNUMBER(O56)),O65/O56,"n/a")</f>
        <v>0.6829557713052858</v>
      </c>
      <c r="P69" s="18">
        <f>IF(AND(ISNUMBER(P65),ISNUMBER(P56)),P65/P56,"n/a")</f>
        <v>0.7214765100671141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37" t="s">
        <v>103</v>
      </c>
      <c r="C70" s="5">
        <f>IF(AND(ISNUMBER(C69),ISNUMBER(J69)),(C69-J69)*10000,"n/a")</f>
        <v>315.46992056456503</v>
      </c>
      <c r="D70" s="5">
        <f>IF(AND(ISNUMBER(D69),ISNUMBER(K69)),(D69-K69)*10000,"n/a")</f>
        <v>297.6879961272183</v>
      </c>
      <c r="E70" s="5">
        <f>IF(AND(ISNUMBER(E69),ISNUMBER(L69)),(E69-L69)*10000,"n/a")</f>
        <v>58.4924842442891</v>
      </c>
      <c r="F70" s="5">
        <f>IF(AND(ISNUMBER(F69),ISNUMBER(M69)),(F69-M69)*10000,"n/a")</f>
        <v>328.84138082595825</v>
      </c>
      <c r="G70" s="5">
        <f>IF(AND(ISNUMBER(G69),ISNUMBER(N69)),(G69-N69)*10000,"n/a")</f>
        <v>363.88582242548483</v>
      </c>
      <c r="H70" s="30">
        <f>IF(AND(ISNUMBER(H69),ISNUMBER(C69)),(H69-C69)*10000,"n/a")</f>
        <v>90.75055187637959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37" t="s">
        <v>104</v>
      </c>
      <c r="C71" s="5">
        <f>IF(AND(ISNUMBER(C69),ISNUMBER(M69)),(C69-M69)*10000,"n/a")</f>
        <v>151.372955260235</v>
      </c>
      <c r="D71" s="5">
        <f>IF(AND(ISNUMBER(D69),ISNUMBER(C69)),(D69-C69)*10000,"n/a")</f>
        <v>178.46199466244883</v>
      </c>
      <c r="E71" s="5">
        <f>IF(AND(ISNUMBER(E69),ISNUMBER(D69)),(E69-D69)*10000,"n/a")</f>
        <v>-165.30256364109763</v>
      </c>
      <c r="F71" s="5">
        <f>IF(AND(ISNUMBER(F69),ISNUMBER(E69)),(F69-E69)*10000,"n/a")</f>
        <v>164.3089945443721</v>
      </c>
      <c r="G71" s="5" t="s">
        <v>100</v>
      </c>
      <c r="H71" s="30">
        <f>IF(AND(ISNUMBER(H69),ISNUMBER(F69)),(H69-F69)*10000,"n/a")</f>
        <v>-86.71787368934369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20" t="s">
        <v>105</v>
      </c>
      <c r="C72" s="18" t="s">
        <v>106</v>
      </c>
      <c r="D72" s="18" t="s">
        <v>106</v>
      </c>
      <c r="E72" s="18" t="s">
        <v>106</v>
      </c>
      <c r="F72" s="18" t="s">
        <v>106</v>
      </c>
      <c r="G72" s="18" t="s">
        <v>106</v>
      </c>
      <c r="H72" s="21" t="s">
        <v>106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20" t="s">
        <v>107</v>
      </c>
      <c r="C73" s="18" t="s">
        <v>106</v>
      </c>
      <c r="D73" s="18" t="s">
        <v>106</v>
      </c>
      <c r="E73" s="18" t="s">
        <v>106</v>
      </c>
      <c r="F73" s="18" t="s">
        <v>106</v>
      </c>
      <c r="G73" s="18" t="s">
        <v>106</v>
      </c>
      <c r="H73" s="21" t="s">
        <v>106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20" t="s">
        <v>108</v>
      </c>
      <c r="C74" s="18" t="str">
        <f>IF(AND(ISNUMBER(C66),ISNUMBER(C72),ISNUMBER(C73)),(1+C66)/((1+C72)*(1+C73))-1,"n/a")</f>
        <v>n/a</v>
      </c>
      <c r="D74" s="18" t="str">
        <f>IF(AND(ISNUMBER(D66),ISNUMBER(D72),ISNUMBER(D73)),(1+D66)/((1+D72)*(1+D73))-1,"n/a")</f>
        <v>n/a</v>
      </c>
      <c r="E74" s="18" t="str">
        <f>IF(AND(ISNUMBER(E66),ISNUMBER(E72),ISNUMBER(E73)),(1+E66)/((1+E72)*(1+E73))-1,"n/a")</f>
        <v>n/a</v>
      </c>
      <c r="F74" s="18" t="str">
        <f>IF(AND(ISNUMBER(F66),ISNUMBER(F72),ISNUMBER(F73)),(1+F66)/((1+F72)*(1+F73))-1,"n/a")</f>
        <v>n/a</v>
      </c>
      <c r="G74" s="18" t="str">
        <f>IF(AND(ISNUMBER(G66),ISNUMBER(G72),ISNUMBER(G73)),(1+G66)/((1+G72)*(1+G73))-1,"n/a")</f>
        <v>n/a</v>
      </c>
      <c r="H74" s="21" t="str">
        <f>IF(AND(ISNUMBER(H66),ISNUMBER(H72),ISNUMBER(H73)),(1+H66)/((1+H72)*(1+H73))-1,"n/a")</f>
        <v>n/a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170</v>
      </c>
      <c r="C75" s="3">
        <v>986</v>
      </c>
      <c r="D75" s="2">
        <f>G75-P75</f>
        <v>1022</v>
      </c>
      <c r="E75" s="3">
        <v>988</v>
      </c>
      <c r="F75" s="3">
        <v>1043</v>
      </c>
      <c r="G75" s="3">
        <v>3927</v>
      </c>
      <c r="H75" s="7">
        <f>H56-H65</f>
        <v>1130.2240373999998</v>
      </c>
      <c r="I75" s="1"/>
      <c r="J75" s="3">
        <v>964</v>
      </c>
      <c r="K75" s="2">
        <f>N75-O75</f>
        <v>969</v>
      </c>
      <c r="L75" s="3">
        <v>933</v>
      </c>
      <c r="M75" s="3">
        <v>986</v>
      </c>
      <c r="N75" s="3">
        <v>3908</v>
      </c>
      <c r="O75" s="3">
        <v>2939</v>
      </c>
      <c r="P75" s="3">
        <v>2905</v>
      </c>
      <c r="Q75" s="1"/>
      <c r="R75" s="9" t="s">
        <v>161</v>
      </c>
      <c r="S75" s="1"/>
      <c r="T75" s="1"/>
      <c r="U75" s="1"/>
      <c r="V75" s="1"/>
      <c r="W75" s="1"/>
      <c r="X75" s="1"/>
      <c r="Y75" s="1"/>
      <c r="Z75" s="1"/>
    </row>
    <row r="76">
      <c r="A76" s="1"/>
      <c r="B76" s="20" t="s">
        <v>98</v>
      </c>
      <c r="C76" s="18">
        <f>IF(AND(ISNUMBER(C75),ISNUMBER(J75)),IF(OR(J75&gt;0,AND(J75&lt;0,C75&lt;0)),C75/J75-1,"n/m"),"n/a")</f>
        <v>0.022821576763485396</v>
      </c>
      <c r="D76" s="18">
        <f>IF(AND(ISNUMBER(D75),ISNUMBER(K75)),IF(OR(K75&gt;0,AND(K75&lt;0,D75&lt;0)),D75/K75-1,"n/m"),"n/a")</f>
        <v>0.054695562435500555</v>
      </c>
      <c r="E76" s="18">
        <f>IF(AND(ISNUMBER(E75),ISNUMBER(L75)),IF(OR(L75&gt;0,AND(L75&lt;0,E75&lt;0)),E75/L75-1,"n/m"),"n/a")</f>
        <v>0.05894962486602351</v>
      </c>
      <c r="F76" s="18">
        <f>IF(AND(ISNUMBER(F75),ISNUMBER(M75)),IF(OR(M75&gt;0,AND(M75&lt;0,F75&lt;0)),F75/M75-1,"n/m"),"n/a")</f>
        <v>0.057809330628803224</v>
      </c>
      <c r="G76" s="18">
        <f>IF(AND(ISNUMBER(G75),ISNUMBER(N75)),IF(OR(N75&gt;0,AND(N75&lt;0,G75&lt;0)),G75/N75-1,"n/m"),"n/a")</f>
        <v>0.004861821903787034</v>
      </c>
      <c r="H76" s="21">
        <f>IF(AND(ISNUMBER(H75),ISNUMBER(C75)),IF(OR(C75&gt;0,AND(C75&lt;0,H75&lt;0)),H75/C75-1,"n/m"),"n/a")</f>
        <v>0.14627184320486797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20" t="s">
        <v>99</v>
      </c>
      <c r="C77" s="18">
        <f>IF(AND(ISNUMBER(C75),ISNUMBER(M75)),IF(OR(M75&gt;0,AND(M75&lt;0,C75&lt;0)),C75/M75-1,"n/m"),"n/a")</f>
        <v>0</v>
      </c>
      <c r="D77" s="18">
        <f>IF(AND(ISNUMBER(D75),ISNUMBER(C75)),IF(OR(C75&gt;0,AND(C75&lt;0,D75&lt;0)),D75/C75-1,"n/m"),"n/a")</f>
        <v>0.03651115618661249</v>
      </c>
      <c r="E77" s="18">
        <f>IF(AND(ISNUMBER(E75),ISNUMBER(D75)),IF(OR(D75&gt;0,AND(D75&lt;0,E75&lt;0)),E75/D75-1,"n/m"),"n/a")</f>
        <v>-0.0332681017612525</v>
      </c>
      <c r="F77" s="18">
        <f>IF(AND(ISNUMBER(F75),ISNUMBER(E75)),IF(OR(E75&gt;0,AND(E75&lt;0,F75&lt;0)),F75/E75-1,"n/m"),"n/a")</f>
        <v>0.055668016194331926</v>
      </c>
      <c r="G77" s="18" t="s">
        <v>100</v>
      </c>
      <c r="H77" s="21">
        <f>IF(AND(ISNUMBER(H75),ISNUMBER(F75)),IF(OR(F75&gt;0,AND(F75&lt;0,H75&lt;0)),H75/F75-1,"n/m"),"n/a")</f>
        <v>0.08362803202301028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8" t="s">
        <v>101</v>
      </c>
      <c r="C78" s="2">
        <f>IF(AND(ISNUMBER(C75),ISNUMBER(M75)),C75-M75,"n/a")</f>
        <v>0</v>
      </c>
      <c r="D78" s="2">
        <f>IF(AND(ISNUMBER(D75),ISNUMBER(C75)),D75-C75,"n/a")</f>
        <v>36</v>
      </c>
      <c r="E78" s="2">
        <f>IF(AND(ISNUMBER(E75),ISNUMBER(D75)),E75-D75,"n/a")</f>
        <v>-34</v>
      </c>
      <c r="F78" s="2">
        <f>IF(AND(ISNUMBER(F75),ISNUMBER(E75)),F75-E75,"n/a")</f>
        <v>55</v>
      </c>
      <c r="G78" s="2" t="s">
        <v>100</v>
      </c>
      <c r="H78" s="7">
        <f>IF(AND(ISNUMBER(H75),ISNUMBER(F75)),H75-F75,"n/a")</f>
        <v>87.22403739999982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0" t="s">
        <v>171</v>
      </c>
      <c r="C79" s="18">
        <f>IF(AND(ISNUMBER(C75),ISNUMBER(C56)),C75/C56,"n/a")</f>
        <v>0.27207505518763797</v>
      </c>
      <c r="D79" s="18">
        <f>IF(AND(ISNUMBER(D75),ISNUMBER(D56)),D75/D56,"n/a")</f>
        <v>0.25422885572139303</v>
      </c>
      <c r="E79" s="18">
        <f>IF(AND(ISNUMBER(E75),ISNUMBER(E56)),E75/E56,"n/a")</f>
        <v>0.27075911208550285</v>
      </c>
      <c r="F79" s="18">
        <f>IF(AND(ISNUMBER(F75),ISNUMBER(F56)),F75/F56,"n/a")</f>
        <v>0.2543282126310656</v>
      </c>
      <c r="G79" s="18">
        <f>IF(AND(ISNUMBER(G75),ISNUMBER(G56)),G75/G56,"n/a")</f>
        <v>0.27176470588235296</v>
      </c>
      <c r="H79" s="21">
        <f>IF(AND(ISNUMBER(H75),ISNUMBER(H56)),H75/H56,"n/a")</f>
        <v>0.26299999999999996</v>
      </c>
      <c r="I79" s="1"/>
      <c r="J79" s="18">
        <f>IF(AND(ISNUMBER(J75),ISNUMBER(J56)),J75/J56,"n/a")</f>
        <v>0.3036220472440945</v>
      </c>
      <c r="K79" s="18">
        <f>IF(AND(ISNUMBER(K75),ISNUMBER(K56)),K75/K56,"n/a")</f>
        <v>0.28399765533411486</v>
      </c>
      <c r="L79" s="18">
        <f>IF(AND(ISNUMBER(L75),ISNUMBER(L56)),L75/L56,"n/a")</f>
        <v>0.2766083605099318</v>
      </c>
      <c r="M79" s="18">
        <f>IF(AND(ISNUMBER(M75),ISNUMBER(M56)),M75/M56,"n/a")</f>
        <v>0.2872123507136615</v>
      </c>
      <c r="N79" s="18">
        <f>IF(AND(ISNUMBER(N75),ISNUMBER(N56)),N75/N56,"n/a")</f>
        <v>0.30815328812490145</v>
      </c>
      <c r="O79" s="18">
        <f>IF(AND(ISNUMBER(O75),ISNUMBER(O56)),O75/O56,"n/a")</f>
        <v>0.31704422869471416</v>
      </c>
      <c r="P79" s="18">
        <f>IF(AND(ISNUMBER(P75),ISNUMBER(P56)),P75/P56,"n/a")</f>
        <v>0.2785234899328859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37" t="s">
        <v>103</v>
      </c>
      <c r="C80" s="5">
        <f>IF(AND(ISNUMBER(C79),ISNUMBER(J79)),(C79-J79)*10000,"n/a")</f>
        <v>-315.46992056456503</v>
      </c>
      <c r="D80" s="5">
        <f>IF(AND(ISNUMBER(D79),ISNUMBER(K79)),(D79-K79)*10000,"n/a")</f>
        <v>-297.6879961272183</v>
      </c>
      <c r="E80" s="5">
        <f>IF(AND(ISNUMBER(E79),ISNUMBER(L79)),(E79-L79)*10000,"n/a")</f>
        <v>-58.492484244289656</v>
      </c>
      <c r="F80" s="5">
        <f>IF(AND(ISNUMBER(F79),ISNUMBER(M79)),(F79-M79)*10000,"n/a")</f>
        <v>-328.8413808259594</v>
      </c>
      <c r="G80" s="5">
        <f>IF(AND(ISNUMBER(G79),ISNUMBER(N79)),(G79-N79)*10000,"n/a")</f>
        <v>-363.88582242548483</v>
      </c>
      <c r="H80" s="30">
        <f>IF(AND(ISNUMBER(H79),ISNUMBER(C79)),(H79-C79)*10000,"n/a")</f>
        <v>-90.75055187638014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37" t="s">
        <v>104</v>
      </c>
      <c r="C81" s="5">
        <f>IF(AND(ISNUMBER(C79),ISNUMBER(M79)),(C79-M79)*10000,"n/a")</f>
        <v>-151.37295526023553</v>
      </c>
      <c r="D81" s="5">
        <f>IF(AND(ISNUMBER(D79),ISNUMBER(C79)),(D79-C79)*10000,"n/a")</f>
        <v>-178.4619946624494</v>
      </c>
      <c r="E81" s="5">
        <f>IF(AND(ISNUMBER(E79),ISNUMBER(D79)),(E79-D79)*10000,"n/a")</f>
        <v>165.30256364109817</v>
      </c>
      <c r="F81" s="5">
        <f>IF(AND(ISNUMBER(F79),ISNUMBER(E79)),(F79-E79)*10000,"n/a")</f>
        <v>-164.30899454437264</v>
      </c>
      <c r="G81" s="5" t="s">
        <v>100</v>
      </c>
      <c r="H81" s="30">
        <f>IF(AND(ISNUMBER(H79),ISNUMBER(F79)),(H79-F79)*10000,"n/a")</f>
        <v>86.71787368934369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0" t="s">
        <v>105</v>
      </c>
      <c r="C82" s="18" t="s">
        <v>106</v>
      </c>
      <c r="D82" s="18" t="s">
        <v>106</v>
      </c>
      <c r="E82" s="18" t="s">
        <v>106</v>
      </c>
      <c r="F82" s="18" t="s">
        <v>106</v>
      </c>
      <c r="G82" s="18" t="s">
        <v>106</v>
      </c>
      <c r="H82" s="21" t="s">
        <v>106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0" t="s">
        <v>107</v>
      </c>
      <c r="C83" s="18" t="s">
        <v>106</v>
      </c>
      <c r="D83" s="18" t="s">
        <v>106</v>
      </c>
      <c r="E83" s="18" t="s">
        <v>106</v>
      </c>
      <c r="F83" s="18" t="s">
        <v>106</v>
      </c>
      <c r="G83" s="18" t="s">
        <v>106</v>
      </c>
      <c r="H83" s="21" t="s">
        <v>106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20" t="s">
        <v>108</v>
      </c>
      <c r="C84" s="18" t="str">
        <f>IF(AND(ISNUMBER(C76),ISNUMBER(C82),ISNUMBER(C83)),(1+C76)/((1+C82)*(1+C83))-1,"n/a")</f>
        <v>n/a</v>
      </c>
      <c r="D84" s="18" t="str">
        <f>IF(AND(ISNUMBER(D76),ISNUMBER(D82),ISNUMBER(D83)),(1+D76)/((1+D82)*(1+D83))-1,"n/a")</f>
        <v>n/a</v>
      </c>
      <c r="E84" s="18" t="str">
        <f>IF(AND(ISNUMBER(E76),ISNUMBER(E82),ISNUMBER(E83)),(1+E76)/((1+E82)*(1+E83))-1,"n/a")</f>
        <v>n/a</v>
      </c>
      <c r="F84" s="18" t="str">
        <f>IF(AND(ISNUMBER(F76),ISNUMBER(F82),ISNUMBER(F83)),(1+F76)/((1+F82)*(1+F83))-1,"n/a")</f>
        <v>n/a</v>
      </c>
      <c r="G84" s="18" t="str">
        <f>IF(AND(ISNUMBER(G76),ISNUMBER(G82),ISNUMBER(G83)),(1+G76)/((1+G82)*(1+G83))-1,"n/a")</f>
        <v>n/a</v>
      </c>
      <c r="H84" s="21" t="str">
        <f>IF(AND(ISNUMBER(H76),ISNUMBER(H82),ISNUMBER(H83)),(1+H76)/((1+H82)*(1+H83))-1,"n/a")</f>
        <v>n/a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46" t="s">
        <v>172</v>
      </c>
      <c r="C85" s="14">
        <f>C65+C75</f>
        <v>3624</v>
      </c>
      <c r="D85" s="14">
        <f>D65+D75</f>
        <v>4020</v>
      </c>
      <c r="E85" s="14">
        <f>E65+E75</f>
        <v>3649</v>
      </c>
      <c r="F85" s="14">
        <f>F65+F75</f>
        <v>4101</v>
      </c>
      <c r="G85" s="14">
        <f>G65+G75</f>
        <v>14450</v>
      </c>
      <c r="H85" s="48">
        <f>H65+H75</f>
        <v>4297.4298</v>
      </c>
      <c r="I85" s="1"/>
      <c r="J85" s="14">
        <f>J65+J75</f>
        <v>3175</v>
      </c>
      <c r="K85" s="14">
        <f>K65+K75</f>
        <v>3412</v>
      </c>
      <c r="L85" s="14">
        <f>L65+L75</f>
        <v>3373</v>
      </c>
      <c r="M85" s="14">
        <f>M65+M75</f>
        <v>3433</v>
      </c>
      <c r="N85" s="14">
        <f>N65+N75</f>
        <v>12682</v>
      </c>
      <c r="O85" s="14">
        <f>O65+O75</f>
        <v>9270</v>
      </c>
      <c r="P85" s="14">
        <f>P65+P75</f>
        <v>10430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1" t="s">
        <v>173</v>
      </c>
      <c r="C86" s="19">
        <f>C85-C56</f>
        <v>0</v>
      </c>
      <c r="D86" s="19">
        <f>D85-D56</f>
        <v>0</v>
      </c>
      <c r="E86" s="19">
        <f>E85-E56</f>
        <v>0</v>
      </c>
      <c r="F86" s="19">
        <f>F85-F56</f>
        <v>0</v>
      </c>
      <c r="G86" s="19">
        <f>G85-G56</f>
        <v>0</v>
      </c>
      <c r="H86" s="49">
        <f>H85-H56</f>
        <v>0</v>
      </c>
      <c r="I86" s="1"/>
      <c r="J86" s="19">
        <f>J85-J56</f>
        <v>0</v>
      </c>
      <c r="K86" s="19">
        <f>K85-K56</f>
        <v>0</v>
      </c>
      <c r="L86" s="19">
        <f>L85-L56</f>
        <v>0</v>
      </c>
      <c r="M86" s="19">
        <f>M85-M56</f>
        <v>0</v>
      </c>
      <c r="N86" s="19">
        <f>N85-N56</f>
        <v>0</v>
      </c>
      <c r="O86" s="19">
        <f>O85-O56</f>
        <v>0</v>
      </c>
      <c r="P86" s="19">
        <f>P85-P56</f>
        <v>0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3" t="s">
        <v>174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1"/>
      <c r="T88" s="1"/>
      <c r="U88" s="1"/>
      <c r="V88" s="1"/>
      <c r="W88" s="1"/>
      <c r="X88" s="1"/>
      <c r="Y88" s="1"/>
      <c r="Z88" s="1"/>
    </row>
    <row r="89">
      <c r="A89" s="1"/>
      <c r="B89" s="4" t="s">
        <v>175</v>
      </c>
      <c r="C89" s="3">
        <v>2633</v>
      </c>
      <c r="D89" s="2">
        <f>G89-P89</f>
        <v>2730</v>
      </c>
      <c r="E89" s="3">
        <v>2372</v>
      </c>
      <c r="F89" s="3">
        <v>3234</v>
      </c>
      <c r="G89" s="3">
        <v>10194</v>
      </c>
      <c r="H89" s="7">
        <f>H56*H93</f>
        <v>3055.4725878</v>
      </c>
      <c r="I89" s="1"/>
      <c r="J89" s="3">
        <v>2272</v>
      </c>
      <c r="K89" s="2">
        <f>N89-O89</f>
        <v>2363</v>
      </c>
      <c r="L89" s="3">
        <v>2391</v>
      </c>
      <c r="M89" s="3">
        <v>2440</v>
      </c>
      <c r="N89" s="3">
        <v>9043</v>
      </c>
      <c r="O89" s="3">
        <v>6680</v>
      </c>
      <c r="P89" s="3">
        <v>7464</v>
      </c>
      <c r="Q89" s="1"/>
      <c r="R89" s="9" t="s">
        <v>161</v>
      </c>
      <c r="S89" s="1"/>
      <c r="T89" s="1"/>
      <c r="U89" s="1"/>
      <c r="V89" s="1"/>
      <c r="W89" s="1"/>
      <c r="X89" s="1"/>
      <c r="Y89" s="1"/>
      <c r="Z89" s="1"/>
    </row>
    <row r="90">
      <c r="A90" s="1"/>
      <c r="B90" s="20" t="s">
        <v>98</v>
      </c>
      <c r="C90" s="18">
        <f>IF(AND(ISNUMBER(C89),ISNUMBER(J89)),IF(OR(J89&gt;0,AND(J89&lt;0,C89&lt;0)),C89/J89-1,"n/m"),"n/a")</f>
        <v>0.1588908450704225</v>
      </c>
      <c r="D90" s="18">
        <f>IF(AND(ISNUMBER(D89),ISNUMBER(K89)),IF(OR(K89&gt;0,AND(K89&lt;0,D89&lt;0)),D89/K89-1,"n/m"),"n/a")</f>
        <v>0.15531104528142192</v>
      </c>
      <c r="E90" s="18">
        <f>IF(AND(ISNUMBER(E89),ISNUMBER(L89)),IF(OR(L89&gt;0,AND(L89&lt;0,E89&lt;0)),E89/L89-1,"n/m"),"n/a")</f>
        <v>-0.007946465913843626</v>
      </c>
      <c r="F90" s="18">
        <f>IF(AND(ISNUMBER(F89),ISNUMBER(M89)),IF(OR(M89&gt;0,AND(M89&lt;0,F89&lt;0)),F89/M89-1,"n/m"),"n/a")</f>
        <v>0.3254098360655737</v>
      </c>
      <c r="G90" s="18">
        <f>IF(AND(ISNUMBER(G89),ISNUMBER(N89)),IF(OR(N89&gt;0,AND(N89&lt;0,G89&lt;0)),G89/N89-1,"n/m"),"n/a")</f>
        <v>0.1272807696560876</v>
      </c>
      <c r="H90" s="21">
        <f>IF(AND(ISNUMBER(H89),ISNUMBER(C89)),IF(OR(C89&gt;0,AND(C89&lt;0,H89&lt;0)),H89/C89-1,"n/m"),"n/a")</f>
        <v>0.16045293877706035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20" t="s">
        <v>99</v>
      </c>
      <c r="C91" s="18">
        <f>IF(AND(ISNUMBER(C89),ISNUMBER(M89)),IF(OR(M89&gt;0,AND(M89&lt;0,C89&lt;0)),C89/M89-1,"n/m"),"n/a")</f>
        <v>0.07909836065573761</v>
      </c>
      <c r="D91" s="18">
        <f>IF(AND(ISNUMBER(D89),ISNUMBER(C89)),IF(OR(C89&gt;0,AND(C89&lt;0,D89&lt;0)),D89/C89-1,"n/m"),"n/a")</f>
        <v>0.03684010634257495</v>
      </c>
      <c r="E91" s="18">
        <f>IF(AND(ISNUMBER(E89),ISNUMBER(D89)),IF(OR(D89&gt;0,AND(D89&lt;0,E89&lt;0)),E89/D89-1,"n/m"),"n/a")</f>
        <v>-0.1311355311355311</v>
      </c>
      <c r="F91" s="18">
        <f>IF(AND(ISNUMBER(F89),ISNUMBER(E89)),IF(OR(E89&gt;0,AND(E89&lt;0,F89&lt;0)),F89/E89-1,"n/m"),"n/a")</f>
        <v>0.36340640809443503</v>
      </c>
      <c r="G91" s="18" t="s">
        <v>100</v>
      </c>
      <c r="H91" s="21">
        <f>IF(AND(ISNUMBER(H89),ISNUMBER(F89)),IF(OR(F89&gt;0,AND(F89&lt;0,H89&lt;0)),H89/F89-1,"n/m"),"n/a")</f>
        <v>-0.055203281447124275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8" t="s">
        <v>101</v>
      </c>
      <c r="C92" s="2">
        <f>IF(AND(ISNUMBER(C89),ISNUMBER(M89)),C89-M89,"n/a")</f>
        <v>193</v>
      </c>
      <c r="D92" s="2">
        <f>IF(AND(ISNUMBER(D89),ISNUMBER(C89)),D89-C89,"n/a")</f>
        <v>97</v>
      </c>
      <c r="E92" s="2">
        <f>IF(AND(ISNUMBER(E89),ISNUMBER(D89)),E89-D89,"n/a")</f>
        <v>-358</v>
      </c>
      <c r="F92" s="2">
        <f>IF(AND(ISNUMBER(F89),ISNUMBER(E89)),F89-E89,"n/a")</f>
        <v>862</v>
      </c>
      <c r="G92" s="2" t="s">
        <v>100</v>
      </c>
      <c r="H92" s="7">
        <f>IF(AND(ISNUMBER(H89),ISNUMBER(F89)),H89-F89,"n/a")</f>
        <v>-178.52741220000007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20" t="s">
        <v>176</v>
      </c>
      <c r="C93" s="18">
        <f>IF(AND(ISNUMBER(C89),ISNUMBER(C56)),C89/C56,"n/a")</f>
        <v>0.7265452538631346</v>
      </c>
      <c r="D93" s="18">
        <f>IF(AND(ISNUMBER(D89),ISNUMBER(D56)),D89/D56,"n/a")</f>
        <v>0.6791044776119403</v>
      </c>
      <c r="E93" s="18">
        <f>IF(AND(ISNUMBER(E89),ISNUMBER(E56)),E89/E56,"n/a")</f>
        <v>0.6500411071526445</v>
      </c>
      <c r="F93" s="18">
        <f>IF(AND(ISNUMBER(F89),ISNUMBER(F56)),F89/F56,"n/a")</f>
        <v>0.7885881492318947</v>
      </c>
      <c r="G93" s="18">
        <f>IF(AND(ISNUMBER(G89),ISNUMBER(G56)),G89/G56,"n/a")</f>
        <v>0.7054671280276816</v>
      </c>
      <c r="H93" s="32">
        <v>0.711</v>
      </c>
      <c r="I93" s="1"/>
      <c r="J93" s="18">
        <f>IF(AND(ISNUMBER(J89),ISNUMBER(J56)),J89/J56,"n/a")</f>
        <v>0.7155905511811024</v>
      </c>
      <c r="K93" s="18">
        <f>IF(AND(ISNUMBER(K89),ISNUMBER(K56)),K89/K56,"n/a")</f>
        <v>0.6925556858147714</v>
      </c>
      <c r="L93" s="18">
        <f>IF(AND(ISNUMBER(L89),ISNUMBER(L56)),L89/L56,"n/a")</f>
        <v>0.7088645123035873</v>
      </c>
      <c r="M93" s="18">
        <f>IF(AND(ISNUMBER(M89),ISNUMBER(M56)),M89/M56,"n/a")</f>
        <v>0.7107486163705214</v>
      </c>
      <c r="N93" s="18">
        <f>IF(AND(ISNUMBER(N89),ISNUMBER(N56)),N89/N56,"n/a")</f>
        <v>0.7130578773064186</v>
      </c>
      <c r="O93" s="18">
        <f>IF(AND(ISNUMBER(O89),ISNUMBER(O56)),O89/O56,"n/a")</f>
        <v>0.7206040992448759</v>
      </c>
      <c r="P93" s="18">
        <f>IF(AND(ISNUMBER(P89),ISNUMBER(P56)),P89/P56,"n/a")</f>
        <v>0.7156279961649089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37" t="s">
        <v>103</v>
      </c>
      <c r="C94" s="5">
        <f>IF(AND(ISNUMBER(C93),ISNUMBER(J93)),(C93-J93)*10000,"n/a")</f>
        <v>109.54702682032247</v>
      </c>
      <c r="D94" s="5">
        <f>IF(AND(ISNUMBER(D93),ISNUMBER(K93)),(D93-K93)*10000,"n/a")</f>
        <v>-134.51208202831188</v>
      </c>
      <c r="E94" s="5">
        <f>IF(AND(ISNUMBER(E93),ISNUMBER(L93)),(E93-L93)*10000,"n/a")</f>
        <v>-588.2340515094276</v>
      </c>
      <c r="F94" s="5">
        <f>IF(AND(ISNUMBER(F93),ISNUMBER(M93)),(F93-M93)*10000,"n/a")</f>
        <v>778.3953286137324</v>
      </c>
      <c r="G94" s="5">
        <f>IF(AND(ISNUMBER(G93),ISNUMBER(N93)),(G93-N93)*10000,"n/a")</f>
        <v>-75.9074927873693</v>
      </c>
      <c r="H94" s="30">
        <f>IF(AND(ISNUMBER(H93),ISNUMBER(C93)),(H93-C93)*10000,"n/a")</f>
        <v>-155.45253863134656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37" t="s">
        <v>104</v>
      </c>
      <c r="C95" s="5">
        <f>IF(AND(ISNUMBER(C93),ISNUMBER(M93)),(C93-M93)*10000,"n/a")</f>
        <v>157.96637492613175</v>
      </c>
      <c r="D95" s="5">
        <f>IF(AND(ISNUMBER(D93),ISNUMBER(C93)),(D93-C93)*10000,"n/a")</f>
        <v>-474.4077625119436</v>
      </c>
      <c r="E95" s="5">
        <f>IF(AND(ISNUMBER(E93),ISNUMBER(D93)),(E93-D93)*10000,"n/a")</f>
        <v>-290.63370459295743</v>
      </c>
      <c r="F95" s="5">
        <f>IF(AND(ISNUMBER(F93),ISNUMBER(E93)),(F93-E93)*10000,"n/a")</f>
        <v>1385.4704207925017</v>
      </c>
      <c r="G95" s="5" t="s">
        <v>100</v>
      </c>
      <c r="H95" s="30">
        <f>IF(AND(ISNUMBER(H93),ISNUMBER(F93)),(H93-F93)*10000,"n/a")</f>
        <v>-775.8814923189472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20" t="s">
        <v>105</v>
      </c>
      <c r="C96" s="18" t="s">
        <v>106</v>
      </c>
      <c r="D96" s="18" t="s">
        <v>106</v>
      </c>
      <c r="E96" s="18" t="s">
        <v>106</v>
      </c>
      <c r="F96" s="18" t="s">
        <v>106</v>
      </c>
      <c r="G96" s="18" t="s">
        <v>106</v>
      </c>
      <c r="H96" s="21" t="s">
        <v>106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20" t="s">
        <v>107</v>
      </c>
      <c r="C97" s="18" t="s">
        <v>106</v>
      </c>
      <c r="D97" s="18" t="s">
        <v>106</v>
      </c>
      <c r="E97" s="18" t="s">
        <v>106</v>
      </c>
      <c r="F97" s="18" t="s">
        <v>106</v>
      </c>
      <c r="G97" s="18" t="s">
        <v>106</v>
      </c>
      <c r="H97" s="21" t="s">
        <v>106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0" t="s">
        <v>108</v>
      </c>
      <c r="C98" s="18" t="str">
        <f>IF(AND(ISNUMBER(C90),ISNUMBER(C96),ISNUMBER(C97)),(1+C90)/((1+C96)*(1+C97))-1,"n/a")</f>
        <v>n/a</v>
      </c>
      <c r="D98" s="18" t="str">
        <f>IF(AND(ISNUMBER(D90),ISNUMBER(D96),ISNUMBER(D97)),(1+D90)/((1+D96)*(1+D97))-1,"n/a")</f>
        <v>n/a</v>
      </c>
      <c r="E98" s="18" t="str">
        <f>IF(AND(ISNUMBER(E90),ISNUMBER(E96),ISNUMBER(E97)),(1+E90)/((1+E96)*(1+E97))-1,"n/a")</f>
        <v>n/a</v>
      </c>
      <c r="F98" s="18" t="str">
        <f>IF(AND(ISNUMBER(F90),ISNUMBER(F96),ISNUMBER(F97)),(1+F90)/((1+F96)*(1+F97))-1,"n/a")</f>
        <v>n/a</v>
      </c>
      <c r="G98" s="18" t="str">
        <f>IF(AND(ISNUMBER(G90),ISNUMBER(G96),ISNUMBER(G97)),(1+G90)/((1+G96)*(1+G97))-1,"n/a")</f>
        <v>n/a</v>
      </c>
      <c r="H98" s="21" t="str">
        <f>IF(AND(ISNUMBER(H90),ISNUMBER(H96),ISNUMBER(H97)),(1+H90)/((1+H96)*(1+H97))-1,"n/a")</f>
        <v>n/a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4" t="s">
        <v>177</v>
      </c>
      <c r="C99" s="3">
        <v>989</v>
      </c>
      <c r="D99" s="2">
        <f>G99-P99</f>
        <v>1288</v>
      </c>
      <c r="E99" s="3">
        <v>1277</v>
      </c>
      <c r="F99" s="3">
        <v>866</v>
      </c>
      <c r="G99" s="3">
        <v>4245</v>
      </c>
      <c r="H99" s="7">
        <f>H56*H103</f>
        <v>1241.9572122</v>
      </c>
      <c r="I99" s="1"/>
      <c r="J99" s="3">
        <v>901</v>
      </c>
      <c r="K99" s="2">
        <f>N99-O99</f>
        <v>1048</v>
      </c>
      <c r="L99" s="3">
        <v>978</v>
      </c>
      <c r="M99" s="3">
        <v>990</v>
      </c>
      <c r="N99" s="3">
        <v>3629</v>
      </c>
      <c r="O99" s="3">
        <v>2581</v>
      </c>
      <c r="P99" s="3">
        <v>2957</v>
      </c>
      <c r="Q99" s="1"/>
      <c r="R99" s="9" t="s">
        <v>161</v>
      </c>
      <c r="S99" s="1"/>
      <c r="T99" s="1"/>
      <c r="U99" s="1"/>
      <c r="V99" s="1"/>
      <c r="W99" s="1"/>
      <c r="X99" s="1"/>
      <c r="Y99" s="1"/>
      <c r="Z99" s="1"/>
    </row>
    <row r="100">
      <c r="A100" s="1"/>
      <c r="B100" s="20" t="s">
        <v>98</v>
      </c>
      <c r="C100" s="18">
        <f>IF(AND(ISNUMBER(C99),ISNUMBER(J99)),IF(OR(J99&gt;0,AND(J99&lt;0,C99&lt;0)),C99/J99-1,"n/m"),"n/a")</f>
        <v>0.09766925638179802</v>
      </c>
      <c r="D100" s="18">
        <f>IF(AND(ISNUMBER(D99),ISNUMBER(K99)),IF(OR(K99&gt;0,AND(K99&lt;0,D99&lt;0)),D99/K99-1,"n/m"),"n/a")</f>
        <v>0.2290076335877862</v>
      </c>
      <c r="E100" s="18">
        <f>IF(AND(ISNUMBER(E99),ISNUMBER(L99)),IF(OR(L99&gt;0,AND(L99&lt;0,E99&lt;0)),E99/L99-1,"n/m"),"n/a")</f>
        <v>0.30572597137014323</v>
      </c>
      <c r="F100" s="18">
        <f>IF(AND(ISNUMBER(F99),ISNUMBER(M99)),IF(OR(M99&gt;0,AND(M99&lt;0,F99&lt;0)),F99/M99-1,"n/m"),"n/a")</f>
        <v>-0.12525252525252528</v>
      </c>
      <c r="G100" s="18">
        <f>IF(AND(ISNUMBER(G99),ISNUMBER(N99)),IF(OR(N99&gt;0,AND(N99&lt;0,G99&lt;0)),G99/N99-1,"n/m"),"n/a")</f>
        <v>0.1697437310553871</v>
      </c>
      <c r="H100" s="21">
        <f>IF(AND(ISNUMBER(H99),ISNUMBER(C99)),IF(OR(C99&gt;0,AND(C99&lt;0,H99&lt;0)),H99/C99-1,"n/m"),"n/a")</f>
        <v>0.2557706897876644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20" t="s">
        <v>99</v>
      </c>
      <c r="C101" s="18">
        <f>IF(AND(ISNUMBER(C99),ISNUMBER(M99)),IF(OR(M99&gt;0,AND(M99&lt;0,C99&lt;0)),C99/M99-1,"n/m"),"n/a")</f>
        <v>-0.0010101010101010166</v>
      </c>
      <c r="D101" s="18">
        <f>IF(AND(ISNUMBER(D99),ISNUMBER(C99)),IF(OR(C99&gt;0,AND(C99&lt;0,D99&lt;0)),D99/C99-1,"n/m"),"n/a")</f>
        <v>0.30232558139534893</v>
      </c>
      <c r="E101" s="18">
        <f>IF(AND(ISNUMBER(E99),ISNUMBER(D99)),IF(OR(D99&gt;0,AND(D99&lt;0,E99&lt;0)),E99/D99-1,"n/m"),"n/a")</f>
        <v>-0.008540372670807428</v>
      </c>
      <c r="F101" s="18">
        <f>IF(AND(ISNUMBER(F99),ISNUMBER(E99)),IF(OR(E99&gt;0,AND(E99&lt;0,F99&lt;0)),F99/E99-1,"n/m"),"n/a")</f>
        <v>-0.32184808144087707</v>
      </c>
      <c r="G101" s="18" t="s">
        <v>100</v>
      </c>
      <c r="H101" s="21">
        <f>IF(AND(ISNUMBER(H99),ISNUMBER(F99)),IF(OR(F99&gt;0,AND(F99&lt;0,H99&lt;0)),H99/F99-1,"n/m"),"n/a")</f>
        <v>0.43413073002309455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8" t="s">
        <v>101</v>
      </c>
      <c r="C102" s="2">
        <f>IF(AND(ISNUMBER(C99),ISNUMBER(M99)),C99-M99,"n/a")</f>
        <v>-1</v>
      </c>
      <c r="D102" s="2">
        <f>IF(AND(ISNUMBER(D99),ISNUMBER(C99)),D99-C99,"n/a")</f>
        <v>299</v>
      </c>
      <c r="E102" s="2">
        <f>IF(AND(ISNUMBER(E99),ISNUMBER(D99)),E99-D99,"n/a")</f>
        <v>-11</v>
      </c>
      <c r="F102" s="2">
        <f>IF(AND(ISNUMBER(F99),ISNUMBER(E99)),F99-E99,"n/a")</f>
        <v>-411</v>
      </c>
      <c r="G102" s="2" t="s">
        <v>100</v>
      </c>
      <c r="H102" s="7">
        <f>IF(AND(ISNUMBER(H99),ISNUMBER(F99)),H99-F99,"n/a")</f>
        <v>375.95721219999996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20" t="s">
        <v>178</v>
      </c>
      <c r="C103" s="18">
        <f>IF(AND(ISNUMBER(C99),ISNUMBER(C56)),C99/C56,"n/a")</f>
        <v>0.27290286975717437</v>
      </c>
      <c r="D103" s="18">
        <f>IF(AND(ISNUMBER(D99),ISNUMBER(D56)),D99/D56,"n/a")</f>
        <v>0.32039800995024875</v>
      </c>
      <c r="E103" s="18">
        <f>IF(AND(ISNUMBER(E99),ISNUMBER(E56)),E99/E56,"n/a")</f>
        <v>0.34995889284735543</v>
      </c>
      <c r="F103" s="18">
        <f>IF(AND(ISNUMBER(F99),ISNUMBER(F56)),F99/F56,"n/a")</f>
        <v>0.21116800780297487</v>
      </c>
      <c r="G103" s="18">
        <f>IF(AND(ISNUMBER(G99),ISNUMBER(G56)),G99/G56,"n/a")</f>
        <v>0.29377162629757786</v>
      </c>
      <c r="H103" s="32">
        <v>0.289</v>
      </c>
      <c r="I103" s="1"/>
      <c r="J103" s="18">
        <f>IF(AND(ISNUMBER(J99),ISNUMBER(J56)),J99/J56,"n/a")</f>
        <v>0.2837795275590551</v>
      </c>
      <c r="K103" s="18">
        <f>IF(AND(ISNUMBER(K99),ISNUMBER(K56)),K99/K56,"n/a")</f>
        <v>0.3071512309495897</v>
      </c>
      <c r="L103" s="18">
        <f>IF(AND(ISNUMBER(L99),ISNUMBER(L56)),L99/L56,"n/a")</f>
        <v>0.2899495997628224</v>
      </c>
      <c r="M103" s="18">
        <f>IF(AND(ISNUMBER(M99),ISNUMBER(M56)),M99/M56,"n/a")</f>
        <v>0.2883775123798427</v>
      </c>
      <c r="N103" s="18">
        <f>IF(AND(ISNUMBER(N99),ISNUMBER(N56)),N99/N56,"n/a")</f>
        <v>0.28615360353256586</v>
      </c>
      <c r="O103" s="18">
        <f>IF(AND(ISNUMBER(O99),ISNUMBER(O56)),O99/O56,"n/a")</f>
        <v>0.2784250269687163</v>
      </c>
      <c r="P103" s="18">
        <f>IF(AND(ISNUMBER(P99),ISNUMBER(P56)),P99/P56,"n/a")</f>
        <v>0.2835091083413231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37" t="s">
        <v>103</v>
      </c>
      <c r="C104" s="5">
        <f>IF(AND(ISNUMBER(C103),ISNUMBER(J103)),(C103-J103)*10000,"n/a")</f>
        <v>-108.76657801880741</v>
      </c>
      <c r="D104" s="5">
        <f>IF(AND(ISNUMBER(D103),ISNUMBER(K103)),(D103-K103)*10000,"n/a")</f>
        <v>132.4677900065907</v>
      </c>
      <c r="E104" s="5">
        <f>IF(AND(ISNUMBER(E103),ISNUMBER(L103)),(E103-L103)*10000,"n/a")</f>
        <v>600.0929308453301</v>
      </c>
      <c r="F104" s="5">
        <f>IF(AND(ISNUMBER(F103),ISNUMBER(M103)),(F103-M103)*10000,"n/a")</f>
        <v>-772.0950457686785</v>
      </c>
      <c r="G104" s="5">
        <f>IF(AND(ISNUMBER(G103),ISNUMBER(N103)),(G103-N103)*10000,"n/a")</f>
        <v>76.18022765012</v>
      </c>
      <c r="H104" s="30">
        <f>IF(AND(ISNUMBER(H103),ISNUMBER(C103)),(H103-C103)*10000,"n/a")</f>
        <v>160.97130242825608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37" t="s">
        <v>104</v>
      </c>
      <c r="C105" s="5">
        <f>IF(AND(ISNUMBER(C103),ISNUMBER(M103)),(C103-M103)*10000,"n/a")</f>
        <v>-154.74642622668344</v>
      </c>
      <c r="D105" s="5">
        <f>IF(AND(ISNUMBER(D103),ISNUMBER(C103)),(D103-C103)*10000,"n/a")</f>
        <v>474.9514019307438</v>
      </c>
      <c r="E105" s="5">
        <f>IF(AND(ISNUMBER(E103),ISNUMBER(D103)),(E103-D103)*10000,"n/a")</f>
        <v>295.60882897106677</v>
      </c>
      <c r="F105" s="5">
        <f>IF(AND(ISNUMBER(F103),ISNUMBER(E103)),(F103-E103)*10000,"n/a")</f>
        <v>-1387.9088504438055</v>
      </c>
      <c r="G105" s="5" t="s">
        <v>100</v>
      </c>
      <c r="H105" s="30">
        <f>IF(AND(ISNUMBER(H103),ISNUMBER(F103)),(H103-F103)*10000,"n/a")</f>
        <v>778.319921970251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0" t="s">
        <v>105</v>
      </c>
      <c r="C106" s="18" t="s">
        <v>106</v>
      </c>
      <c r="D106" s="18" t="s">
        <v>106</v>
      </c>
      <c r="E106" s="18" t="s">
        <v>106</v>
      </c>
      <c r="F106" s="18" t="s">
        <v>106</v>
      </c>
      <c r="G106" s="18" t="s">
        <v>106</v>
      </c>
      <c r="H106" s="21" t="s">
        <v>106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20" t="s">
        <v>107</v>
      </c>
      <c r="C107" s="18" t="s">
        <v>106</v>
      </c>
      <c r="D107" s="18" t="s">
        <v>106</v>
      </c>
      <c r="E107" s="18" t="s">
        <v>106</v>
      </c>
      <c r="F107" s="18" t="s">
        <v>106</v>
      </c>
      <c r="G107" s="18" t="s">
        <v>106</v>
      </c>
      <c r="H107" s="21" t="s">
        <v>106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20" t="s">
        <v>108</v>
      </c>
      <c r="C108" s="18" t="str">
        <f>IF(AND(ISNUMBER(C100),ISNUMBER(C106),ISNUMBER(C107)),(1+C100)/((1+C106)*(1+C107))-1,"n/a")</f>
        <v>n/a</v>
      </c>
      <c r="D108" s="18" t="str">
        <f>IF(AND(ISNUMBER(D100),ISNUMBER(D106),ISNUMBER(D107)),(1+D100)/((1+D106)*(1+D107))-1,"n/a")</f>
        <v>n/a</v>
      </c>
      <c r="E108" s="18" t="str">
        <f>IF(AND(ISNUMBER(E100),ISNUMBER(E106),ISNUMBER(E107)),(1+E100)/((1+E106)*(1+E107))-1,"n/a")</f>
        <v>n/a</v>
      </c>
      <c r="F108" s="18" t="str">
        <f>IF(AND(ISNUMBER(F100),ISNUMBER(F106),ISNUMBER(F107)),(1+F100)/((1+F106)*(1+F107))-1,"n/a")</f>
        <v>n/a</v>
      </c>
      <c r="G108" s="18" t="str">
        <f>IF(AND(ISNUMBER(G100),ISNUMBER(G106),ISNUMBER(G107)),(1+G100)/((1+G106)*(1+G107))-1,"n/a")</f>
        <v>n/a</v>
      </c>
      <c r="H108" s="21" t="str">
        <f>IF(AND(ISNUMBER(H100),ISNUMBER(H106),ISNUMBER(H107)),(1+H100)/((1+H106)*(1+H107))-1,"n/a")</f>
        <v>n/a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4" t="s">
        <v>179</v>
      </c>
      <c r="C109" s="3">
        <v>2</v>
      </c>
      <c r="D109" s="2">
        <f>G109-P109</f>
        <v>2</v>
      </c>
      <c r="E109" s="3">
        <v>0</v>
      </c>
      <c r="F109" s="3">
        <v>1</v>
      </c>
      <c r="G109" s="3">
        <v>11</v>
      </c>
      <c r="H109" s="7">
        <f>H56-H89-H99</f>
        <v>0</v>
      </c>
      <c r="I109" s="1"/>
      <c r="J109" s="3">
        <v>2</v>
      </c>
      <c r="K109" s="2">
        <f>N109-O109</f>
        <v>1</v>
      </c>
      <c r="L109" s="3">
        <v>4</v>
      </c>
      <c r="M109" s="3">
        <v>3</v>
      </c>
      <c r="N109" s="3">
        <v>10</v>
      </c>
      <c r="O109" s="3">
        <v>9</v>
      </c>
      <c r="P109" s="3">
        <v>9</v>
      </c>
      <c r="Q109" s="1"/>
      <c r="R109" s="9" t="s">
        <v>161</v>
      </c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20" t="s">
        <v>98</v>
      </c>
      <c r="C110" s="18">
        <f>IF(AND(ISNUMBER(C109),ISNUMBER(J109)),IF(OR(J109&gt;0,AND(J109&lt;0,C109&lt;0)),C109/J109-1,"n/m"),"n/a")</f>
        <v>0</v>
      </c>
      <c r="D110" s="18">
        <f>IF(AND(ISNUMBER(D109),ISNUMBER(K109)),IF(OR(K109&gt;0,AND(K109&lt;0,D109&lt;0)),D109/K109-1,"n/m"),"n/a")</f>
        <v>1</v>
      </c>
      <c r="E110" s="18">
        <f>IF(AND(ISNUMBER(E109),ISNUMBER(L109)),IF(OR(L109&gt;0,AND(L109&lt;0,E109&lt;0)),E109/L109-1,"n/m"),"n/a")</f>
        <v>-1</v>
      </c>
      <c r="F110" s="18">
        <f>IF(AND(ISNUMBER(F109),ISNUMBER(M109)),IF(OR(M109&gt;0,AND(M109&lt;0,F109&lt;0)),F109/M109-1,"n/m"),"n/a")</f>
        <v>-0.6666666666666667</v>
      </c>
      <c r="G110" s="18">
        <f>IF(AND(ISNUMBER(G109),ISNUMBER(N109)),IF(OR(N109&gt;0,AND(N109&lt;0,G109&lt;0)),G109/N109-1,"n/m"),"n/a")</f>
        <v>0.10000000000000009</v>
      </c>
      <c r="H110" s="21">
        <f>IF(AND(ISNUMBER(H109),ISNUMBER(C109)),IF(OR(C109&gt;0,AND(C109&lt;0,H109&lt;0)),H109/C109-1,"n/m"),"n/a")</f>
        <v>-1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20" t="s">
        <v>99</v>
      </c>
      <c r="C111" s="18">
        <f>IF(AND(ISNUMBER(C109),ISNUMBER(M109)),IF(OR(M109&gt;0,AND(M109&lt;0,C109&lt;0)),C109/M109-1,"n/m"),"n/a")</f>
        <v>-0.33333333333333337</v>
      </c>
      <c r="D111" s="18">
        <f>IF(AND(ISNUMBER(D109),ISNUMBER(C109)),IF(OR(C109&gt;0,AND(C109&lt;0,D109&lt;0)),D109/C109-1,"n/m"),"n/a")</f>
        <v>0</v>
      </c>
      <c r="E111" s="18">
        <f>IF(AND(ISNUMBER(E109),ISNUMBER(D109)),IF(OR(D109&gt;0,AND(D109&lt;0,E109&lt;0)),E109/D109-1,"n/m"),"n/a")</f>
        <v>-1</v>
      </c>
      <c r="F111" s="18" t="str">
        <f>IF(AND(ISNUMBER(F109),ISNUMBER(E109)),IF(OR(E109&gt;0,AND(E109&lt;0,F109&lt;0)),F109/E109-1,"n/m"),"n/a")</f>
        <v>n/m</v>
      </c>
      <c r="G111" s="18" t="s">
        <v>100</v>
      </c>
      <c r="H111" s="21">
        <f>IF(AND(ISNUMBER(H109),ISNUMBER(F109)),IF(OR(F109&gt;0,AND(F109&lt;0,H109&lt;0)),H109/F109-1,"n/m"),"n/a")</f>
        <v>-1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8" t="s">
        <v>101</v>
      </c>
      <c r="C112" s="2">
        <f>IF(AND(ISNUMBER(C109),ISNUMBER(M109)),C109-M109,"n/a")</f>
        <v>-1</v>
      </c>
      <c r="D112" s="2">
        <f>IF(AND(ISNUMBER(D109),ISNUMBER(C109)),D109-C109,"n/a")</f>
        <v>0</v>
      </c>
      <c r="E112" s="2">
        <f>IF(AND(ISNUMBER(E109),ISNUMBER(D109)),E109-D109,"n/a")</f>
        <v>-2</v>
      </c>
      <c r="F112" s="2">
        <f>IF(AND(ISNUMBER(F109),ISNUMBER(E109)),F109-E109,"n/a")</f>
        <v>1</v>
      </c>
      <c r="G112" s="2" t="s">
        <v>100</v>
      </c>
      <c r="H112" s="7">
        <f>IF(AND(ISNUMBER(H109),ISNUMBER(F109)),H109-F109,"n/a")</f>
        <v>-1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20" t="s">
        <v>180</v>
      </c>
      <c r="C113" s="18">
        <f>IF(AND(ISNUMBER(C109),ISNUMBER(C56)),C109/C56,"n/a")</f>
        <v>0.0005518763796909492</v>
      </c>
      <c r="D113" s="18">
        <f>IF(AND(ISNUMBER(D109),ISNUMBER(D56)),D109/D56,"n/a")</f>
        <v>0.0004975124378109452</v>
      </c>
      <c r="E113" s="18">
        <f>IF(AND(ISNUMBER(E109),ISNUMBER(E56)),E109/E56,"n/a")</f>
        <v>0</v>
      </c>
      <c r="F113" s="18">
        <f>IF(AND(ISNUMBER(F109),ISNUMBER(F56)),F109/F56,"n/a")</f>
        <v>0.000243842965130456</v>
      </c>
      <c r="G113" s="18">
        <f>IF(AND(ISNUMBER(G109),ISNUMBER(G56)),G109/G56,"n/a")</f>
        <v>0.0007612456747404844</v>
      </c>
      <c r="H113" s="21">
        <f>IF(AND(ISNUMBER(H109),ISNUMBER(H56)),H109/H56,"n/a")</f>
        <v>0</v>
      </c>
      <c r="I113" s="1"/>
      <c r="J113" s="18">
        <f>IF(AND(ISNUMBER(J109),ISNUMBER(J56)),J109/J56,"n/a")</f>
        <v>0.0006299212598425197</v>
      </c>
      <c r="K113" s="18">
        <f>IF(AND(ISNUMBER(K109),ISNUMBER(K56)),K109/K56,"n/a")</f>
        <v>0.00029308323563892143</v>
      </c>
      <c r="L113" s="18">
        <f>IF(AND(ISNUMBER(L109),ISNUMBER(L56)),L109/L56,"n/a")</f>
        <v>0.0011858879335902757</v>
      </c>
      <c r="M113" s="18">
        <f>IF(AND(ISNUMBER(M109),ISNUMBER(M56)),M109/M56,"n/a")</f>
        <v>0.000873871249635887</v>
      </c>
      <c r="N113" s="18">
        <f>IF(AND(ISNUMBER(N109),ISNUMBER(N56)),N109/N56,"n/a")</f>
        <v>0.0007885191610156126</v>
      </c>
      <c r="O113" s="18">
        <f>IF(AND(ISNUMBER(O109),ISNUMBER(O56)),O109/O56,"n/a")</f>
        <v>0.000970873786407767</v>
      </c>
      <c r="P113" s="18">
        <f>IF(AND(ISNUMBER(P109),ISNUMBER(P56)),P109/P56,"n/a")</f>
        <v>0.0008628954937679769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37" t="s">
        <v>103</v>
      </c>
      <c r="C114" s="5">
        <f>IF(AND(ISNUMBER(C113),ISNUMBER(J113)),(C113-J113)*10000,"n/a")</f>
        <v>-0.7804488015157043</v>
      </c>
      <c r="D114" s="5">
        <f>IF(AND(ISNUMBER(D113),ISNUMBER(K113)),(D113-K113)*10000,"n/a")</f>
        <v>2.044292021720238</v>
      </c>
      <c r="E114" s="5">
        <f>IF(AND(ISNUMBER(E113),ISNUMBER(L113)),(E113-L113)*10000,"n/a")</f>
        <v>-11.858879335902756</v>
      </c>
      <c r="F114" s="5">
        <f>IF(AND(ISNUMBER(F113),ISNUMBER(M113)),(F113-M113)*10000,"n/a")</f>
        <v>-6.300282845054309</v>
      </c>
      <c r="G114" s="5">
        <f>IF(AND(ISNUMBER(G113),ISNUMBER(N113)),(G113-N113)*10000,"n/a")</f>
        <v>-0.27273486275128206</v>
      </c>
      <c r="H114" s="30">
        <f>IF(AND(ISNUMBER(H113),ISNUMBER(C113)),(H113-C113)*10000,"n/a")</f>
        <v>-5.518763796909492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37" t="s">
        <v>104</v>
      </c>
      <c r="C115" s="5">
        <f>IF(AND(ISNUMBER(C113),ISNUMBER(M113)),(C113-M113)*10000,"n/a")</f>
        <v>-3.2199486994493776</v>
      </c>
      <c r="D115" s="5">
        <f>IF(AND(ISNUMBER(D113),ISNUMBER(C113)),(D113-C113)*10000,"n/a")</f>
        <v>-0.5436394188000399</v>
      </c>
      <c r="E115" s="5">
        <f>IF(AND(ISNUMBER(E113),ISNUMBER(D113)),(E113-D113)*10000,"n/a")</f>
        <v>-4.975124378109452</v>
      </c>
      <c r="F115" s="5">
        <f>IF(AND(ISNUMBER(F113),ISNUMBER(E113)),(F113-E113)*10000,"n/a")</f>
        <v>2.43842965130456</v>
      </c>
      <c r="G115" s="5" t="s">
        <v>100</v>
      </c>
      <c r="H115" s="30">
        <f>IF(AND(ISNUMBER(H113),ISNUMBER(F113)),(H113-F113)*10000,"n/a")</f>
        <v>-2.43842965130456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20" t="s">
        <v>105</v>
      </c>
      <c r="C116" s="18" t="s">
        <v>106</v>
      </c>
      <c r="D116" s="18" t="s">
        <v>106</v>
      </c>
      <c r="E116" s="18" t="s">
        <v>106</v>
      </c>
      <c r="F116" s="18" t="s">
        <v>106</v>
      </c>
      <c r="G116" s="18" t="s">
        <v>106</v>
      </c>
      <c r="H116" s="21" t="s">
        <v>106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20" t="s">
        <v>107</v>
      </c>
      <c r="C117" s="18" t="s">
        <v>106</v>
      </c>
      <c r="D117" s="18" t="s">
        <v>106</v>
      </c>
      <c r="E117" s="18" t="s">
        <v>106</v>
      </c>
      <c r="F117" s="18" t="s">
        <v>106</v>
      </c>
      <c r="G117" s="18" t="s">
        <v>106</v>
      </c>
      <c r="H117" s="21" t="s">
        <v>106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0" t="s">
        <v>108</v>
      </c>
      <c r="C118" s="18" t="str">
        <f>IF(AND(ISNUMBER(C110),ISNUMBER(C116),ISNUMBER(C117)),(1+C110)/((1+C116)*(1+C117))-1,"n/a")</f>
        <v>n/a</v>
      </c>
      <c r="D118" s="18" t="str">
        <f>IF(AND(ISNUMBER(D110),ISNUMBER(D116),ISNUMBER(D117)),(1+D110)/((1+D116)*(1+D117))-1,"n/a")</f>
        <v>n/a</v>
      </c>
      <c r="E118" s="18" t="str">
        <f>IF(AND(ISNUMBER(E110),ISNUMBER(E116),ISNUMBER(E117)),(1+E110)/((1+E116)*(1+E117))-1,"n/a")</f>
        <v>n/a</v>
      </c>
      <c r="F118" s="18" t="str">
        <f>IF(AND(ISNUMBER(F110),ISNUMBER(F116),ISNUMBER(F117)),(1+F110)/((1+F116)*(1+F117))-1,"n/a")</f>
        <v>n/a</v>
      </c>
      <c r="G118" s="18" t="str">
        <f>IF(AND(ISNUMBER(G110),ISNUMBER(G116),ISNUMBER(G117)),(1+G110)/((1+G116)*(1+G117))-1,"n/a")</f>
        <v>n/a</v>
      </c>
      <c r="H118" s="21" t="str">
        <f>IF(AND(ISNUMBER(H110),ISNUMBER(H116),ISNUMBER(H117)),(1+H110)/((1+H116)*(1+H117))-1,"n/a")</f>
        <v>n/a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46" t="s">
        <v>181</v>
      </c>
      <c r="C119" s="14">
        <f>C89+C99+C109</f>
        <v>3624</v>
      </c>
      <c r="D119" s="14">
        <f>D89+D99+D109</f>
        <v>4020</v>
      </c>
      <c r="E119" s="14">
        <f>E89+E99+E109</f>
        <v>3649</v>
      </c>
      <c r="F119" s="14">
        <f>F89+F99+F109</f>
        <v>4101</v>
      </c>
      <c r="G119" s="14">
        <f>G89+G99+G109</f>
        <v>14450</v>
      </c>
      <c r="H119" s="48">
        <f>H89+H99+H109</f>
        <v>4297.4298</v>
      </c>
      <c r="I119" s="1"/>
      <c r="J119" s="14">
        <f>J89+J99+J109</f>
        <v>3175</v>
      </c>
      <c r="K119" s="14">
        <f>K89+K99+K109</f>
        <v>3412</v>
      </c>
      <c r="L119" s="14">
        <f>L89+L99+L109</f>
        <v>3373</v>
      </c>
      <c r="M119" s="14">
        <f>M89+M99+M109</f>
        <v>3433</v>
      </c>
      <c r="N119" s="14">
        <f>N89+N99+N109</f>
        <v>12682</v>
      </c>
      <c r="O119" s="14">
        <f>O89+O99+O109</f>
        <v>9270</v>
      </c>
      <c r="P119" s="14">
        <f>P89+P99+P109</f>
        <v>10430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1" t="s">
        <v>182</v>
      </c>
      <c r="C120" s="19">
        <f>C119-C56</f>
        <v>0</v>
      </c>
      <c r="D120" s="19">
        <f>D119-D56</f>
        <v>0</v>
      </c>
      <c r="E120" s="19">
        <f>E119-E56</f>
        <v>0</v>
      </c>
      <c r="F120" s="19">
        <f>F119-F56</f>
        <v>0</v>
      </c>
      <c r="G120" s="19">
        <f>G119-G56</f>
        <v>0</v>
      </c>
      <c r="H120" s="49">
        <f>H119-H56</f>
        <v>0</v>
      </c>
      <c r="I120" s="1"/>
      <c r="J120" s="19">
        <f>J119-J56</f>
        <v>0</v>
      </c>
      <c r="K120" s="19">
        <f>K119-K56</f>
        <v>0</v>
      </c>
      <c r="L120" s="19">
        <f>L119-L56</f>
        <v>0</v>
      </c>
      <c r="M120" s="19">
        <f>M119-M56</f>
        <v>0</v>
      </c>
      <c r="N120" s="19">
        <f>N119-N56</f>
        <v>0</v>
      </c>
      <c r="O120" s="19">
        <f>O119-O56</f>
        <v>0</v>
      </c>
      <c r="P120" s="19">
        <f>P119-P56</f>
        <v>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3" t="s">
        <v>183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4" t="s">
        <v>184</v>
      </c>
      <c r="C123" s="3">
        <v>2635</v>
      </c>
      <c r="D123" s="2">
        <f>G123-P123</f>
        <v>2732</v>
      </c>
      <c r="E123" s="3">
        <v>2372</v>
      </c>
      <c r="F123" s="3">
        <v>3235</v>
      </c>
      <c r="G123" s="3">
        <v>10205</v>
      </c>
      <c r="H123" s="7">
        <f>H56*H127</f>
        <v>3055.4725878</v>
      </c>
      <c r="I123" s="1"/>
      <c r="J123" s="3">
        <v>2274</v>
      </c>
      <c r="K123" s="2">
        <f>N123-O123</f>
        <v>2364</v>
      </c>
      <c r="L123" s="3">
        <v>2395</v>
      </c>
      <c r="M123" s="3">
        <v>2443</v>
      </c>
      <c r="N123" s="3">
        <v>9053</v>
      </c>
      <c r="O123" s="3">
        <v>6689</v>
      </c>
      <c r="P123" s="3">
        <v>7473</v>
      </c>
      <c r="Q123" s="1"/>
      <c r="R123" s="9" t="s">
        <v>161</v>
      </c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20" t="s">
        <v>98</v>
      </c>
      <c r="C124" s="18">
        <f>IF(AND(ISNUMBER(C123),ISNUMBER(J123)),IF(OR(J123&gt;0,AND(J123&lt;0,C123&lt;0)),C123/J123-1,"n/m"),"n/a")</f>
        <v>0.15875109938434484</v>
      </c>
      <c r="D124" s="18">
        <f>IF(AND(ISNUMBER(D123),ISNUMBER(K123)),IF(OR(K123&gt;0,AND(K123&lt;0,D123&lt;0)),D123/K123-1,"n/m"),"n/a")</f>
        <v>0.15566835871404394</v>
      </c>
      <c r="E124" s="18">
        <f>IF(AND(ISNUMBER(E123),ISNUMBER(L123)),IF(OR(L123&gt;0,AND(L123&lt;0,E123&lt;0)),E123/L123-1,"n/m"),"n/a")</f>
        <v>-0.009603340292275608</v>
      </c>
      <c r="F124" s="18">
        <f>IF(AND(ISNUMBER(F123),ISNUMBER(M123)),IF(OR(M123&gt;0,AND(M123&lt;0,F123&lt;0)),F123/M123-1,"n/m"),"n/a")</f>
        <v>0.32419156774457636</v>
      </c>
      <c r="G124" s="18">
        <f>IF(AND(ISNUMBER(G123),ISNUMBER(N123)),IF(OR(N123&gt;0,AND(N123&lt;0,G123&lt;0)),G123/N123-1,"n/m"),"n/a")</f>
        <v>0.1272506351485696</v>
      </c>
      <c r="H124" s="21">
        <f>IF(AND(ISNUMBER(H123),ISNUMBER(C123)),IF(OR(C123&gt;0,AND(C123&lt;0,H123&lt;0)),H123/C123-1,"n/m"),"n/a")</f>
        <v>0.15957213958254268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20" t="s">
        <v>99</v>
      </c>
      <c r="C125" s="18">
        <f>IF(AND(ISNUMBER(C123),ISNUMBER(M123)),IF(OR(M123&gt;0,AND(M123&lt;0,C123&lt;0)),C123/M123-1,"n/m"),"n/a")</f>
        <v>0.07859189521080645</v>
      </c>
      <c r="D125" s="18">
        <f>IF(AND(ISNUMBER(D123),ISNUMBER(C123)),IF(OR(C123&gt;0,AND(C123&lt;0,D123&lt;0)),D123/C123-1,"n/m"),"n/a")</f>
        <v>0.03681214421252377</v>
      </c>
      <c r="E125" s="18">
        <f>IF(AND(ISNUMBER(E123),ISNUMBER(D123)),IF(OR(D123&gt;0,AND(D123&lt;0,E123&lt;0)),E123/D123-1,"n/m"),"n/a")</f>
        <v>-0.1317715959004392</v>
      </c>
      <c r="F125" s="18">
        <f>IF(AND(ISNUMBER(F123),ISNUMBER(E123)),IF(OR(E123&gt;0,AND(E123&lt;0,F123&lt;0)),F123/E123-1,"n/m"),"n/a")</f>
        <v>0.3638279932546373</v>
      </c>
      <c r="G125" s="18" t="s">
        <v>100</v>
      </c>
      <c r="H125" s="21">
        <f>IF(AND(ISNUMBER(H123),ISNUMBER(F123)),IF(OR(F123&gt;0,AND(F123&lt;0,H123&lt;0)),H123/F123-1,"n/m"),"n/a")</f>
        <v>-0.05549533607418855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8" t="s">
        <v>101</v>
      </c>
      <c r="C126" s="2">
        <f>IF(AND(ISNUMBER(C123),ISNUMBER(M123)),C123-M123,"n/a")</f>
        <v>192</v>
      </c>
      <c r="D126" s="2">
        <f>IF(AND(ISNUMBER(D123),ISNUMBER(C123)),D123-C123,"n/a")</f>
        <v>97</v>
      </c>
      <c r="E126" s="2">
        <f>IF(AND(ISNUMBER(E123),ISNUMBER(D123)),E123-D123,"n/a")</f>
        <v>-360</v>
      </c>
      <c r="F126" s="2">
        <f>IF(AND(ISNUMBER(F123),ISNUMBER(E123)),F123-E123,"n/a")</f>
        <v>863</v>
      </c>
      <c r="G126" s="2" t="s">
        <v>100</v>
      </c>
      <c r="H126" s="7">
        <f>IF(AND(ISNUMBER(H123),ISNUMBER(F123)),H123-F123,"n/a")</f>
        <v>-179.52741220000007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20" t="s">
        <v>185</v>
      </c>
      <c r="C127" s="18">
        <f>IF(AND(ISNUMBER(C123),ISNUMBER(C56)),C123/C56,"n/a")</f>
        <v>0.7270971302428256</v>
      </c>
      <c r="D127" s="18">
        <f>IF(AND(ISNUMBER(D123),ISNUMBER(D56)),D123/D56,"n/a")</f>
        <v>0.6796019900497512</v>
      </c>
      <c r="E127" s="18">
        <f>IF(AND(ISNUMBER(E123),ISNUMBER(E56)),E123/E56,"n/a")</f>
        <v>0.6500411071526445</v>
      </c>
      <c r="F127" s="18">
        <f>IF(AND(ISNUMBER(F123),ISNUMBER(F56)),F123/F56,"n/a")</f>
        <v>0.7888319921970252</v>
      </c>
      <c r="G127" s="18">
        <f>IF(AND(ISNUMBER(G123),ISNUMBER(G56)),G123/G56,"n/a")</f>
        <v>0.7062283737024222</v>
      </c>
      <c r="H127" s="32">
        <v>0.711</v>
      </c>
      <c r="I127" s="1"/>
      <c r="J127" s="18">
        <f>IF(AND(ISNUMBER(J123),ISNUMBER(J56)),J123/J56,"n/a")</f>
        <v>0.7162204724409449</v>
      </c>
      <c r="K127" s="18">
        <f>IF(AND(ISNUMBER(K123),ISNUMBER(K56)),K123/K56,"n/a")</f>
        <v>0.6928487690504103</v>
      </c>
      <c r="L127" s="18">
        <f>IF(AND(ISNUMBER(L123),ISNUMBER(L56)),L123/L56,"n/a")</f>
        <v>0.7100504002371776</v>
      </c>
      <c r="M127" s="18">
        <f>IF(AND(ISNUMBER(M123),ISNUMBER(M56)),M123/M56,"n/a")</f>
        <v>0.7116224876201573</v>
      </c>
      <c r="N127" s="18">
        <f>IF(AND(ISNUMBER(N123),ISNUMBER(N56)),N123/N56,"n/a")</f>
        <v>0.7138463964674342</v>
      </c>
      <c r="O127" s="18">
        <f>IF(AND(ISNUMBER(O123),ISNUMBER(O56)),O123/O56,"n/a")</f>
        <v>0.7215749730312837</v>
      </c>
      <c r="P127" s="18">
        <f>IF(AND(ISNUMBER(P123),ISNUMBER(P56)),P123/P56,"n/a")</f>
        <v>0.7164908916586769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37" t="s">
        <v>103</v>
      </c>
      <c r="C128" s="5">
        <f>IF(AND(ISNUMBER(C127),ISNUMBER(J127)),(C127-J127)*10000,"n/a")</f>
        <v>108.76657801880741</v>
      </c>
      <c r="D128" s="5">
        <f>IF(AND(ISNUMBER(D127),ISNUMBER(K127)),(D127-K127)*10000,"n/a")</f>
        <v>-132.4677900065907</v>
      </c>
      <c r="E128" s="5">
        <f>IF(AND(ISNUMBER(E127),ISNUMBER(L127)),(E127-L127)*10000,"n/a")</f>
        <v>-600.0929308453307</v>
      </c>
      <c r="F128" s="5">
        <f>IF(AND(ISNUMBER(F127),ISNUMBER(M127)),(F127-M127)*10000,"n/a")</f>
        <v>772.0950457686781</v>
      </c>
      <c r="G128" s="5">
        <f>IF(AND(ISNUMBER(G127),ISNUMBER(N127)),(G127-N127)*10000,"n/a")</f>
        <v>-76.18022765012</v>
      </c>
      <c r="H128" s="30">
        <f>IF(AND(ISNUMBER(H127),ISNUMBER(C127)),(H127-C127)*10000,"n/a")</f>
        <v>-160.97130242825665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37" t="s">
        <v>104</v>
      </c>
      <c r="C129" s="5">
        <f>IF(AND(ISNUMBER(C127),ISNUMBER(M127)),(C127-M127)*10000,"n/a")</f>
        <v>154.7464262266829</v>
      </c>
      <c r="D129" s="5">
        <f>IF(AND(ISNUMBER(D127),ISNUMBER(C127)),(D127-C127)*10000,"n/a")</f>
        <v>-474.95140193074434</v>
      </c>
      <c r="E129" s="5">
        <f>IF(AND(ISNUMBER(E127),ISNUMBER(D127)),(E127-D127)*10000,"n/a")</f>
        <v>-295.60882897106677</v>
      </c>
      <c r="F129" s="5">
        <f>IF(AND(ISNUMBER(F127),ISNUMBER(E127)),(F127-E127)*10000,"n/a")</f>
        <v>1387.9088504438064</v>
      </c>
      <c r="G129" s="5" t="s">
        <v>100</v>
      </c>
      <c r="H129" s="30">
        <f>IF(AND(ISNUMBER(H127),ISNUMBER(F127)),(H127-F127)*10000,"n/a")</f>
        <v>-778.3199219702519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20" t="s">
        <v>105</v>
      </c>
      <c r="C130" s="18" t="s">
        <v>106</v>
      </c>
      <c r="D130" s="18" t="s">
        <v>106</v>
      </c>
      <c r="E130" s="18" t="s">
        <v>106</v>
      </c>
      <c r="F130" s="18" t="s">
        <v>106</v>
      </c>
      <c r="G130" s="18" t="s">
        <v>106</v>
      </c>
      <c r="H130" s="21" t="s">
        <v>106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20" t="s">
        <v>107</v>
      </c>
      <c r="C131" s="18" t="s">
        <v>106</v>
      </c>
      <c r="D131" s="18" t="s">
        <v>106</v>
      </c>
      <c r="E131" s="18" t="s">
        <v>106</v>
      </c>
      <c r="F131" s="18" t="s">
        <v>106</v>
      </c>
      <c r="G131" s="18" t="s">
        <v>106</v>
      </c>
      <c r="H131" s="21" t="s">
        <v>106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20" t="s">
        <v>108</v>
      </c>
      <c r="C132" s="18" t="str">
        <f>IF(AND(ISNUMBER(C124),ISNUMBER(C130),ISNUMBER(C131)),(1+C124)/((1+C130)*(1+C131))-1,"n/a")</f>
        <v>n/a</v>
      </c>
      <c r="D132" s="18" t="str">
        <f>IF(AND(ISNUMBER(D124),ISNUMBER(D130),ISNUMBER(D131)),(1+D124)/((1+D130)*(1+D131))-1,"n/a")</f>
        <v>n/a</v>
      </c>
      <c r="E132" s="18" t="str">
        <f>IF(AND(ISNUMBER(E124),ISNUMBER(E130),ISNUMBER(E131)),(1+E124)/((1+E130)*(1+E131))-1,"n/a")</f>
        <v>n/a</v>
      </c>
      <c r="F132" s="18" t="str">
        <f>IF(AND(ISNUMBER(F124),ISNUMBER(F130),ISNUMBER(F131)),(1+F124)/((1+F130)*(1+F131))-1,"n/a")</f>
        <v>n/a</v>
      </c>
      <c r="G132" s="18" t="str">
        <f>IF(AND(ISNUMBER(G124),ISNUMBER(G130),ISNUMBER(G131)),(1+G124)/((1+G130)*(1+G131))-1,"n/a")</f>
        <v>n/a</v>
      </c>
      <c r="H132" s="21" t="str">
        <f>IF(AND(ISNUMBER(H124),ISNUMBER(H130),ISNUMBER(H131)),(1+H124)/((1+H130)*(1+H131))-1,"n/a")</f>
        <v>n/a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4" t="s">
        <v>186</v>
      </c>
      <c r="C133" s="3">
        <v>401</v>
      </c>
      <c r="D133" s="2">
        <f>G133-P133</f>
        <v>551</v>
      </c>
      <c r="E133" s="3">
        <v>587</v>
      </c>
      <c r="F133" s="3">
        <v>503</v>
      </c>
      <c r="G133" s="3">
        <v>1728</v>
      </c>
      <c r="H133" s="7">
        <f>H56*H137</f>
        <v>571.5581634</v>
      </c>
      <c r="I133" s="1"/>
      <c r="J133" s="3">
        <v>334</v>
      </c>
      <c r="K133" s="2">
        <f>N133-O133</f>
        <v>539</v>
      </c>
      <c r="L133" s="3">
        <v>395</v>
      </c>
      <c r="M133" s="3">
        <v>381</v>
      </c>
      <c r="N133" s="3">
        <v>1327</v>
      </c>
      <c r="O133" s="3">
        <v>788</v>
      </c>
      <c r="P133" s="3">
        <v>1177</v>
      </c>
      <c r="Q133" s="1"/>
      <c r="R133" s="9" t="s">
        <v>161</v>
      </c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20" t="s">
        <v>98</v>
      </c>
      <c r="C134" s="18">
        <f>IF(AND(ISNUMBER(C133),ISNUMBER(J133)),IF(OR(J133&gt;0,AND(J133&lt;0,C133&lt;0)),C133/J133-1,"n/m"),"n/a")</f>
        <v>0.20059880239520966</v>
      </c>
      <c r="D134" s="18">
        <f>IF(AND(ISNUMBER(D133),ISNUMBER(K133)),IF(OR(K133&gt;0,AND(K133&lt;0,D133&lt;0)),D133/K133-1,"n/m"),"n/a")</f>
        <v>0.02226345083487935</v>
      </c>
      <c r="E134" s="18">
        <f>IF(AND(ISNUMBER(E133),ISNUMBER(L133)),IF(OR(L133&gt;0,AND(L133&lt;0,E133&lt;0)),E133/L133-1,"n/m"),"n/a")</f>
        <v>0.48607594936708853</v>
      </c>
      <c r="F134" s="18">
        <f>IF(AND(ISNUMBER(F133),ISNUMBER(M133)),IF(OR(M133&gt;0,AND(M133&lt;0,F133&lt;0)),F133/M133-1,"n/m"),"n/a")</f>
        <v>0.32020997375328086</v>
      </c>
      <c r="G134" s="18">
        <f>IF(AND(ISNUMBER(G133),ISNUMBER(N133)),IF(OR(N133&gt;0,AND(N133&lt;0,G133&lt;0)),G133/N133-1,"n/m"),"n/a")</f>
        <v>0.3021853805576489</v>
      </c>
      <c r="H134" s="21">
        <f>IF(AND(ISNUMBER(H133),ISNUMBER(C133)),IF(OR(C133&gt;0,AND(C133&lt;0,H133&lt;0)),H133/C133-1,"n/m"),"n/a")</f>
        <v>0.42533207830423936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20" t="s">
        <v>99</v>
      </c>
      <c r="C135" s="18">
        <f>IF(AND(ISNUMBER(C133),ISNUMBER(M133)),IF(OR(M133&gt;0,AND(M133&lt;0,C133&lt;0)),C133/M133-1,"n/m"),"n/a")</f>
        <v>0.05249343832021003</v>
      </c>
      <c r="D135" s="18">
        <f>IF(AND(ISNUMBER(D133),ISNUMBER(C133)),IF(OR(C133&gt;0,AND(C133&lt;0,D133&lt;0)),D133/C133-1,"n/m"),"n/a")</f>
        <v>0.3740648379052369</v>
      </c>
      <c r="E135" s="18">
        <f>IF(AND(ISNUMBER(E133),ISNUMBER(D133)),IF(OR(D133&gt;0,AND(D133&lt;0,E133&lt;0)),E133/D133-1,"n/m"),"n/a")</f>
        <v>0.06533575317604345</v>
      </c>
      <c r="F135" s="18">
        <f>IF(AND(ISNUMBER(F133),ISNUMBER(E133)),IF(OR(E133&gt;0,AND(E133&lt;0,F133&lt;0)),F133/E133-1,"n/m"),"n/a")</f>
        <v>-0.14310051107325383</v>
      </c>
      <c r="G135" s="18" t="s">
        <v>100</v>
      </c>
      <c r="H135" s="21">
        <f>IF(AND(ISNUMBER(H133),ISNUMBER(F133)),IF(OR(F133&gt;0,AND(F133&lt;0,H133&lt;0)),H133/F133-1,"n/m"),"n/a")</f>
        <v>0.1362985355864812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8" t="s">
        <v>101</v>
      </c>
      <c r="C136" s="2">
        <f>IF(AND(ISNUMBER(C133),ISNUMBER(M133)),C133-M133,"n/a")</f>
        <v>20</v>
      </c>
      <c r="D136" s="2">
        <f>IF(AND(ISNUMBER(D133),ISNUMBER(C133)),D133-C133,"n/a")</f>
        <v>150</v>
      </c>
      <c r="E136" s="2">
        <f>IF(AND(ISNUMBER(E133),ISNUMBER(D133)),E133-D133,"n/a")</f>
        <v>36</v>
      </c>
      <c r="F136" s="2">
        <f>IF(AND(ISNUMBER(F133),ISNUMBER(E133)),F133-E133,"n/a")</f>
        <v>-84</v>
      </c>
      <c r="G136" s="2" t="s">
        <v>100</v>
      </c>
      <c r="H136" s="7">
        <f>IF(AND(ISNUMBER(H133),ISNUMBER(F133)),H133-F133,"n/a")</f>
        <v>68.55816340000001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20" t="s">
        <v>187</v>
      </c>
      <c r="C137" s="18">
        <f>IF(AND(ISNUMBER(C133),ISNUMBER(C56)),C133/C56,"n/a")</f>
        <v>0.11065121412803532</v>
      </c>
      <c r="D137" s="18">
        <f>IF(AND(ISNUMBER(D133),ISNUMBER(D56)),D133/D56,"n/a")</f>
        <v>0.13706467661691543</v>
      </c>
      <c r="E137" s="18">
        <f>IF(AND(ISNUMBER(E133),ISNUMBER(E56)),E133/E56,"n/a")</f>
        <v>0.16086599068237872</v>
      </c>
      <c r="F137" s="18">
        <f>IF(AND(ISNUMBER(F133),ISNUMBER(F56)),F133/F56,"n/a")</f>
        <v>0.12265301146061935</v>
      </c>
      <c r="G137" s="18">
        <f>IF(AND(ISNUMBER(G133),ISNUMBER(G56)),G133/G56,"n/a")</f>
        <v>0.1195847750865052</v>
      </c>
      <c r="H137" s="32">
        <v>0.133</v>
      </c>
      <c r="I137" s="1"/>
      <c r="J137" s="18">
        <f>IF(AND(ISNUMBER(J133),ISNUMBER(J56)),J133/J56,"n/a")</f>
        <v>0.10519685039370079</v>
      </c>
      <c r="K137" s="18">
        <f>IF(AND(ISNUMBER(K133),ISNUMBER(K56)),K133/K56,"n/a")</f>
        <v>0.15797186400937865</v>
      </c>
      <c r="L137" s="18">
        <f>IF(AND(ISNUMBER(L133),ISNUMBER(L56)),L133/L56,"n/a")</f>
        <v>0.11710643344203973</v>
      </c>
      <c r="M137" s="18">
        <f>IF(AND(ISNUMBER(M133),ISNUMBER(M56)),M133/M56,"n/a")</f>
        <v>0.11098164870375765</v>
      </c>
      <c r="N137" s="18">
        <f>IF(AND(ISNUMBER(N133),ISNUMBER(N56)),N133/N56,"n/a")</f>
        <v>0.1046364926667718</v>
      </c>
      <c r="O137" s="18">
        <f>IF(AND(ISNUMBER(O133),ISNUMBER(O56)),O133/O56,"n/a")</f>
        <v>0.08500539374325781</v>
      </c>
      <c r="P137" s="18">
        <f>IF(AND(ISNUMBER(P133),ISNUMBER(P56)),P133/P56,"n/a")</f>
        <v>0.11284755512943433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37" t="s">
        <v>103</v>
      </c>
      <c r="C138" s="5">
        <f>IF(AND(ISNUMBER(C137),ISNUMBER(J137)),(C137-J137)*10000,"n/a")</f>
        <v>54.543637343345274</v>
      </c>
      <c r="D138" s="5">
        <f>IF(AND(ISNUMBER(D137),ISNUMBER(K137)),(D137-K137)*10000,"n/a")</f>
        <v>-209.07187392463223</v>
      </c>
      <c r="E138" s="5">
        <f>IF(AND(ISNUMBER(E137),ISNUMBER(L137)),(E137-L137)*10000,"n/a")</f>
        <v>437.5955724033899</v>
      </c>
      <c r="F138" s="5">
        <f>IF(AND(ISNUMBER(F137),ISNUMBER(M137)),(F137-M137)*10000,"n/a")</f>
        <v>116.71362756861703</v>
      </c>
      <c r="G138" s="5">
        <f>IF(AND(ISNUMBER(G137),ISNUMBER(N137)),(G137-N137)*10000,"n/a")</f>
        <v>149.48282419733394</v>
      </c>
      <c r="H138" s="30">
        <f>IF(AND(ISNUMBER(H137),ISNUMBER(C137)),(H137-C137)*10000,"n/a")</f>
        <v>223.4878587196469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37" t="s">
        <v>104</v>
      </c>
      <c r="C139" s="5">
        <f>IF(AND(ISNUMBER(C137),ISNUMBER(M137)),(C137-M137)*10000,"n/a")</f>
        <v>-3.304345757223354</v>
      </c>
      <c r="D139" s="5">
        <f>IF(AND(ISNUMBER(D137),ISNUMBER(C137)),(D137-C137)*10000,"n/a")</f>
        <v>264.13462488880117</v>
      </c>
      <c r="E139" s="5">
        <f>IF(AND(ISNUMBER(E137),ISNUMBER(D137)),(E137-D137)*10000,"n/a")</f>
        <v>238.0131406546329</v>
      </c>
      <c r="F139" s="5">
        <f>IF(AND(ISNUMBER(F137),ISNUMBER(E137)),(F137-E137)*10000,"n/a")</f>
        <v>-382.1297922175937</v>
      </c>
      <c r="G139" s="5" t="s">
        <v>100</v>
      </c>
      <c r="H139" s="30">
        <f>IF(AND(ISNUMBER(H137),ISNUMBER(F137)),(H137-F137)*10000,"n/a")</f>
        <v>103.46988539380652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20" t="s">
        <v>105</v>
      </c>
      <c r="C140" s="18" t="s">
        <v>106</v>
      </c>
      <c r="D140" s="18" t="s">
        <v>106</v>
      </c>
      <c r="E140" s="18" t="s">
        <v>106</v>
      </c>
      <c r="F140" s="18" t="s">
        <v>106</v>
      </c>
      <c r="G140" s="18" t="s">
        <v>106</v>
      </c>
      <c r="H140" s="21" t="s">
        <v>106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20" t="s">
        <v>107</v>
      </c>
      <c r="C141" s="18" t="s">
        <v>106</v>
      </c>
      <c r="D141" s="18" t="s">
        <v>106</v>
      </c>
      <c r="E141" s="18" t="s">
        <v>106</v>
      </c>
      <c r="F141" s="18" t="s">
        <v>106</v>
      </c>
      <c r="G141" s="18" t="s">
        <v>106</v>
      </c>
      <c r="H141" s="21" t="s">
        <v>106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20" t="s">
        <v>108</v>
      </c>
      <c r="C142" s="18" t="str">
        <f>IF(AND(ISNUMBER(C134),ISNUMBER(C140),ISNUMBER(C141)),(1+C134)/((1+C140)*(1+C141))-1,"n/a")</f>
        <v>n/a</v>
      </c>
      <c r="D142" s="18" t="str">
        <f>IF(AND(ISNUMBER(D134),ISNUMBER(D140),ISNUMBER(D141)),(1+D134)/((1+D140)*(1+D141))-1,"n/a")</f>
        <v>n/a</v>
      </c>
      <c r="E142" s="18" t="str">
        <f>IF(AND(ISNUMBER(E134),ISNUMBER(E140),ISNUMBER(E141)),(1+E134)/((1+E140)*(1+E141))-1,"n/a")</f>
        <v>n/a</v>
      </c>
      <c r="F142" s="18" t="str">
        <f>IF(AND(ISNUMBER(F134),ISNUMBER(F140),ISNUMBER(F141)),(1+F134)/((1+F140)*(1+F141))-1,"n/a")</f>
        <v>n/a</v>
      </c>
      <c r="G142" s="18" t="str">
        <f>IF(AND(ISNUMBER(G134),ISNUMBER(G140),ISNUMBER(G141)),(1+G134)/((1+G140)*(1+G141))-1,"n/a")</f>
        <v>n/a</v>
      </c>
      <c r="H142" s="21" t="str">
        <f>IF(AND(ISNUMBER(H134),ISNUMBER(H140),ISNUMBER(H141)),(1+H134)/((1+H140)*(1+H141))-1,"n/a")</f>
        <v>n/a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4" t="s">
        <v>188</v>
      </c>
      <c r="C143" s="3">
        <v>281</v>
      </c>
      <c r="D143" s="2">
        <f>G143-P143</f>
        <v>337</v>
      </c>
      <c r="E143" s="3">
        <v>276</v>
      </c>
      <c r="F143" s="3">
        <v>204</v>
      </c>
      <c r="G143" s="3">
        <v>1065</v>
      </c>
      <c r="H143" s="7">
        <f>H56*H147</f>
        <v>309.41494559999995</v>
      </c>
      <c r="I143" s="1"/>
      <c r="J143" s="3">
        <v>216</v>
      </c>
      <c r="K143" s="2">
        <f>N143-O143</f>
        <v>180</v>
      </c>
      <c r="L143" s="3">
        <v>224</v>
      </c>
      <c r="M143" s="3">
        <v>223</v>
      </c>
      <c r="N143" s="3">
        <v>763</v>
      </c>
      <c r="O143" s="3">
        <v>583</v>
      </c>
      <c r="P143" s="3">
        <v>728</v>
      </c>
      <c r="Q143" s="1"/>
      <c r="R143" s="9" t="s">
        <v>161</v>
      </c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20" t="s">
        <v>98</v>
      </c>
      <c r="C144" s="18">
        <f>IF(AND(ISNUMBER(C143),ISNUMBER(J143)),IF(OR(J143&gt;0,AND(J143&lt;0,C143&lt;0)),C143/J143-1,"n/m"),"n/a")</f>
        <v>0.3009259259259258</v>
      </c>
      <c r="D144" s="18">
        <f>IF(AND(ISNUMBER(D143),ISNUMBER(K143)),IF(OR(K143&gt;0,AND(K143&lt;0,D143&lt;0)),D143/K143-1,"n/m"),"n/a")</f>
        <v>0.8722222222222222</v>
      </c>
      <c r="E144" s="18">
        <f>IF(AND(ISNUMBER(E143),ISNUMBER(L143)),IF(OR(L143&gt;0,AND(L143&lt;0,E143&lt;0)),E143/L143-1,"n/m"),"n/a")</f>
        <v>0.2321428571428572</v>
      </c>
      <c r="F144" s="18">
        <f>IF(AND(ISNUMBER(F143),ISNUMBER(M143)),IF(OR(M143&gt;0,AND(M143&lt;0,F143&lt;0)),F143/M143-1,"n/m"),"n/a")</f>
        <v>-0.08520179372197312</v>
      </c>
      <c r="G144" s="18">
        <f>IF(AND(ISNUMBER(G143),ISNUMBER(N143)),IF(OR(N143&gt;0,AND(N143&lt;0,G143&lt;0)),G143/N143-1,"n/m"),"n/a")</f>
        <v>0.39580602883355187</v>
      </c>
      <c r="H144" s="21">
        <f>IF(AND(ISNUMBER(H143),ISNUMBER(C143)),IF(OR(C143&gt;0,AND(C143&lt;0,H143&lt;0)),H143/C143-1,"n/m"),"n/a")</f>
        <v>0.101120802846975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0" t="s">
        <v>99</v>
      </c>
      <c r="C145" s="18">
        <f>IF(AND(ISNUMBER(C143),ISNUMBER(M143)),IF(OR(M143&gt;0,AND(M143&lt;0,C143&lt;0)),C143/M143-1,"n/m"),"n/a")</f>
        <v>0.2600896860986548</v>
      </c>
      <c r="D145" s="18">
        <f>IF(AND(ISNUMBER(D143),ISNUMBER(C143)),IF(OR(C143&gt;0,AND(C143&lt;0,D143&lt;0)),D143/C143-1,"n/m"),"n/a")</f>
        <v>0.19928825622775803</v>
      </c>
      <c r="E145" s="18">
        <f>IF(AND(ISNUMBER(E143),ISNUMBER(D143)),IF(OR(D143&gt;0,AND(D143&lt;0,E143&lt;0)),E143/D143-1,"n/m"),"n/a")</f>
        <v>-0.18100890207715137</v>
      </c>
      <c r="F145" s="18">
        <f>IF(AND(ISNUMBER(F143),ISNUMBER(E143)),IF(OR(E143&gt;0,AND(E143&lt;0,F143&lt;0)),F143/E143-1,"n/m"),"n/a")</f>
        <v>-0.26086956521739135</v>
      </c>
      <c r="G145" s="18" t="s">
        <v>100</v>
      </c>
      <c r="H145" s="21">
        <f>IF(AND(ISNUMBER(H143),ISNUMBER(F143)),IF(OR(F143&gt;0,AND(F143&lt;0,H143&lt;0)),H143/F143-1,"n/m"),"n/a")</f>
        <v>0.5167399294117645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8" t="s">
        <v>101</v>
      </c>
      <c r="C146" s="2">
        <f>IF(AND(ISNUMBER(C143),ISNUMBER(M143)),C143-M143,"n/a")</f>
        <v>58</v>
      </c>
      <c r="D146" s="2">
        <f>IF(AND(ISNUMBER(D143),ISNUMBER(C143)),D143-C143,"n/a")</f>
        <v>56</v>
      </c>
      <c r="E146" s="2">
        <f>IF(AND(ISNUMBER(E143),ISNUMBER(D143)),E143-D143,"n/a")</f>
        <v>-61</v>
      </c>
      <c r="F146" s="2">
        <f>IF(AND(ISNUMBER(F143),ISNUMBER(E143)),F143-E143,"n/a")</f>
        <v>-72</v>
      </c>
      <c r="G146" s="2" t="s">
        <v>100</v>
      </c>
      <c r="H146" s="7">
        <f>IF(AND(ISNUMBER(H143),ISNUMBER(F143)),H143-F143,"n/a")</f>
        <v>105.41494559999995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20" t="s">
        <v>189</v>
      </c>
      <c r="C147" s="18">
        <f>IF(AND(ISNUMBER(C143),ISNUMBER(C56)),C143/C56,"n/a")</f>
        <v>0.07753863134657836</v>
      </c>
      <c r="D147" s="18">
        <f>IF(AND(ISNUMBER(D143),ISNUMBER(D56)),D143/D56,"n/a")</f>
        <v>0.08383084577114427</v>
      </c>
      <c r="E147" s="18">
        <f>IF(AND(ISNUMBER(E143),ISNUMBER(E56)),E143/E56,"n/a")</f>
        <v>0.07563716086599068</v>
      </c>
      <c r="F147" s="18">
        <f>IF(AND(ISNUMBER(F143),ISNUMBER(F56)),F143/F56,"n/a")</f>
        <v>0.04974396488661302</v>
      </c>
      <c r="G147" s="18">
        <f>IF(AND(ISNUMBER(G143),ISNUMBER(G56)),G143/G56,"n/a")</f>
        <v>0.07370242214532872</v>
      </c>
      <c r="H147" s="32">
        <v>0.072</v>
      </c>
      <c r="I147" s="1"/>
      <c r="J147" s="18">
        <f>IF(AND(ISNUMBER(J143),ISNUMBER(J56)),J143/J56,"n/a")</f>
        <v>0.06803149606299212</v>
      </c>
      <c r="K147" s="18">
        <f>IF(AND(ISNUMBER(K143),ISNUMBER(K56)),K143/K56,"n/a")</f>
        <v>0.05275498241500586</v>
      </c>
      <c r="L147" s="18">
        <f>IF(AND(ISNUMBER(L143),ISNUMBER(L56)),L143/L56,"n/a")</f>
        <v>0.06640972428105545</v>
      </c>
      <c r="M147" s="18">
        <f>IF(AND(ISNUMBER(M143),ISNUMBER(M56)),M143/M56,"n/a")</f>
        <v>0.06495776288960094</v>
      </c>
      <c r="N147" s="18">
        <f>IF(AND(ISNUMBER(N143),ISNUMBER(N56)),N143/N56,"n/a")</f>
        <v>0.06016401198549125</v>
      </c>
      <c r="O147" s="18">
        <f>IF(AND(ISNUMBER(O143),ISNUMBER(O56)),O143/O56,"n/a")</f>
        <v>0.06289104638619201</v>
      </c>
      <c r="P147" s="18">
        <f>IF(AND(ISNUMBER(P143),ISNUMBER(P56)),P143/P56,"n/a")</f>
        <v>0.0697986577181208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37" t="s">
        <v>103</v>
      </c>
      <c r="C148" s="5">
        <f>IF(AND(ISNUMBER(C147),ISNUMBER(J147)),(C147-J147)*10000,"n/a")</f>
        <v>95.07135283586237</v>
      </c>
      <c r="D148" s="5">
        <f>IF(AND(ISNUMBER(D147),ISNUMBER(K147)),(D147-K147)*10000,"n/a")</f>
        <v>310.7586335613841</v>
      </c>
      <c r="E148" s="5">
        <f>IF(AND(ISNUMBER(E147),ISNUMBER(L147)),(E147-L147)*10000,"n/a")</f>
        <v>92.27436584935231</v>
      </c>
      <c r="F148" s="5">
        <f>IF(AND(ISNUMBER(F147),ISNUMBER(M147)),(F147-M147)*10000,"n/a")</f>
        <v>-152.13798002987917</v>
      </c>
      <c r="G148" s="5">
        <f>IF(AND(ISNUMBER(G147),ISNUMBER(N147)),(G147-N147)*10000,"n/a")</f>
        <v>135.38410159837477</v>
      </c>
      <c r="H148" s="30">
        <f>IF(AND(ISNUMBER(H147),ISNUMBER(C147)),(H147-C147)*10000,"n/a")</f>
        <v>-55.38631346578365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37" t="s">
        <v>104</v>
      </c>
      <c r="C149" s="5">
        <f>IF(AND(ISNUMBER(C147),ISNUMBER(M147)),(C147-M147)*10000,"n/a")</f>
        <v>125.80868456977423</v>
      </c>
      <c r="D149" s="5">
        <f>IF(AND(ISNUMBER(D147),ISNUMBER(C147)),(D147-C147)*10000,"n/a")</f>
        <v>62.92214424565915</v>
      </c>
      <c r="E149" s="5">
        <f>IF(AND(ISNUMBER(E147),ISNUMBER(D147)),(E147-D147)*10000,"n/a")</f>
        <v>-81.93684905153597</v>
      </c>
      <c r="F149" s="5">
        <f>IF(AND(ISNUMBER(F147),ISNUMBER(E147)),(F147-E147)*10000,"n/a")</f>
        <v>-258.93195979377657</v>
      </c>
      <c r="G149" s="5" t="s">
        <v>100</v>
      </c>
      <c r="H149" s="30">
        <f>IF(AND(ISNUMBER(H147),ISNUMBER(F147)),(H147-F147)*10000,"n/a")</f>
        <v>222.56035113386974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20" t="s">
        <v>105</v>
      </c>
      <c r="C150" s="18" t="s">
        <v>106</v>
      </c>
      <c r="D150" s="18" t="s">
        <v>106</v>
      </c>
      <c r="E150" s="18" t="s">
        <v>106</v>
      </c>
      <c r="F150" s="18" t="s">
        <v>106</v>
      </c>
      <c r="G150" s="18" t="s">
        <v>106</v>
      </c>
      <c r="H150" s="21" t="s">
        <v>106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20" t="s">
        <v>107</v>
      </c>
      <c r="C151" s="18" t="s">
        <v>106</v>
      </c>
      <c r="D151" s="18" t="s">
        <v>106</v>
      </c>
      <c r="E151" s="18" t="s">
        <v>106</v>
      </c>
      <c r="F151" s="18" t="s">
        <v>106</v>
      </c>
      <c r="G151" s="18" t="s">
        <v>106</v>
      </c>
      <c r="H151" s="21" t="s">
        <v>106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20" t="s">
        <v>108</v>
      </c>
      <c r="C152" s="18" t="str">
        <f>IF(AND(ISNUMBER(C144),ISNUMBER(C150),ISNUMBER(C151)),(1+C144)/((1+C150)*(1+C151))-1,"n/a")</f>
        <v>n/a</v>
      </c>
      <c r="D152" s="18" t="str">
        <f>IF(AND(ISNUMBER(D144),ISNUMBER(D150),ISNUMBER(D151)),(1+D144)/((1+D150)*(1+D151))-1,"n/a")</f>
        <v>n/a</v>
      </c>
      <c r="E152" s="18" t="str">
        <f>IF(AND(ISNUMBER(E144),ISNUMBER(E150),ISNUMBER(E151)),(1+E144)/((1+E150)*(1+E151))-1,"n/a")</f>
        <v>n/a</v>
      </c>
      <c r="F152" s="18" t="str">
        <f>IF(AND(ISNUMBER(F144),ISNUMBER(F150),ISNUMBER(F151)),(1+F144)/((1+F150)*(1+F151))-1,"n/a")</f>
        <v>n/a</v>
      </c>
      <c r="G152" s="18" t="str">
        <f>IF(AND(ISNUMBER(G144),ISNUMBER(G150),ISNUMBER(G151)),(1+G144)/((1+G150)*(1+G151))-1,"n/a")</f>
        <v>n/a</v>
      </c>
      <c r="H152" s="21" t="str">
        <f>IF(AND(ISNUMBER(H144),ISNUMBER(H150),ISNUMBER(H151)),(1+H144)/((1+H150)*(1+H151))-1,"n/a")</f>
        <v>n/a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4" t="s">
        <v>190</v>
      </c>
      <c r="C153" s="3">
        <v>295</v>
      </c>
      <c r="D153" s="2">
        <f>G153-P153</f>
        <v>371</v>
      </c>
      <c r="E153" s="3">
        <v>390</v>
      </c>
      <c r="F153" s="3">
        <v>127</v>
      </c>
      <c r="G153" s="3">
        <v>1383</v>
      </c>
      <c r="H153" s="7">
        <f>H56*H157</f>
        <v>335.1995244</v>
      </c>
      <c r="I153" s="1"/>
      <c r="J153" s="3">
        <v>333</v>
      </c>
      <c r="K153" s="2">
        <f>N153-O153</f>
        <v>320</v>
      </c>
      <c r="L153" s="3">
        <v>342</v>
      </c>
      <c r="M153" s="3">
        <v>375</v>
      </c>
      <c r="N153" s="3">
        <v>1473</v>
      </c>
      <c r="O153" s="3">
        <v>1153</v>
      </c>
      <c r="P153" s="3">
        <v>1012</v>
      </c>
      <c r="Q153" s="1"/>
      <c r="R153" s="9" t="s">
        <v>161</v>
      </c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20" t="s">
        <v>98</v>
      </c>
      <c r="C154" s="18">
        <f>IF(AND(ISNUMBER(C153),ISNUMBER(J153)),IF(OR(J153&gt;0,AND(J153&lt;0,C153&lt;0)),C153/J153-1,"n/m"),"n/a")</f>
        <v>-0.1141141141141141</v>
      </c>
      <c r="D154" s="18">
        <f>IF(AND(ISNUMBER(D153),ISNUMBER(K153)),IF(OR(K153&gt;0,AND(K153&lt;0,D153&lt;0)),D153/K153-1,"n/m"),"n/a")</f>
        <v>0.15937500000000004</v>
      </c>
      <c r="E154" s="18">
        <f>IF(AND(ISNUMBER(E153),ISNUMBER(L153)),IF(OR(L153&gt;0,AND(L153&lt;0,E153&lt;0)),E153/L153-1,"n/m"),"n/a")</f>
        <v>0.14035087719298245</v>
      </c>
      <c r="F154" s="18">
        <f>IF(AND(ISNUMBER(F153),ISNUMBER(M153)),IF(OR(M153&gt;0,AND(M153&lt;0,F153&lt;0)),F153/M153-1,"n/m"),"n/a")</f>
        <v>-0.6613333333333333</v>
      </c>
      <c r="G154" s="18">
        <f>IF(AND(ISNUMBER(G153),ISNUMBER(N153)),IF(OR(N153&gt;0,AND(N153&lt;0,G153&lt;0)),G153/N153-1,"n/m"),"n/a")</f>
        <v>-0.06109979633401219</v>
      </c>
      <c r="H154" s="21">
        <f>IF(AND(ISNUMBER(H153),ISNUMBER(C153)),IF(OR(C153&gt;0,AND(C153&lt;0,H153&lt;0)),H153/C153-1,"n/m"),"n/a")</f>
        <v>0.13626957423728814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20" t="s">
        <v>99</v>
      </c>
      <c r="C155" s="18">
        <f>IF(AND(ISNUMBER(C153),ISNUMBER(M153)),IF(OR(M153&gt;0,AND(M153&lt;0,C153&lt;0)),C153/M153-1,"n/m"),"n/a")</f>
        <v>-0.21333333333333337</v>
      </c>
      <c r="D155" s="18">
        <f>IF(AND(ISNUMBER(D153),ISNUMBER(C153)),IF(OR(C153&gt;0,AND(C153&lt;0,D153&lt;0)),D153/C153-1,"n/m"),"n/a")</f>
        <v>0.25762711864406773</v>
      </c>
      <c r="E155" s="18">
        <f>IF(AND(ISNUMBER(E153),ISNUMBER(D153)),IF(OR(D153&gt;0,AND(D153&lt;0,E153&lt;0)),E153/D153-1,"n/m"),"n/a")</f>
        <v>0.05121293800539073</v>
      </c>
      <c r="F155" s="18">
        <f>IF(AND(ISNUMBER(F153),ISNUMBER(E153)),IF(OR(E153&gt;0,AND(E153&lt;0,F153&lt;0)),F153/E153-1,"n/m"),"n/a")</f>
        <v>-0.6743589743589744</v>
      </c>
      <c r="G155" s="18" t="s">
        <v>100</v>
      </c>
      <c r="H155" s="21">
        <f>IF(AND(ISNUMBER(H153),ISNUMBER(F153)),IF(OR(F153&gt;0,AND(F153&lt;0,H153&lt;0)),H153/F153-1,"n/m"),"n/a")</f>
        <v>1.6393663338582676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8" t="s">
        <v>101</v>
      </c>
      <c r="C156" s="2">
        <f>IF(AND(ISNUMBER(C153),ISNUMBER(M153)),C153-M153,"n/a")</f>
        <v>-80</v>
      </c>
      <c r="D156" s="2">
        <f>IF(AND(ISNUMBER(D153),ISNUMBER(C153)),D153-C153,"n/a")</f>
        <v>76</v>
      </c>
      <c r="E156" s="2">
        <f>IF(AND(ISNUMBER(E153),ISNUMBER(D153)),E153-D153,"n/a")</f>
        <v>19</v>
      </c>
      <c r="F156" s="2">
        <f>IF(AND(ISNUMBER(F153),ISNUMBER(E153)),F153-E153,"n/a")</f>
        <v>-263</v>
      </c>
      <c r="G156" s="2" t="s">
        <v>100</v>
      </c>
      <c r="H156" s="7">
        <f>IF(AND(ISNUMBER(H153),ISNUMBER(F153)),H153-F153,"n/a")</f>
        <v>208.19952439999997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20" t="s">
        <v>191</v>
      </c>
      <c r="C157" s="18">
        <f>IF(AND(ISNUMBER(C153),ISNUMBER(C56)),C153/C56,"n/a")</f>
        <v>0.08140176600441501</v>
      </c>
      <c r="D157" s="18">
        <f>IF(AND(ISNUMBER(D153),ISNUMBER(D56)),D153/D56,"n/a")</f>
        <v>0.09228855721393035</v>
      </c>
      <c r="E157" s="18">
        <f>IF(AND(ISNUMBER(E153),ISNUMBER(E56)),E153/E56,"n/a")</f>
        <v>0.1068785968758564</v>
      </c>
      <c r="F157" s="18">
        <f>IF(AND(ISNUMBER(F153),ISNUMBER(F56)),F153/F56,"n/a")</f>
        <v>0.030968056571567912</v>
      </c>
      <c r="G157" s="18">
        <f>IF(AND(ISNUMBER(G153),ISNUMBER(G56)),G153/G56,"n/a")</f>
        <v>0.09570934256055363</v>
      </c>
      <c r="H157" s="32">
        <v>0.078</v>
      </c>
      <c r="I157" s="1"/>
      <c r="J157" s="18">
        <f>IF(AND(ISNUMBER(J153),ISNUMBER(J56)),J153/J56,"n/a")</f>
        <v>0.10488188976377953</v>
      </c>
      <c r="K157" s="18">
        <f>IF(AND(ISNUMBER(K153),ISNUMBER(K56)),K153/K56,"n/a")</f>
        <v>0.09378663540445487</v>
      </c>
      <c r="L157" s="18">
        <f>IF(AND(ISNUMBER(L153),ISNUMBER(L56)),L153/L56,"n/a")</f>
        <v>0.10139341832196858</v>
      </c>
      <c r="M157" s="18">
        <f>IF(AND(ISNUMBER(M153),ISNUMBER(M56)),M153/M56,"n/a")</f>
        <v>0.10923390620448588</v>
      </c>
      <c r="N157" s="18">
        <f>IF(AND(ISNUMBER(N153),ISNUMBER(N56)),N153/N56,"n/a")</f>
        <v>0.11614887241759975</v>
      </c>
      <c r="O157" s="18">
        <f>IF(AND(ISNUMBER(O153),ISNUMBER(O56)),O153/O56,"n/a")</f>
        <v>0.1243797195253506</v>
      </c>
      <c r="P157" s="18">
        <f>IF(AND(ISNUMBER(P153),ISNUMBER(P56)),P153/P56,"n/a")</f>
        <v>0.09702780441035475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37" t="s">
        <v>103</v>
      </c>
      <c r="C158" s="5">
        <f>IF(AND(ISNUMBER(C157),ISNUMBER(J157)),(C157-J157)*10000,"n/a")</f>
        <v>-234.80123759364523</v>
      </c>
      <c r="D158" s="5">
        <f>IF(AND(ISNUMBER(D157),ISNUMBER(K157)),(D157-K157)*10000,"n/a")</f>
        <v>-14.980781905245127</v>
      </c>
      <c r="E158" s="5">
        <f>IF(AND(ISNUMBER(E157),ISNUMBER(L157)),(E157-L157)*10000,"n/a")</f>
        <v>54.851785538878175</v>
      </c>
      <c r="F158" s="5">
        <f>IF(AND(ISNUMBER(F157),ISNUMBER(M157)),(F157-M157)*10000,"n/a")</f>
        <v>-782.6584963291797</v>
      </c>
      <c r="G158" s="5">
        <f>IF(AND(ISNUMBER(G157),ISNUMBER(N157)),(G157-N157)*10000,"n/a")</f>
        <v>-204.39529857046114</v>
      </c>
      <c r="H158" s="30">
        <f>IF(AND(ISNUMBER(H157),ISNUMBER(C157)),(H157-C157)*10000,"n/a")</f>
        <v>-34.017660044150105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37" t="s">
        <v>104</v>
      </c>
      <c r="C159" s="5">
        <f>IF(AND(ISNUMBER(C157),ISNUMBER(M157)),(C157-M157)*10000,"n/a")</f>
        <v>-278.3214020007087</v>
      </c>
      <c r="D159" s="5">
        <f>IF(AND(ISNUMBER(D157),ISNUMBER(C157)),(D157-C157)*10000,"n/a")</f>
        <v>108.86791209515343</v>
      </c>
      <c r="E159" s="5">
        <f>IF(AND(ISNUMBER(E157),ISNUMBER(D157)),(E157-D157)*10000,"n/a")</f>
        <v>145.90039661926042</v>
      </c>
      <c r="F159" s="5">
        <f>IF(AND(ISNUMBER(F157),ISNUMBER(E157)),(F157-E157)*10000,"n/a")</f>
        <v>-759.1054030428849</v>
      </c>
      <c r="G159" s="5" t="s">
        <v>100</v>
      </c>
      <c r="H159" s="30">
        <f>IF(AND(ISNUMBER(H157),ISNUMBER(F157)),(H157-F157)*10000,"n/a")</f>
        <v>470.3194342843209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20" t="s">
        <v>105</v>
      </c>
      <c r="C160" s="18" t="s">
        <v>106</v>
      </c>
      <c r="D160" s="18" t="s">
        <v>106</v>
      </c>
      <c r="E160" s="18" t="s">
        <v>106</v>
      </c>
      <c r="F160" s="18" t="s">
        <v>106</v>
      </c>
      <c r="G160" s="18" t="s">
        <v>106</v>
      </c>
      <c r="H160" s="21" t="s">
        <v>106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20" t="s">
        <v>107</v>
      </c>
      <c r="C161" s="18" t="s">
        <v>106</v>
      </c>
      <c r="D161" s="18" t="s">
        <v>106</v>
      </c>
      <c r="E161" s="18" t="s">
        <v>106</v>
      </c>
      <c r="F161" s="18" t="s">
        <v>106</v>
      </c>
      <c r="G161" s="18" t="s">
        <v>106</v>
      </c>
      <c r="H161" s="21" t="s">
        <v>106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20" t="s">
        <v>108</v>
      </c>
      <c r="C162" s="18" t="str">
        <f>IF(AND(ISNUMBER(C154),ISNUMBER(C160),ISNUMBER(C161)),(1+C154)/((1+C160)*(1+C161))-1,"n/a")</f>
        <v>n/a</v>
      </c>
      <c r="D162" s="18" t="str">
        <f>IF(AND(ISNUMBER(D154),ISNUMBER(D160),ISNUMBER(D161)),(1+D154)/((1+D160)*(1+D161))-1,"n/a")</f>
        <v>n/a</v>
      </c>
      <c r="E162" s="18" t="str">
        <f>IF(AND(ISNUMBER(E154),ISNUMBER(E160),ISNUMBER(E161)),(1+E154)/((1+E160)*(1+E161))-1,"n/a")</f>
        <v>n/a</v>
      </c>
      <c r="F162" s="18" t="str">
        <f>IF(AND(ISNUMBER(F154),ISNUMBER(F160),ISNUMBER(F161)),(1+F154)/((1+F160)*(1+F161))-1,"n/a")</f>
        <v>n/a</v>
      </c>
      <c r="G162" s="18" t="str">
        <f>IF(AND(ISNUMBER(G154),ISNUMBER(G160),ISNUMBER(G161)),(1+G154)/((1+G160)*(1+G161))-1,"n/a")</f>
        <v>n/a</v>
      </c>
      <c r="H162" s="21" t="str">
        <f>IF(AND(ISNUMBER(H154),ISNUMBER(H160),ISNUMBER(H161)),(1+H154)/((1+H160)*(1+H161))-1,"n/a")</f>
        <v>n/a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4" t="s">
        <v>192</v>
      </c>
      <c r="C163" s="3">
        <v>12</v>
      </c>
      <c r="D163" s="2">
        <f>G163-P163</f>
        <v>29</v>
      </c>
      <c r="E163" s="3">
        <v>24</v>
      </c>
      <c r="F163" s="3">
        <v>32</v>
      </c>
      <c r="G163" s="3">
        <v>69</v>
      </c>
      <c r="H163" s="7">
        <f>H56-H123-H133-H143-H153</f>
        <v>25.78457880000002</v>
      </c>
      <c r="I163" s="1"/>
      <c r="J163" s="3">
        <v>18</v>
      </c>
      <c r="K163" s="2">
        <f>N163-O163</f>
        <v>9</v>
      </c>
      <c r="L163" s="3">
        <v>17</v>
      </c>
      <c r="M163" s="3">
        <v>11</v>
      </c>
      <c r="N163" s="3">
        <v>66</v>
      </c>
      <c r="O163" s="3">
        <v>57</v>
      </c>
      <c r="P163" s="3">
        <v>40</v>
      </c>
      <c r="Q163" s="1"/>
      <c r="R163" s="9" t="s">
        <v>161</v>
      </c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20" t="s">
        <v>98</v>
      </c>
      <c r="C164" s="18">
        <f>IF(AND(ISNUMBER(C163),ISNUMBER(J163)),IF(OR(J163&gt;0,AND(J163&lt;0,C163&lt;0)),C163/J163-1,"n/m"),"n/a")</f>
        <v>-0.33333333333333337</v>
      </c>
      <c r="D164" s="18">
        <f>IF(AND(ISNUMBER(D163),ISNUMBER(K163)),IF(OR(K163&gt;0,AND(K163&lt;0,D163&lt;0)),D163/K163-1,"n/m"),"n/a")</f>
        <v>2.2222222222222223</v>
      </c>
      <c r="E164" s="18">
        <f>IF(AND(ISNUMBER(E163),ISNUMBER(L163)),IF(OR(L163&gt;0,AND(L163&lt;0,E163&lt;0)),E163/L163-1,"n/m"),"n/a")</f>
        <v>0.41176470588235303</v>
      </c>
      <c r="F164" s="18">
        <f>IF(AND(ISNUMBER(F163),ISNUMBER(M163)),IF(OR(M163&gt;0,AND(M163&lt;0,F163&lt;0)),F163/M163-1,"n/m"),"n/a")</f>
        <v>1.9090909090909092</v>
      </c>
      <c r="G164" s="18">
        <f>IF(AND(ISNUMBER(G163),ISNUMBER(N163)),IF(OR(N163&gt;0,AND(N163&lt;0,G163&lt;0)),G163/N163-1,"n/m"),"n/a")</f>
        <v>0.045454545454545414</v>
      </c>
      <c r="H164" s="21">
        <f>IF(AND(ISNUMBER(H163),ISNUMBER(C163)),IF(OR(C163&gt;0,AND(C163&lt;0,H163&lt;0)),H163/C163-1,"n/m"),"n/a")</f>
        <v>1.1487149000000016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20" t="s">
        <v>99</v>
      </c>
      <c r="C165" s="18">
        <f>IF(AND(ISNUMBER(C163),ISNUMBER(M163)),IF(OR(M163&gt;0,AND(M163&lt;0,C163&lt;0)),C163/M163-1,"n/m"),"n/a")</f>
        <v>0.09090909090909083</v>
      </c>
      <c r="D165" s="18">
        <f>IF(AND(ISNUMBER(D163),ISNUMBER(C163)),IF(OR(C163&gt;0,AND(C163&lt;0,D163&lt;0)),D163/C163-1,"n/m"),"n/a")</f>
        <v>1.4166666666666665</v>
      </c>
      <c r="E165" s="18">
        <f>IF(AND(ISNUMBER(E163),ISNUMBER(D163)),IF(OR(D163&gt;0,AND(D163&lt;0,E163&lt;0)),E163/D163-1,"n/m"),"n/a")</f>
        <v>-0.1724137931034483</v>
      </c>
      <c r="F165" s="18">
        <f>IF(AND(ISNUMBER(F163),ISNUMBER(E163)),IF(OR(E163&gt;0,AND(E163&lt;0,F163&lt;0)),F163/E163-1,"n/m"),"n/a")</f>
        <v>0.33333333333333326</v>
      </c>
      <c r="G165" s="18" t="s">
        <v>100</v>
      </c>
      <c r="H165" s="21">
        <f>IF(AND(ISNUMBER(H163),ISNUMBER(F163)),IF(OR(F163&gt;0,AND(F163&lt;0,H163&lt;0)),H163/F163-1,"n/m"),"n/a")</f>
        <v>-0.19423191249999938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8" t="s">
        <v>101</v>
      </c>
      <c r="C166" s="2">
        <f>IF(AND(ISNUMBER(C163),ISNUMBER(M163)),C163-M163,"n/a")</f>
        <v>1</v>
      </c>
      <c r="D166" s="2">
        <f>IF(AND(ISNUMBER(D163),ISNUMBER(C163)),D163-C163,"n/a")</f>
        <v>17</v>
      </c>
      <c r="E166" s="2">
        <f>IF(AND(ISNUMBER(E163),ISNUMBER(D163)),E163-D163,"n/a")</f>
        <v>-5</v>
      </c>
      <c r="F166" s="2">
        <f>IF(AND(ISNUMBER(F163),ISNUMBER(E163)),F163-E163,"n/a")</f>
        <v>8</v>
      </c>
      <c r="G166" s="2" t="s">
        <v>100</v>
      </c>
      <c r="H166" s="7">
        <f>IF(AND(ISNUMBER(H163),ISNUMBER(F163)),H163-F163,"n/a")</f>
        <v>-6.21542119999998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20" t="s">
        <v>193</v>
      </c>
      <c r="C167" s="18">
        <f>IF(AND(ISNUMBER(C163),ISNUMBER(C56)),C163/C56,"n/a")</f>
        <v>0.0033112582781456954</v>
      </c>
      <c r="D167" s="18">
        <f>IF(AND(ISNUMBER(D163),ISNUMBER(D56)),D163/D56,"n/a")</f>
        <v>0.007213930348258706</v>
      </c>
      <c r="E167" s="18">
        <f>IF(AND(ISNUMBER(E163),ISNUMBER(E56)),E163/E56,"n/a")</f>
        <v>0.006577144423129624</v>
      </c>
      <c r="F167" s="18">
        <f>IF(AND(ISNUMBER(F163),ISNUMBER(F56)),F163/F56,"n/a")</f>
        <v>0.007802974884174592</v>
      </c>
      <c r="G167" s="18">
        <f>IF(AND(ISNUMBER(G163),ISNUMBER(G56)),G163/G56,"n/a")</f>
        <v>0.004775086505190311</v>
      </c>
      <c r="H167" s="21">
        <f>IF(AND(ISNUMBER(H163),ISNUMBER(H56)),H163/H56,"n/a")</f>
        <v>0.0060000000000000045</v>
      </c>
      <c r="I167" s="1"/>
      <c r="J167" s="18">
        <f>IF(AND(ISNUMBER(J163),ISNUMBER(J56)),J163/J56,"n/a")</f>
        <v>0.005669291338582677</v>
      </c>
      <c r="K167" s="18">
        <f>IF(AND(ISNUMBER(K163),ISNUMBER(K56)),K163/K56,"n/a")</f>
        <v>0.002637749120750293</v>
      </c>
      <c r="L167" s="18">
        <f>IF(AND(ISNUMBER(L163),ISNUMBER(L56)),L163/L56,"n/a")</f>
        <v>0.005040023717758672</v>
      </c>
      <c r="M167" s="18">
        <f>IF(AND(ISNUMBER(M163),ISNUMBER(M56)),M163/M56,"n/a")</f>
        <v>0.003204194581998252</v>
      </c>
      <c r="N167" s="18">
        <f>IF(AND(ISNUMBER(N163),ISNUMBER(N56)),N163/N56,"n/a")</f>
        <v>0.005204226462703044</v>
      </c>
      <c r="O167" s="18">
        <f>IF(AND(ISNUMBER(O163),ISNUMBER(O56)),O163/O56,"n/a")</f>
        <v>0.006148867313915857</v>
      </c>
      <c r="P167" s="18">
        <f>IF(AND(ISNUMBER(P163),ISNUMBER(P56)),P163/P56,"n/a")</f>
        <v>0.003835091083413231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37" t="s">
        <v>103</v>
      </c>
      <c r="C168" s="5">
        <f>IF(AND(ISNUMBER(C167),ISNUMBER(J167)),(C167-J167)*10000,"n/a")</f>
        <v>-23.58033060436982</v>
      </c>
      <c r="D168" s="5">
        <f>IF(AND(ISNUMBER(D167),ISNUMBER(K167)),(D167-K167)*10000,"n/a")</f>
        <v>45.76181227508413</v>
      </c>
      <c r="E168" s="5">
        <f>IF(AND(ISNUMBER(E167),ISNUMBER(L167)),(E167-L167)*10000,"n/a")</f>
        <v>15.37120705370952</v>
      </c>
      <c r="F168" s="5">
        <f>IF(AND(ISNUMBER(F167),ISNUMBER(M167)),(F167-M167)*10000,"n/a")</f>
        <v>45.9878030217634</v>
      </c>
      <c r="G168" s="5">
        <f>IF(AND(ISNUMBER(G167),ISNUMBER(N167)),(G167-N167)*10000,"n/a")</f>
        <v>-4.2913995751273255</v>
      </c>
      <c r="H168" s="30">
        <f>IF(AND(ISNUMBER(H167),ISNUMBER(C167)),(H167-C167)*10000,"n/a")</f>
        <v>26.887417218543092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37" t="s">
        <v>104</v>
      </c>
      <c r="C169" s="5">
        <f>IF(AND(ISNUMBER(C167),ISNUMBER(M167)),(C167-M167)*10000,"n/a")</f>
        <v>1.070636961474432</v>
      </c>
      <c r="D169" s="5">
        <f>IF(AND(ISNUMBER(D167),ISNUMBER(C167)),(D167-C167)*10000,"n/a")</f>
        <v>39.02672070113011</v>
      </c>
      <c r="E169" s="5">
        <f>IF(AND(ISNUMBER(E167),ISNUMBER(D167)),(E167-D167)*10000,"n/a")</f>
        <v>-6.367859251290818</v>
      </c>
      <c r="F169" s="5">
        <f>IF(AND(ISNUMBER(F167),ISNUMBER(E167)),(F167-E167)*10000,"n/a")</f>
        <v>12.258304610449676</v>
      </c>
      <c r="G169" s="5" t="s">
        <v>100</v>
      </c>
      <c r="H169" s="30">
        <f>IF(AND(ISNUMBER(H167),ISNUMBER(F167)),(H167-F167)*10000,"n/a")</f>
        <v>-18.029748841745874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20" t="s">
        <v>105</v>
      </c>
      <c r="C170" s="18" t="s">
        <v>106</v>
      </c>
      <c r="D170" s="18" t="s">
        <v>106</v>
      </c>
      <c r="E170" s="18" t="s">
        <v>106</v>
      </c>
      <c r="F170" s="18" t="s">
        <v>106</v>
      </c>
      <c r="G170" s="18" t="s">
        <v>106</v>
      </c>
      <c r="H170" s="21" t="s">
        <v>106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20" t="s">
        <v>107</v>
      </c>
      <c r="C171" s="18" t="s">
        <v>106</v>
      </c>
      <c r="D171" s="18" t="s">
        <v>106</v>
      </c>
      <c r="E171" s="18" t="s">
        <v>106</v>
      </c>
      <c r="F171" s="18" t="s">
        <v>106</v>
      </c>
      <c r="G171" s="18" t="s">
        <v>106</v>
      </c>
      <c r="H171" s="21" t="s">
        <v>106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20" t="s">
        <v>108</v>
      </c>
      <c r="C172" s="18" t="str">
        <f>IF(AND(ISNUMBER(C164),ISNUMBER(C170),ISNUMBER(C171)),(1+C164)/((1+C170)*(1+C171))-1,"n/a")</f>
        <v>n/a</v>
      </c>
      <c r="D172" s="18" t="str">
        <f>IF(AND(ISNUMBER(D164),ISNUMBER(D170),ISNUMBER(D171)),(1+D164)/((1+D170)*(1+D171))-1,"n/a")</f>
        <v>n/a</v>
      </c>
      <c r="E172" s="18" t="str">
        <f>IF(AND(ISNUMBER(E164),ISNUMBER(E170),ISNUMBER(E171)),(1+E164)/((1+E170)*(1+E171))-1,"n/a")</f>
        <v>n/a</v>
      </c>
      <c r="F172" s="18" t="str">
        <f>IF(AND(ISNUMBER(F164),ISNUMBER(F170),ISNUMBER(F171)),(1+F164)/((1+F170)*(1+F171))-1,"n/a")</f>
        <v>n/a</v>
      </c>
      <c r="G172" s="18" t="str">
        <f>IF(AND(ISNUMBER(G164),ISNUMBER(G170),ISNUMBER(G171)),(1+G164)/((1+G170)*(1+G171))-1,"n/a")</f>
        <v>n/a</v>
      </c>
      <c r="H172" s="21" t="str">
        <f>IF(AND(ISNUMBER(H164),ISNUMBER(H170),ISNUMBER(H171)),(1+H164)/((1+H170)*(1+H171))-1,"n/a")</f>
        <v>n/a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46" t="s">
        <v>194</v>
      </c>
      <c r="C173" s="14">
        <f>C123+C133+C143+C153+C163</f>
        <v>3624</v>
      </c>
      <c r="D173" s="14">
        <f>D123+D133+D143+D153+D163</f>
        <v>4020</v>
      </c>
      <c r="E173" s="14">
        <f>E123+E133+E143+E153+E163</f>
        <v>3649</v>
      </c>
      <c r="F173" s="14">
        <f>F123+F133+F143+F153+F163</f>
        <v>4101</v>
      </c>
      <c r="G173" s="14">
        <f>G123+G133+G143+G153+G163</f>
        <v>14450</v>
      </c>
      <c r="H173" s="48">
        <f>H123+H133+H143+H153+H163</f>
        <v>4297.429800000001</v>
      </c>
      <c r="I173" s="1"/>
      <c r="J173" s="14">
        <f>J123+J133+J143+J153+J163</f>
        <v>3175</v>
      </c>
      <c r="K173" s="14">
        <f>K123+K133+K143+K153+K163</f>
        <v>3412</v>
      </c>
      <c r="L173" s="14">
        <f>L123+L133+L143+L153+L163</f>
        <v>3373</v>
      </c>
      <c r="M173" s="14">
        <f>M123+M133+M143+M153+M163</f>
        <v>3433</v>
      </c>
      <c r="N173" s="14">
        <f>N123+N133+N143+N153+N163</f>
        <v>12682</v>
      </c>
      <c r="O173" s="14">
        <f>O123+O133+O143+O153+O163</f>
        <v>9270</v>
      </c>
      <c r="P173" s="14">
        <f>P123+P133+P143+P153+P163</f>
        <v>10430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1" t="s">
        <v>195</v>
      </c>
      <c r="C174" s="19">
        <f>C173-C56</f>
        <v>0</v>
      </c>
      <c r="D174" s="19">
        <f>D173-D56</f>
        <v>0</v>
      </c>
      <c r="E174" s="19">
        <f>E173-E56</f>
        <v>0</v>
      </c>
      <c r="F174" s="19">
        <f>F173-F56</f>
        <v>0</v>
      </c>
      <c r="G174" s="19">
        <f>G173-G56</f>
        <v>0</v>
      </c>
      <c r="H174" s="49">
        <f>H173-H56</f>
        <v>0</v>
      </c>
      <c r="I174" s="1"/>
      <c r="J174" s="19">
        <f>J173-J56</f>
        <v>0</v>
      </c>
      <c r="K174" s="19">
        <f>K173-K56</f>
        <v>0</v>
      </c>
      <c r="L174" s="19">
        <f>L173-L56</f>
        <v>0</v>
      </c>
      <c r="M174" s="19">
        <f>M173-M56</f>
        <v>0</v>
      </c>
      <c r="N174" s="19">
        <f>N173-N56</f>
        <v>0</v>
      </c>
      <c r="O174" s="19">
        <f>O173-O56</f>
        <v>0</v>
      </c>
      <c r="P174" s="19">
        <f>P173-P56</f>
        <v>0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3" t="s">
        <v>118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46" t="s">
        <v>118</v>
      </c>
      <c r="C177" s="36">
        <v>510</v>
      </c>
      <c r="D177" s="36">
        <v>535</v>
      </c>
      <c r="E177" s="36">
        <v>500</v>
      </c>
      <c r="F177" s="36">
        <v>594</v>
      </c>
      <c r="G177" s="39">
        <f>P177+D177</f>
        <v>1989</v>
      </c>
      <c r="H177" s="65">
        <f>H56*H180</f>
        <v>580.1530230000001</v>
      </c>
      <c r="I177" s="1"/>
      <c r="J177" s="36">
        <v>456</v>
      </c>
      <c r="K177" s="36">
        <v>-804</v>
      </c>
      <c r="L177" s="36">
        <v>465</v>
      </c>
      <c r="M177" s="36">
        <v>479</v>
      </c>
      <c r="N177" s="39">
        <f>O177+K177</f>
        <v>413</v>
      </c>
      <c r="O177" s="36">
        <v>1217</v>
      </c>
      <c r="P177" s="36">
        <v>1454</v>
      </c>
      <c r="Q177" s="1"/>
      <c r="R177" s="9" t="s">
        <v>196</v>
      </c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25" t="s">
        <v>98</v>
      </c>
      <c r="C178" s="18">
        <f>IF(AND(ISNUMBER(C177),ISNUMBER(J177)),IF(OR(J177&gt;0,AND(J177&lt;0,C177&lt;0)),C177/J177-1,"n/m"),"n/a")</f>
        <v>0.11842105263157898</v>
      </c>
      <c r="D178" s="18" t="str">
        <f>IF(AND(ISNUMBER(D177),ISNUMBER(K177)),IF(OR(K177&gt;0,AND(K177&lt;0,D177&lt;0)),D177/K177-1,"n/m"),"n/a")</f>
        <v>n/m</v>
      </c>
      <c r="E178" s="18">
        <f>IF(AND(ISNUMBER(E177),ISNUMBER(L177)),IF(OR(L177&gt;0,AND(L177&lt;0,E177&lt;0)),E177/L177-1,"n/m"),"n/a")</f>
        <v>0.07526881720430101</v>
      </c>
      <c r="F178" s="18">
        <f>IF(AND(ISNUMBER(F177),ISNUMBER(M177)),IF(OR(M177&gt;0,AND(M177&lt;0,F177&lt;0)),F177/M177-1,"n/m"),"n/a")</f>
        <v>0.24008350730688943</v>
      </c>
      <c r="G178" s="18">
        <f>IF(AND(ISNUMBER(G177),ISNUMBER(N177)),IF(OR(N177&gt;0,AND(N177&lt;0,G177&lt;0)),G177/N177-1,"n/m"),"n/a")</f>
        <v>3.8159806295399514</v>
      </c>
      <c r="H178" s="21">
        <f>IF(AND(ISNUMBER(H177),ISNUMBER(C177)),IF(OR(C177&gt;0,AND(C177&lt;0,H177&lt;0)),H177/C177-1,"n/m"),"n/a")</f>
        <v>0.13755494705882376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4" t="s">
        <v>101</v>
      </c>
      <c r="C179" s="2">
        <f>IF(AND(ISNUMBER(C177),ISNUMBER(M177)),C177-M177,"n/a")</f>
        <v>31</v>
      </c>
      <c r="D179" s="2">
        <f>IF(AND(ISNUMBER(D177),ISNUMBER(C177)),D177-C177,"n/a")</f>
        <v>25</v>
      </c>
      <c r="E179" s="2">
        <f>IF(AND(ISNUMBER(E177),ISNUMBER(D177)),E177-D177,"n/a")</f>
        <v>-35</v>
      </c>
      <c r="F179" s="2">
        <f>IF(AND(ISNUMBER(F177),ISNUMBER(E177)),F177-E177,"n/a")</f>
        <v>94</v>
      </c>
      <c r="G179" s="2" t="s">
        <v>100</v>
      </c>
      <c r="H179" s="7">
        <f>IF(AND(ISNUMBER(H177),ISNUMBER(F177)),H177-F177,"n/a")</f>
        <v>-13.846976999999924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25" t="s">
        <v>125</v>
      </c>
      <c r="C180" s="18">
        <f>C177/C56</f>
        <v>0.14072847682119205</v>
      </c>
      <c r="D180" s="18">
        <f>D177/D56</f>
        <v>0.13308457711442787</v>
      </c>
      <c r="E180" s="18">
        <f>E177/E56</f>
        <v>0.13702384214853386</v>
      </c>
      <c r="F180" s="18">
        <f>F177/F56</f>
        <v>0.14484272128749084</v>
      </c>
      <c r="G180" s="18">
        <f>G177/G56</f>
        <v>0.1376470588235294</v>
      </c>
      <c r="H180" s="32">
        <v>0.135</v>
      </c>
      <c r="I180" s="1"/>
      <c r="J180" s="18">
        <f>J177/J56</f>
        <v>0.1436220472440945</v>
      </c>
      <c r="K180" s="18">
        <f>K177/K56</f>
        <v>-0.23563892145369286</v>
      </c>
      <c r="L180" s="18">
        <f>L177/L56</f>
        <v>0.13785947227986955</v>
      </c>
      <c r="M180" s="18">
        <f>M177/M56</f>
        <v>0.13952810952519662</v>
      </c>
      <c r="N180" s="18">
        <f>N177/N56</f>
        <v>0.0325658413499448</v>
      </c>
      <c r="O180" s="18">
        <f>O177/O56</f>
        <v>0.1312837108953614</v>
      </c>
      <c r="P180" s="18">
        <f>P177/P56</f>
        <v>0.13940556088207096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20" t="s">
        <v>103</v>
      </c>
      <c r="C181" s="5">
        <f>IF(AND(ISNUMBER(C180),ISNUMBER(J180)),(C180-J180)*10000,"n/a")</f>
        <v>-28.935704229024473</v>
      </c>
      <c r="D181" s="5">
        <f>IF(AND(ISNUMBER(D180),ISNUMBER(K180)),(D180-K180)*10000,"n/a")</f>
        <v>3687.234985681207</v>
      </c>
      <c r="E181" s="5">
        <f>IF(AND(ISNUMBER(E180),ISNUMBER(L180)),(E180-L180)*10000,"n/a")</f>
        <v>-8.356301313356962</v>
      </c>
      <c r="F181" s="5">
        <f>IF(AND(ISNUMBER(F180),ISNUMBER(M180)),(F180-M180)*10000,"n/a")</f>
        <v>53.14611762294225</v>
      </c>
      <c r="G181" s="5">
        <f>IF(AND(ISNUMBER(G180),ISNUMBER(N180)),(G180-N180)*10000,"n/a")</f>
        <v>1050.812174735846</v>
      </c>
      <c r="H181" s="30">
        <f>IF(AND(ISNUMBER(H180),ISNUMBER(C180)),(H180-C180)*10000,"n/a")</f>
        <v>-57.28476821192041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20" t="s">
        <v>104</v>
      </c>
      <c r="C182" s="5">
        <f>IF(AND(ISNUMBER(C180),ISNUMBER(M180)),(C180-M180)*10000,"n/a")</f>
        <v>12.003672959954304</v>
      </c>
      <c r="D182" s="5">
        <f>IF(AND(ISNUMBER(D180),ISNUMBER(C180)),(D180-C180)*10000,"n/a")</f>
        <v>-76.43899706764185</v>
      </c>
      <c r="E182" s="5">
        <f>IF(AND(ISNUMBER(E180),ISNUMBER(D180)),(E180-D180)*10000,"n/a")</f>
        <v>39.392650341059934</v>
      </c>
      <c r="F182" s="5">
        <f>IF(AND(ISNUMBER(F180),ISNUMBER(E180)),(F180-E180)*10000,"n/a")</f>
        <v>78.18879138956986</v>
      </c>
      <c r="G182" s="5" t="s">
        <v>100</v>
      </c>
      <c r="H182" s="30">
        <f>IF(AND(ISNUMBER(H180),ISNUMBER(F180)),(H180-F180)*10000,"n/a")</f>
        <v>-98.42721287490835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4" t="s">
        <v>197</v>
      </c>
      <c r="C183" s="2">
        <f>C56-C177</f>
        <v>3114</v>
      </c>
      <c r="D183" s="2">
        <f>D56-D177</f>
        <v>3485</v>
      </c>
      <c r="E183" s="2">
        <f>E56-E177</f>
        <v>3149</v>
      </c>
      <c r="F183" s="2">
        <f>F56-F177</f>
        <v>3507</v>
      </c>
      <c r="G183" s="2">
        <f>G56-G177</f>
        <v>12461</v>
      </c>
      <c r="H183" s="7">
        <f>H56-H177</f>
        <v>3717.276777</v>
      </c>
      <c r="I183" s="1"/>
      <c r="J183" s="2">
        <f>J56-J177</f>
        <v>2719</v>
      </c>
      <c r="K183" s="2">
        <f>K56-K177</f>
        <v>4216</v>
      </c>
      <c r="L183" s="2">
        <f>L56-L177</f>
        <v>2908</v>
      </c>
      <c r="M183" s="2">
        <f>M56-M177</f>
        <v>2954</v>
      </c>
      <c r="N183" s="2">
        <f>N56-N177</f>
        <v>12269</v>
      </c>
      <c r="O183" s="2">
        <f>O56-O177</f>
        <v>8053</v>
      </c>
      <c r="P183" s="2">
        <f>P56-P177</f>
        <v>8976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20" t="s">
        <v>98</v>
      </c>
      <c r="C184" s="18">
        <f>IF(AND(ISNUMBER(C183),ISNUMBER(J183)),IF(OR(J183&gt;0,AND(J183&lt;0,C183&lt;0)),C183/J183-1,"n/m"),"n/a")</f>
        <v>0.1452739977933064</v>
      </c>
      <c r="D184" s="18">
        <f>IF(AND(ISNUMBER(D183),ISNUMBER(K183)),IF(OR(K183&gt;0,AND(K183&lt;0,D183&lt;0)),D183/K183-1,"n/m"),"n/a")</f>
        <v>-0.1733870967741935</v>
      </c>
      <c r="E184" s="18">
        <f>IF(AND(ISNUMBER(E183),ISNUMBER(L183)),IF(OR(L183&gt;0,AND(L183&lt;0,E183&lt;0)),E183/L183-1,"n/m"),"n/a")</f>
        <v>0.08287482806052271</v>
      </c>
      <c r="F184" s="18">
        <f>IF(AND(ISNUMBER(F183),ISNUMBER(M183)),IF(OR(M183&gt;0,AND(M183&lt;0,F183&lt;0)),F183/M183-1,"n/m"),"n/a")</f>
        <v>0.1872037914691944</v>
      </c>
      <c r="G184" s="18">
        <f>IF(AND(ISNUMBER(G183),ISNUMBER(N183)),IF(OR(N183&gt;0,AND(N183&lt;0,G183&lt;0)),G183/N183-1,"n/m"),"n/a")</f>
        <v>0.01564919716358304</v>
      </c>
      <c r="H184" s="21">
        <f>IF(AND(ISNUMBER(H183),ISNUMBER(C183)),IF(OR(C183&gt;0,AND(C183&lt;0,H183&lt;0)),H183/C183-1,"n/m"),"n/a")</f>
        <v>0.19373050000000003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8" t="s">
        <v>101</v>
      </c>
      <c r="C185" s="2">
        <f>IF(AND(ISNUMBER(C183),ISNUMBER(M183)),C183-M183,"n/a")</f>
        <v>160</v>
      </c>
      <c r="D185" s="2">
        <f>IF(AND(ISNUMBER(D183),ISNUMBER(C183)),D183-C183,"n/a")</f>
        <v>371</v>
      </c>
      <c r="E185" s="2">
        <f>IF(AND(ISNUMBER(E183),ISNUMBER(D183)),E183-D183,"n/a")</f>
        <v>-336</v>
      </c>
      <c r="F185" s="2">
        <f>IF(AND(ISNUMBER(F183),ISNUMBER(E183)),F183-E183,"n/a")</f>
        <v>358</v>
      </c>
      <c r="G185" s="2" t="s">
        <v>100</v>
      </c>
      <c r="H185" s="7">
        <f>IF(AND(ISNUMBER(H183),ISNUMBER(F183)),H183-F183,"n/a")</f>
        <v>210.27677700000004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3" t="s">
        <v>198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4" t="s">
        <v>199</v>
      </c>
      <c r="C188" s="3">
        <v>218</v>
      </c>
      <c r="D188" s="2">
        <f>G188-P188</f>
        <v>252</v>
      </c>
      <c r="E188" s="3">
        <v>238</v>
      </c>
      <c r="F188" s="3">
        <v>252</v>
      </c>
      <c r="G188" s="3">
        <v>868</v>
      </c>
      <c r="H188" s="7">
        <f>F188</f>
        <v>252</v>
      </c>
      <c r="I188" s="1"/>
      <c r="J188" s="3">
        <v>210</v>
      </c>
      <c r="K188" s="2">
        <f>N188-O188</f>
        <v>188</v>
      </c>
      <c r="L188" s="3">
        <v>169</v>
      </c>
      <c r="M188" s="3">
        <v>231</v>
      </c>
      <c r="N188" s="3">
        <v>804</v>
      </c>
      <c r="O188" s="3">
        <v>616</v>
      </c>
      <c r="P188" s="3">
        <v>616</v>
      </c>
      <c r="Q188" s="1"/>
      <c r="R188" s="9" t="s">
        <v>214</v>
      </c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20" t="s">
        <v>98</v>
      </c>
      <c r="C189" s="18">
        <f>IF(AND(ISNUMBER(C188),ISNUMBER(J188)),IF(OR(J188&gt;0,AND(J188&lt;0,C188&lt;0)),C188/J188-1,"n/m"),"n/a")</f>
        <v>0.03809523809523818</v>
      </c>
      <c r="D189" s="18">
        <f>IF(AND(ISNUMBER(D188),ISNUMBER(K188)),IF(OR(K188&gt;0,AND(K188&lt;0,D188&lt;0)),D188/K188-1,"n/m"),"n/a")</f>
        <v>0.34042553191489366</v>
      </c>
      <c r="E189" s="18">
        <f>IF(AND(ISNUMBER(E188),ISNUMBER(L188)),IF(OR(L188&gt;0,AND(L188&lt;0,E188&lt;0)),E188/L188-1,"n/m"),"n/a")</f>
        <v>0.40828402366863914</v>
      </c>
      <c r="F189" s="18">
        <f>IF(AND(ISNUMBER(F188),ISNUMBER(M188)),IF(OR(M188&gt;0,AND(M188&lt;0,F188&lt;0)),F188/M188-1,"n/m"),"n/a")</f>
        <v>0.09090909090909083</v>
      </c>
      <c r="G189" s="18">
        <f>IF(AND(ISNUMBER(G188),ISNUMBER(N188)),IF(OR(N188&gt;0,AND(N188&lt;0,G188&lt;0)),G188/N188-1,"n/m"),"n/a")</f>
        <v>0.07960199004975133</v>
      </c>
      <c r="H189" s="21">
        <f>IF(AND(ISNUMBER(H188),ISNUMBER(C188)),IF(OR(C188&gt;0,AND(C188&lt;0,H188&lt;0)),H188/C188-1,"n/m"),"n/a")</f>
        <v>0.15596330275229353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8" t="s">
        <v>101</v>
      </c>
      <c r="C190" s="2">
        <f>IF(AND(ISNUMBER(C188),ISNUMBER(M188)),C188-M188,"n/a")</f>
        <v>-13</v>
      </c>
      <c r="D190" s="2">
        <f>IF(AND(ISNUMBER(D188),ISNUMBER(C188)),D188-C188,"n/a")</f>
        <v>34</v>
      </c>
      <c r="E190" s="2">
        <f>IF(AND(ISNUMBER(E188),ISNUMBER(D188)),E188-D188,"n/a")</f>
        <v>-14</v>
      </c>
      <c r="F190" s="2">
        <f>IF(AND(ISNUMBER(F188),ISNUMBER(E188)),F188-E188,"n/a")</f>
        <v>14</v>
      </c>
      <c r="G190" s="2" t="s">
        <v>100</v>
      </c>
      <c r="H190" s="7">
        <f>IF(AND(ISNUMBER(H188),ISNUMBER(F188)),H188-F188,"n/a")</f>
        <v>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46" t="s">
        <v>210</v>
      </c>
      <c r="C192" s="26" t="b">
        <f>AND(ABS(C86)&lt;0.5,ABS(C120)&lt;0.5,ABS(C174)&lt;0.5)</f>
        <v>1</v>
      </c>
      <c r="D192" s="26" t="b">
        <f>AND(ABS(D86)&lt;0.5,ABS(D120)&lt;0.5,ABS(D174)&lt;0.5)</f>
        <v>1</v>
      </c>
      <c r="E192" s="26" t="b">
        <f>AND(ABS(E86)&lt;0.5,ABS(E120)&lt;0.5,ABS(E174)&lt;0.5)</f>
        <v>1</v>
      </c>
      <c r="F192" s="26" t="b">
        <f>AND(ABS(F86)&lt;0.5,ABS(F120)&lt;0.5,ABS(F174)&lt;0.5)</f>
        <v>1</v>
      </c>
      <c r="G192" s="26" t="b">
        <f>AND(ABS(G86)&lt;0.5,ABS(G120)&lt;0.5,ABS(G174)&lt;0.5)</f>
        <v>1</v>
      </c>
      <c r="H192" s="22" t="b">
        <f>AND(ABS(H86)&lt;0.5,ABS(H120)&lt;0.5,ABS(H174)&lt;0.5)</f>
        <v>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215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148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149</v>
      </c>
      <c r="C10" s="2">
        <f>M19</f>
        <v>38584</v>
      </c>
      <c r="D10" s="2">
        <f>C19</f>
        <v>47269</v>
      </c>
      <c r="E10" s="2">
        <f>D19</f>
        <v>47715</v>
      </c>
      <c r="F10" s="2">
        <f>E19</f>
        <v>45840</v>
      </c>
      <c r="G10" s="2">
        <f>N19</f>
        <v>38117</v>
      </c>
      <c r="H10" s="7">
        <f>F19</f>
        <v>48454</v>
      </c>
      <c r="I10" s="1"/>
      <c r="J10" s="1"/>
      <c r="K10" s="2">
        <f>J19</f>
        <v>37571</v>
      </c>
      <c r="L10" s="2">
        <f>K19</f>
        <v>38117</v>
      </c>
      <c r="M10" s="2">
        <f>L19</f>
        <v>39113</v>
      </c>
      <c r="N10" s="3">
        <v>37726</v>
      </c>
      <c r="O10" s="1"/>
      <c r="P10" s="1"/>
      <c r="Q10" s="1"/>
      <c r="R10" s="9" t="s">
        <v>150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0" t="s">
        <v>98</v>
      </c>
      <c r="C11" s="18" t="str">
        <f>IF(AND(ISNUMBER(C10),ISNUMBER(J10)),IF(OR(J10&gt;0,AND(J10&lt;0,C10&lt;0)),C10/J10-1,"n/m"),"n/a")</f>
        <v>n/a</v>
      </c>
      <c r="D11" s="18">
        <f>IF(AND(ISNUMBER(D10),ISNUMBER(K10)),IF(OR(K10&gt;0,AND(K10&lt;0,D10&lt;0)),D10/K10-1,"n/m"),"n/a")</f>
        <v>0.25812461739107295</v>
      </c>
      <c r="E11" s="18">
        <f>IF(AND(ISNUMBER(E10),ISNUMBER(L10)),IF(OR(L10&gt;0,AND(L10&lt;0,E10&lt;0)),E10/L10-1,"n/m"),"n/a")</f>
        <v>0.25180365716084685</v>
      </c>
      <c r="F11" s="18">
        <f>IF(AND(ISNUMBER(F10),ISNUMBER(M10)),IF(OR(M10&gt;0,AND(M10&lt;0,F10&lt;0)),F10/M10-1,"n/m"),"n/a")</f>
        <v>0.17198885281108578</v>
      </c>
      <c r="G11" s="18">
        <f>IF(AND(ISNUMBER(G10),ISNUMBER(N10)),IF(OR(N10&gt;0,AND(N10&lt;0,G10&lt;0)),G10/N10-1,"n/m"),"n/a")</f>
        <v>0.010364205057520115</v>
      </c>
      <c r="H11" s="21">
        <f>IF(AND(ISNUMBER(H10),ISNUMBER(C10)),IF(OR(C10&gt;0,AND(C10&lt;0,H10&lt;0)),H10/C10-1,"n/m"),"n/a")</f>
        <v>0.2558055152394776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101</v>
      </c>
      <c r="C12" s="2">
        <f>IF(AND(ISNUMBER(C10),ISNUMBER(M10)),C10-M10,"n/a")</f>
        <v>-529</v>
      </c>
      <c r="D12" s="2">
        <f>IF(AND(ISNUMBER(D10),ISNUMBER(C10)),D10-C10,"n/a")</f>
        <v>8685</v>
      </c>
      <c r="E12" s="2">
        <f>IF(AND(ISNUMBER(E10),ISNUMBER(D10)),E10-D10,"n/a")</f>
        <v>446</v>
      </c>
      <c r="F12" s="2">
        <f>IF(AND(ISNUMBER(F10),ISNUMBER(E10)),F10-E10,"n/a")</f>
        <v>-1875</v>
      </c>
      <c r="G12" s="2" t="s">
        <v>100</v>
      </c>
      <c r="H12" s="7">
        <f>IF(AND(ISNUMBER(H10),ISNUMBER(F10)),H10-F10,"n/a")</f>
        <v>2614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151</v>
      </c>
      <c r="C13" s="2">
        <f>C56</f>
        <v>4373</v>
      </c>
      <c r="D13" s="2">
        <f>D56</f>
        <v>4616</v>
      </c>
      <c r="E13" s="2">
        <f>E56</f>
        <v>3991</v>
      </c>
      <c r="F13" s="2">
        <f>F56</f>
        <v>4354</v>
      </c>
      <c r="G13" s="2">
        <f>G56</f>
        <v>17312</v>
      </c>
      <c r="H13" s="7">
        <f>H56</f>
        <v>4501.3766</v>
      </c>
      <c r="I13" s="1"/>
      <c r="J13" s="2">
        <f>J56</f>
        <v>4367</v>
      </c>
      <c r="K13" s="2">
        <f>K56</f>
        <v>4261</v>
      </c>
      <c r="L13" s="2">
        <f>L56</f>
        <v>4328</v>
      </c>
      <c r="M13" s="2">
        <f>M56</f>
        <v>3995</v>
      </c>
      <c r="N13" s="2">
        <f>N56</f>
        <v>17264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0" t="s">
        <v>98</v>
      </c>
      <c r="C14" s="18">
        <f>IF(AND(ISNUMBER(C13),ISNUMBER(J13)),IF(OR(J13&gt;0,AND(J13&lt;0,C13&lt;0)),C13/J13-1,"n/m"),"n/a")</f>
        <v>0.0013739409205404396</v>
      </c>
      <c r="D14" s="18">
        <f>IF(AND(ISNUMBER(D13),ISNUMBER(K13)),IF(OR(K13&gt;0,AND(K13&lt;0,D13&lt;0)),D13/K13-1,"n/m"),"n/a")</f>
        <v>0.08331377610889468</v>
      </c>
      <c r="E14" s="18">
        <f>IF(AND(ISNUMBER(E13),ISNUMBER(L13)),IF(OR(L13&gt;0,AND(L13&lt;0,E13&lt;0)),E13/L13-1,"n/m"),"n/a")</f>
        <v>-0.0778650646950092</v>
      </c>
      <c r="F14" s="18">
        <f>IF(AND(ISNUMBER(F13),ISNUMBER(M13)),IF(OR(M13&gt;0,AND(M13&lt;0,F13&lt;0)),F13/M13-1,"n/m"),"n/a")</f>
        <v>0.08986232790988735</v>
      </c>
      <c r="G14" s="18">
        <f>IF(AND(ISNUMBER(G13),ISNUMBER(N13)),IF(OR(N13&gt;0,AND(N13&lt;0,G13&lt;0)),G13/N13-1,"n/m"),"n/a")</f>
        <v>0.002780352177942591</v>
      </c>
      <c r="H14" s="21">
        <f>IF(AND(ISNUMBER(H13),ISNUMBER(C13)),IF(OR(C13&gt;0,AND(C13&lt;0,H13&lt;0)),H13/C13-1,"n/m"),"n/a")</f>
        <v>0.029356643036816843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8" t="s">
        <v>101</v>
      </c>
      <c r="C15" s="2">
        <f>IF(AND(ISNUMBER(C13),ISNUMBER(M13)),C13-M13,"n/a")</f>
        <v>378</v>
      </c>
      <c r="D15" s="2">
        <f>IF(AND(ISNUMBER(D13),ISNUMBER(C13)),D13-C13,"n/a")</f>
        <v>243</v>
      </c>
      <c r="E15" s="2">
        <f>IF(AND(ISNUMBER(E13),ISNUMBER(D13)),E13-D13,"n/a")</f>
        <v>-625</v>
      </c>
      <c r="F15" s="2">
        <f>IF(AND(ISNUMBER(F13),ISNUMBER(E13)),F13-E13,"n/a")</f>
        <v>363</v>
      </c>
      <c r="G15" s="2" t="s">
        <v>100</v>
      </c>
      <c r="H15" s="7">
        <f>IF(AND(ISNUMBER(H13),ISNUMBER(F13)),H13-F13,"n/a")</f>
        <v>147.3765999999996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152</v>
      </c>
      <c r="C16" s="2">
        <f>C19-C10+C13</f>
        <v>13058</v>
      </c>
      <c r="D16" s="2">
        <f>D19-D10+D13</f>
        <v>5062</v>
      </c>
      <c r="E16" s="2">
        <f>E19-E10+E13</f>
        <v>2116</v>
      </c>
      <c r="F16" s="2">
        <f>F19-F10+F13</f>
        <v>6968</v>
      </c>
      <c r="G16" s="2">
        <f>G19-G10+G13</f>
        <v>26910</v>
      </c>
      <c r="H16" s="7">
        <f>H25*H13</f>
        <v>4501.3766</v>
      </c>
      <c r="I16" s="1"/>
      <c r="J16" s="2" t="s">
        <v>106</v>
      </c>
      <c r="K16" s="2">
        <f>K19-K10+K13</f>
        <v>4807</v>
      </c>
      <c r="L16" s="2">
        <f>L19-L10+L13</f>
        <v>5324</v>
      </c>
      <c r="M16" s="2">
        <f>M19-M10+M13</f>
        <v>3466</v>
      </c>
      <c r="N16" s="2">
        <f>N19-N10+N13</f>
        <v>17655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0" t="s">
        <v>98</v>
      </c>
      <c r="C17" s="18" t="str">
        <f>IF(AND(ISNUMBER(C16),ISNUMBER(J16)),IF(OR(J16&gt;0,AND(J16&lt;0,C16&lt;0)),C16/J16-1,"n/m"),"n/a")</f>
        <v>n/a</v>
      </c>
      <c r="D17" s="18">
        <f>IF(AND(ISNUMBER(D16),ISNUMBER(K16)),IF(OR(K16&gt;0,AND(K16&lt;0,D16&lt;0)),D16/K16-1,"n/m"),"n/a")</f>
        <v>0.05304763885999586</v>
      </c>
      <c r="E17" s="18">
        <f>IF(AND(ISNUMBER(E16),ISNUMBER(L16)),IF(OR(L16&gt;0,AND(L16&lt;0,E16&lt;0)),E16/L16-1,"n/m"),"n/a")</f>
        <v>-0.6025544703230654</v>
      </c>
      <c r="F17" s="18">
        <f>IF(AND(ISNUMBER(F16),ISNUMBER(M16)),IF(OR(M16&gt;0,AND(M16&lt;0,F16&lt;0)),F16/M16-1,"n/m"),"n/a")</f>
        <v>1.010386612810156</v>
      </c>
      <c r="G17" s="18">
        <f>IF(AND(ISNUMBER(G16),ISNUMBER(N16)),IF(OR(N16&gt;0,AND(N16&lt;0,G16&lt;0)),G16/N16-1,"n/m"),"n/a")</f>
        <v>0.5242141036533561</v>
      </c>
      <c r="H17" s="21">
        <f>IF(AND(ISNUMBER(H16),ISNUMBER(C16)),IF(OR(C16&gt;0,AND(C16&lt;0,H16&lt;0)),H16/C16-1,"n/m"),"n/a")</f>
        <v>-0.6552782508806863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101</v>
      </c>
      <c r="C18" s="2">
        <f>IF(AND(ISNUMBER(C16),ISNUMBER(M16)),C16-M16,"n/a")</f>
        <v>9592</v>
      </c>
      <c r="D18" s="2">
        <f>IF(AND(ISNUMBER(D16),ISNUMBER(C16)),D16-C16,"n/a")</f>
        <v>-7996</v>
      </c>
      <c r="E18" s="2">
        <f>IF(AND(ISNUMBER(E16),ISNUMBER(D16)),E16-D16,"n/a")</f>
        <v>-2946</v>
      </c>
      <c r="F18" s="2">
        <f>IF(AND(ISNUMBER(F16),ISNUMBER(E16)),F16-E16,"n/a")</f>
        <v>4852</v>
      </c>
      <c r="G18" s="2" t="s">
        <v>100</v>
      </c>
      <c r="H18" s="7">
        <f>IF(AND(ISNUMBER(H16),ISNUMBER(F16)),H16-F16,"n/a")</f>
        <v>-2466.6234000000004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3" t="s">
        <v>153</v>
      </c>
      <c r="C19" s="29">
        <v>47269</v>
      </c>
      <c r="D19" s="29">
        <v>47715</v>
      </c>
      <c r="E19" s="29">
        <v>45840</v>
      </c>
      <c r="F19" s="29">
        <v>48454</v>
      </c>
      <c r="G19" s="14">
        <f>D19</f>
        <v>47715</v>
      </c>
      <c r="H19" s="48">
        <f>H10+H16-H13</f>
        <v>48454</v>
      </c>
      <c r="I19" s="1"/>
      <c r="J19" s="29">
        <v>37571</v>
      </c>
      <c r="K19" s="29">
        <v>38117</v>
      </c>
      <c r="L19" s="29">
        <v>39113</v>
      </c>
      <c r="M19" s="29">
        <v>38584</v>
      </c>
      <c r="N19" s="14">
        <f>K19</f>
        <v>38117</v>
      </c>
      <c r="O19" s="1"/>
      <c r="P19" s="1"/>
      <c r="Q19" s="1"/>
      <c r="R19" s="9" t="s">
        <v>154</v>
      </c>
      <c r="S19" s="1"/>
      <c r="T19" s="1"/>
      <c r="U19" s="1"/>
      <c r="V19" s="1"/>
      <c r="W19" s="1"/>
      <c r="X19" s="1"/>
      <c r="Y19" s="1"/>
      <c r="Z19" s="1"/>
    </row>
    <row r="20">
      <c r="A20" s="1"/>
      <c r="B20" s="20" t="s">
        <v>98</v>
      </c>
      <c r="C20" s="18">
        <f>IF(AND(ISNUMBER(C19),ISNUMBER(J19)),IF(OR(J19&gt;0,AND(J19&lt;0,C19&lt;0)),C19/J19-1,"n/m"),"n/a")</f>
        <v>0.25812461739107295</v>
      </c>
      <c r="D20" s="18">
        <f>IF(AND(ISNUMBER(D19),ISNUMBER(K19)),IF(OR(K19&gt;0,AND(K19&lt;0,D19&lt;0)),D19/K19-1,"n/m"),"n/a")</f>
        <v>0.25180365716084685</v>
      </c>
      <c r="E20" s="18">
        <f>IF(AND(ISNUMBER(E19),ISNUMBER(L19)),IF(OR(L19&gt;0,AND(L19&lt;0,E19&lt;0)),E19/L19-1,"n/m"),"n/a")</f>
        <v>0.17198885281108578</v>
      </c>
      <c r="F20" s="18">
        <f>IF(AND(ISNUMBER(F19),ISNUMBER(M19)),IF(OR(M19&gt;0,AND(M19&lt;0,F19&lt;0)),F19/M19-1,"n/m"),"n/a")</f>
        <v>0.2558055152394776</v>
      </c>
      <c r="G20" s="18">
        <f>IF(AND(ISNUMBER(G19),ISNUMBER(N19)),IF(OR(N19&gt;0,AND(N19&lt;0,G19&lt;0)),G19/N19-1,"n/m"),"n/a")</f>
        <v>0.25180365716084685</v>
      </c>
      <c r="H20" s="21">
        <f>IF(AND(ISNUMBER(H19),ISNUMBER(C19)),IF(OR(C19&gt;0,AND(C19&lt;0,H19&lt;0)),H19/C19-1,"n/m"),"n/a")</f>
        <v>0.025069284308955053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8" t="s">
        <v>101</v>
      </c>
      <c r="C21" s="2">
        <f>IF(AND(ISNUMBER(C19),ISNUMBER(M19)),C19-M19,"n/a")</f>
        <v>8685</v>
      </c>
      <c r="D21" s="2">
        <f>IF(AND(ISNUMBER(D19),ISNUMBER(C19)),D19-C19,"n/a")</f>
        <v>446</v>
      </c>
      <c r="E21" s="2">
        <f>IF(AND(ISNUMBER(E19),ISNUMBER(D19)),E19-D19,"n/a")</f>
        <v>-1875</v>
      </c>
      <c r="F21" s="2">
        <f>IF(AND(ISNUMBER(F19),ISNUMBER(E19)),F19-E19,"n/a")</f>
        <v>2614</v>
      </c>
      <c r="G21" s="2" t="s">
        <v>100</v>
      </c>
      <c r="H21" s="7">
        <f>IF(AND(ISNUMBER(H19),ISNUMBER(F19)),H19-F19,"n/a")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" t="s">
        <v>155</v>
      </c>
      <c r="C22" s="2">
        <f>IF(AND(ISNUMBER(C10),ISNUMBER(C19)),(C10+C19)/2,"n/a")</f>
        <v>42926.5</v>
      </c>
      <c r="D22" s="2">
        <f>IF(AND(ISNUMBER(D10),ISNUMBER(D19)),(D10+D19)/2,"n/a")</f>
        <v>47492</v>
      </c>
      <c r="E22" s="2">
        <f>IF(AND(ISNUMBER(E10),ISNUMBER(E19)),(E10+E19)/2,"n/a")</f>
        <v>46777.5</v>
      </c>
      <c r="F22" s="2">
        <f>IF(AND(ISNUMBER(F10),ISNUMBER(F19)),(F10+F19)/2,"n/a")</f>
        <v>47147</v>
      </c>
      <c r="G22" s="2">
        <f>IF(AND(ISNUMBER(G10),ISNUMBER(G19)),(G10+G19)/2,"n/a")</f>
        <v>42916</v>
      </c>
      <c r="H22" s="7">
        <f>IF(AND(ISNUMBER(H10),ISNUMBER(H19)),(H10+H19)/2,"n/a")</f>
        <v>48454</v>
      </c>
      <c r="I22" s="1"/>
      <c r="J22" s="1"/>
      <c r="K22" s="2">
        <f>IF(AND(ISNUMBER(K10),ISNUMBER(K19)),(K10+K19)/2,"n/a")</f>
        <v>37844</v>
      </c>
      <c r="L22" s="2">
        <f>IF(AND(ISNUMBER(L10),ISNUMBER(L19)),(L10+L19)/2,"n/a")</f>
        <v>38615</v>
      </c>
      <c r="M22" s="2">
        <f>IF(AND(ISNUMBER(M10),ISNUMBER(M19)),(M10+M19)/2,"n/a")</f>
        <v>38848.5</v>
      </c>
      <c r="N22" s="2">
        <f>IF(AND(ISNUMBER(N10),ISNUMBER(N19)),(N10+N19)/2,"n/a")</f>
        <v>37921.5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20" t="s">
        <v>98</v>
      </c>
      <c r="C23" s="18" t="str">
        <f>IF(AND(ISNUMBER(C22),ISNUMBER(J22)),IF(OR(J22&gt;0,AND(J22&lt;0,C22&lt;0)),C22/J22-1,"n/m"),"n/a")</f>
        <v>n/a</v>
      </c>
      <c r="D23" s="18">
        <f>IF(AND(ISNUMBER(D22),ISNUMBER(K22)),IF(OR(K22&gt;0,AND(K22&lt;0,D22&lt;0)),D22/K22-1,"n/m"),"n/a")</f>
        <v>0.2549413381249339</v>
      </c>
      <c r="E23" s="18">
        <f>IF(AND(ISNUMBER(E22),ISNUMBER(L22)),IF(OR(L22&gt;0,AND(L22&lt;0,E22&lt;0)),E22/L22-1,"n/m"),"n/a")</f>
        <v>0.21138158746601055</v>
      </c>
      <c r="F23" s="18">
        <f>IF(AND(ISNUMBER(F22),ISNUMBER(M22)),IF(OR(M22&gt;0,AND(M22&lt;0,F22&lt;0)),F22/M22-1,"n/m"),"n/a")</f>
        <v>0.21361185116542458</v>
      </c>
      <c r="G23" s="18">
        <f>IF(AND(ISNUMBER(G22),ISNUMBER(N22)),IF(OR(N22&gt;0,AND(N22&lt;0,G22&lt;0)),G22/N22-1,"n/m"),"n/a")</f>
        <v>0.13170628798966288</v>
      </c>
      <c r="H23" s="21">
        <f>IF(AND(ISNUMBER(H22),ISNUMBER(C22)),IF(OR(C22&gt;0,AND(C22&lt;0,H22&lt;0)),H22/C22-1,"n/m"),"n/a")</f>
        <v>0.1287666126984497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101</v>
      </c>
      <c r="C24" s="2">
        <f>IF(AND(ISNUMBER(C22),ISNUMBER(M22)),C22-M22,"n/a")</f>
        <v>4078</v>
      </c>
      <c r="D24" s="2">
        <f>IF(AND(ISNUMBER(D22),ISNUMBER(C22)),D22-C22,"n/a")</f>
        <v>4565.5</v>
      </c>
      <c r="E24" s="2">
        <f>IF(AND(ISNUMBER(E22),ISNUMBER(D22)),E22-D22,"n/a")</f>
        <v>-714.5</v>
      </c>
      <c r="F24" s="2">
        <f>IF(AND(ISNUMBER(F22),ISNUMBER(E22)),F22-E22,"n/a")</f>
        <v>369.5</v>
      </c>
      <c r="G24" s="2" t="s">
        <v>100</v>
      </c>
      <c r="H24" s="7">
        <f>IF(AND(ISNUMBER(H22),ISNUMBER(F22)),H22-F22,"n/a")</f>
        <v>1307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" t="s">
        <v>156</v>
      </c>
      <c r="C25" s="28">
        <f>IF(AND(ISNUMBER(C16)),C16/C13,"n/a")</f>
        <v>2.9860507660644866</v>
      </c>
      <c r="D25" s="28">
        <f>IF(AND(ISNUMBER(D16)),D16/D13,"n/a")</f>
        <v>1.0966204506065858</v>
      </c>
      <c r="E25" s="28">
        <f>IF(AND(ISNUMBER(E16)),E16/E13,"n/a")</f>
        <v>0.5301929341017289</v>
      </c>
      <c r="F25" s="28">
        <f>IF(AND(ISNUMBER(F16)),F16/F13,"n/a")</f>
        <v>1.600367478180983</v>
      </c>
      <c r="G25" s="28">
        <f>IF(AND(ISNUMBER(G16)),G16/G13,"n/a")</f>
        <v>1.554413123844732</v>
      </c>
      <c r="H25" s="67">
        <v>1</v>
      </c>
      <c r="I25" s="1"/>
      <c r="J25" s="1"/>
      <c r="K25" s="28">
        <f>IF(AND(ISNUMBER(K16)),K16/K13,"n/a")</f>
        <v>1.1281389345224127</v>
      </c>
      <c r="L25" s="28">
        <f>IF(AND(ISNUMBER(L16)),L16/L13,"n/a")</f>
        <v>1.2301293900184842</v>
      </c>
      <c r="M25" s="28">
        <f>IF(AND(ISNUMBER(M16)),M16/M13,"n/a")</f>
        <v>0.8675844806007509</v>
      </c>
      <c r="N25" s="28">
        <f>IF(AND(ISNUMBER(N16)),N16/N13,"n/a")</f>
        <v>1.0226482854494903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8" t="s">
        <v>136</v>
      </c>
      <c r="C26" s="100" t="str">
        <f>IF(AND(ISNUMBER(C25),ISNUMBER(J25)),C25-J25,"n/a")</f>
        <v>n/a</v>
      </c>
      <c r="D26" s="100">
        <f>IF(AND(ISNUMBER(D25),ISNUMBER(K25)),D25-K25,"n/a")</f>
        <v>-0.0315184839158269</v>
      </c>
      <c r="E26" s="100">
        <f>IF(AND(ISNUMBER(E25),ISNUMBER(L25)),E25-L25,"n/a")</f>
        <v>-0.6999364559167554</v>
      </c>
      <c r="F26" s="100">
        <f>IF(AND(ISNUMBER(F25),ISNUMBER(M25)),F25-M25,"n/a")</f>
        <v>0.732782997580232</v>
      </c>
      <c r="G26" s="100">
        <f>IF(AND(ISNUMBER(G25),ISNUMBER(N25)),G25-N25,"n/a")</f>
        <v>0.5317648383952418</v>
      </c>
      <c r="H26" s="101">
        <f>IF(AND(ISNUMBER(H25),ISNUMBER(C25)),H25-C25,"n/a")</f>
        <v>-1.9860507660644866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8" t="s">
        <v>137</v>
      </c>
      <c r="C27" s="100">
        <f>IF(AND(ISNUMBER(C25),ISNUMBER(M25)),C25-M25,"n/a")</f>
        <v>2.118466285463736</v>
      </c>
      <c r="D27" s="100">
        <f>IF(AND(ISNUMBER(D25),ISNUMBER(C25)),D25-C25,"n/a")</f>
        <v>-1.8894303154579009</v>
      </c>
      <c r="E27" s="100">
        <f>IF(AND(ISNUMBER(E25),ISNUMBER(D25)),E25-D25,"n/a")</f>
        <v>-0.5664275165048569</v>
      </c>
      <c r="F27" s="100">
        <f>IF(AND(ISNUMBER(F25),ISNUMBER(E25)),F25-E25,"n/a")</f>
        <v>1.070174544079254</v>
      </c>
      <c r="G27" s="100" t="s">
        <v>100</v>
      </c>
      <c r="H27" s="101">
        <f>IF(AND(ISNUMBER(H25),ISNUMBER(F25)),H25-F25,"n/a")</f>
        <v>-0.6003674781809829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157</v>
      </c>
      <c r="C28" s="18">
        <f>C13/C10</f>
        <v>0.11333713456354966</v>
      </c>
      <c r="D28" s="18">
        <f>D13/D10</f>
        <v>0.09765385347690876</v>
      </c>
      <c r="E28" s="18">
        <f>E13/E10</f>
        <v>0.08364246044220895</v>
      </c>
      <c r="F28" s="18">
        <f>F13/F10</f>
        <v>0.0949825479930192</v>
      </c>
      <c r="G28" s="18">
        <f>G13/G10</f>
        <v>0.4541805493611774</v>
      </c>
      <c r="H28" s="32">
        <v>0.0929</v>
      </c>
      <c r="I28" s="1"/>
      <c r="J28" s="1"/>
      <c r="K28" s="18">
        <f>K13/K10</f>
        <v>0.11341194006015277</v>
      </c>
      <c r="L28" s="18">
        <f>L13/L10</f>
        <v>0.11354513734029435</v>
      </c>
      <c r="M28" s="18">
        <f>M13/M10</f>
        <v>0.10213995346815637</v>
      </c>
      <c r="N28" s="18">
        <f>N13/N10</f>
        <v>0.45761543762922124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0" t="s">
        <v>103</v>
      </c>
      <c r="C29" s="5" t="str">
        <f>IF(AND(ISNUMBER(C28),ISNUMBER(J28)),(C28-J28)*10000,"n/a")</f>
        <v>n/a</v>
      </c>
      <c r="D29" s="5">
        <f>IF(AND(ISNUMBER(D28),ISNUMBER(K28)),(D28-K28)*10000,"n/a")</f>
        <v>-157.58086583244014</v>
      </c>
      <c r="E29" s="5">
        <f>IF(AND(ISNUMBER(E28),ISNUMBER(L28)),(E28-L28)*10000,"n/a")</f>
        <v>-299.026768980854</v>
      </c>
      <c r="F29" s="5">
        <f>IF(AND(ISNUMBER(F28),ISNUMBER(M28)),(F28-M28)*10000,"n/a")</f>
        <v>-71.57405475137172</v>
      </c>
      <c r="G29" s="5">
        <f>IF(AND(ISNUMBER(G28),ISNUMBER(N28)),(G28-N28)*10000,"n/a")</f>
        <v>-34.348882680438344</v>
      </c>
      <c r="H29" s="30">
        <f>IF(AND(ISNUMBER(H28),ISNUMBER(C28)),(H28-C28)*10000,"n/a")</f>
        <v>-204.3713456354966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20" t="s">
        <v>104</v>
      </c>
      <c r="C30" s="5">
        <f>IF(AND(ISNUMBER(C28),ISNUMBER(M28)),(C28-M28)*10000,"n/a")</f>
        <v>111.97181095393292</v>
      </c>
      <c r="D30" s="5">
        <f>IF(AND(ISNUMBER(D28),ISNUMBER(C28)),(D28-C28)*10000,"n/a")</f>
        <v>-156.83281086640895</v>
      </c>
      <c r="E30" s="5">
        <f>IF(AND(ISNUMBER(E28),ISNUMBER(D28)),(E28-D28)*10000,"n/a")</f>
        <v>-140.1139303469981</v>
      </c>
      <c r="F30" s="5">
        <f>IF(AND(ISNUMBER(F28),ISNUMBER(E28)),(F28-E28)*10000,"n/a")</f>
        <v>113.40087550810243</v>
      </c>
      <c r="G30" s="5" t="s">
        <v>100</v>
      </c>
      <c r="H30" s="30">
        <f>IF(AND(ISNUMBER(H28),ISNUMBER(F28)),(H28-F28)*10000,"n/a")</f>
        <v>-20.825479930191985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4" t="s">
        <v>158</v>
      </c>
      <c r="C31" s="2">
        <f>IF(AND(ISNUMBER(C19),ISNUMBER(C10)),C19-C10,"n/a")</f>
        <v>8685</v>
      </c>
      <c r="D31" s="2">
        <f>IF(AND(ISNUMBER(D19),ISNUMBER(D10)),D19-D10,"n/a")</f>
        <v>446</v>
      </c>
      <c r="E31" s="2">
        <f>IF(AND(ISNUMBER(E19),ISNUMBER(E10)),E19-E10,"n/a")</f>
        <v>-1875</v>
      </c>
      <c r="F31" s="2">
        <f>IF(AND(ISNUMBER(F19),ISNUMBER(F10)),F19-F10,"n/a")</f>
        <v>2614</v>
      </c>
      <c r="G31" s="2">
        <f>IF(AND(ISNUMBER(G19),ISNUMBER(G10)),G19-G10,"n/a")</f>
        <v>9598</v>
      </c>
      <c r="H31" s="7">
        <f>IF(AND(ISNUMBER(H19),ISNUMBER(H10)),H19-H10,"n/a")</f>
        <v>0</v>
      </c>
      <c r="I31" s="1"/>
      <c r="J31" s="1"/>
      <c r="K31" s="2">
        <f>IF(AND(ISNUMBER(K19),ISNUMBER(K10)),K19-K10,"n/a")</f>
        <v>546</v>
      </c>
      <c r="L31" s="2">
        <f>IF(AND(ISNUMBER(L19),ISNUMBER(L10)),L19-L10,"n/a")</f>
        <v>996</v>
      </c>
      <c r="M31" s="2">
        <f>IF(AND(ISNUMBER(M19),ISNUMBER(M10)),M19-M10,"n/a")</f>
        <v>-529</v>
      </c>
      <c r="N31" s="2">
        <f>IF(AND(ISNUMBER(N19),ISNUMBER(N10)),N19-N10,"n/a")</f>
        <v>391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8" t="s">
        <v>129</v>
      </c>
      <c r="C32" s="2" t="str">
        <f>IF(AND(ISNUMBER(C31),ISNUMBER(J31)),C31-J31,"n/a")</f>
        <v>n/a</v>
      </c>
      <c r="D32" s="2">
        <f>IF(AND(ISNUMBER(D31),ISNUMBER(K31)),D31-K31,"n/a")</f>
        <v>-100</v>
      </c>
      <c r="E32" s="2">
        <f>IF(AND(ISNUMBER(E31),ISNUMBER(L31)),E31-L31,"n/a")</f>
        <v>-2871</v>
      </c>
      <c r="F32" s="2">
        <f>IF(AND(ISNUMBER(F31),ISNUMBER(M31)),F31-M31,"n/a")</f>
        <v>3143</v>
      </c>
      <c r="G32" s="2">
        <f>IF(AND(ISNUMBER(G31),ISNUMBER(N31)),G31-N31,"n/a")</f>
        <v>9207</v>
      </c>
      <c r="H32" s="7">
        <f>IF(AND(ISNUMBER(H31),ISNUMBER(C31)),H31-C31,"n/a")</f>
        <v>-8685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8" t="s">
        <v>101</v>
      </c>
      <c r="C33" s="2">
        <f>IF(AND(ISNUMBER(C31),ISNUMBER(M31)),C31-M31,"n/a")</f>
        <v>9214</v>
      </c>
      <c r="D33" s="2">
        <f>IF(AND(ISNUMBER(D31),ISNUMBER(C31)),D31-C31,"n/a")</f>
        <v>-8239</v>
      </c>
      <c r="E33" s="2">
        <f>IF(AND(ISNUMBER(E31),ISNUMBER(D31)),E31-D31,"n/a")</f>
        <v>-2321</v>
      </c>
      <c r="F33" s="2">
        <f>IF(AND(ISNUMBER(F31),ISNUMBER(E31)),F31-E31,"n/a")</f>
        <v>4489</v>
      </c>
      <c r="G33" s="2" t="s">
        <v>100</v>
      </c>
      <c r="H33" s="7">
        <f>IF(AND(ISNUMBER(H31),ISNUMBER(F31)),H31-F31,"n/a")</f>
        <v>-2614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3" t="s">
        <v>159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"/>
      <c r="T35" s="1"/>
      <c r="U35" s="1"/>
      <c r="V35" s="1"/>
      <c r="W35" s="1"/>
      <c r="X35" s="1"/>
      <c r="Y35" s="1"/>
      <c r="Z35" s="1"/>
    </row>
    <row r="36">
      <c r="A36" s="1"/>
      <c r="B36" s="4" t="s">
        <v>160</v>
      </c>
      <c r="C36" s="3">
        <v>3509</v>
      </c>
      <c r="D36" s="2">
        <f>G36-P36</f>
        <v>3851</v>
      </c>
      <c r="E36" s="3">
        <v>3172</v>
      </c>
      <c r="F36" s="3">
        <v>3516</v>
      </c>
      <c r="G36" s="3">
        <v>14188</v>
      </c>
      <c r="H36" s="7">
        <f>H10*H28*H40</f>
        <v>3646.115046</v>
      </c>
      <c r="I36" s="1"/>
      <c r="J36" s="3">
        <v>3554</v>
      </c>
      <c r="K36" s="2">
        <f>N36-O36</f>
        <v>3505</v>
      </c>
      <c r="L36" s="3">
        <v>3496</v>
      </c>
      <c r="M36" s="3">
        <v>3332</v>
      </c>
      <c r="N36" s="3">
        <v>14005</v>
      </c>
      <c r="O36" s="3">
        <v>10500</v>
      </c>
      <c r="P36" s="3">
        <v>10337</v>
      </c>
      <c r="Q36" s="1"/>
      <c r="R36" s="9" t="s">
        <v>161</v>
      </c>
      <c r="S36" s="1"/>
      <c r="T36" s="1"/>
      <c r="U36" s="1"/>
      <c r="V36" s="1"/>
      <c r="W36" s="1"/>
      <c r="X36" s="1"/>
      <c r="Y36" s="1"/>
      <c r="Z36" s="1"/>
    </row>
    <row r="37">
      <c r="A37" s="1"/>
      <c r="B37" s="20" t="s">
        <v>98</v>
      </c>
      <c r="C37" s="18">
        <f>IF(AND(ISNUMBER(C36),ISNUMBER(J36)),IF(OR(J36&gt;0,AND(J36&lt;0,C36&lt;0)),C36/J36-1,"n/m"),"n/a")</f>
        <v>-0.012661789532920631</v>
      </c>
      <c r="D37" s="18">
        <f>IF(AND(ISNUMBER(D36),ISNUMBER(K36)),IF(OR(K36&gt;0,AND(K36&lt;0,D36&lt;0)),D36/K36-1,"n/m"),"n/a")</f>
        <v>0.098716119828816</v>
      </c>
      <c r="E37" s="18">
        <f>IF(AND(ISNUMBER(E36),ISNUMBER(L36)),IF(OR(L36&gt;0,AND(L36&lt;0,E36&lt;0)),E36/L36-1,"n/m"),"n/a")</f>
        <v>-0.09267734553775742</v>
      </c>
      <c r="F37" s="18">
        <f>IF(AND(ISNUMBER(F36),ISNUMBER(M36)),IF(OR(M36&gt;0,AND(M36&lt;0,F36&lt;0)),F36/M36-1,"n/m"),"n/a")</f>
        <v>0.055222088835534144</v>
      </c>
      <c r="G37" s="18">
        <f>IF(AND(ISNUMBER(G36),ISNUMBER(N36)),IF(OR(N36&gt;0,AND(N36&lt;0,G36&lt;0)),G36/N36-1,"n/m"),"n/a")</f>
        <v>0.013066761870760502</v>
      </c>
      <c r="H37" s="21">
        <f>IF(AND(ISNUMBER(H36),ISNUMBER(C36)),IF(OR(C36&gt;0,AND(C36&lt;0,H36&lt;0)),H36/C36-1,"n/m"),"n/a")</f>
        <v>0.039075248218865655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0" t="s">
        <v>99</v>
      </c>
      <c r="C38" s="18">
        <f>IF(AND(ISNUMBER(C36),ISNUMBER(M36)),IF(OR(M36&gt;0,AND(M36&lt;0,C36&lt;0)),C36/M36-1,"n/m"),"n/a")</f>
        <v>0.0531212484993997</v>
      </c>
      <c r="D38" s="18">
        <f>IF(AND(ISNUMBER(D36),ISNUMBER(C36)),IF(OR(C36&gt;0,AND(C36&lt;0,D36&lt;0)),D36/C36-1,"n/m"),"n/a")</f>
        <v>0.09746366486178393</v>
      </c>
      <c r="E38" s="18">
        <f>IF(AND(ISNUMBER(E36),ISNUMBER(D36)),IF(OR(D36&gt;0,AND(D36&lt;0,E36&lt;0)),E36/D36-1,"n/m"),"n/a")</f>
        <v>-0.17631783952220204</v>
      </c>
      <c r="F38" s="18">
        <f>IF(AND(ISNUMBER(F36),ISNUMBER(E36)),IF(OR(E36&gt;0,AND(E36&lt;0,F36&lt;0)),F36/E36-1,"n/m"),"n/a")</f>
        <v>0.10844892812105922</v>
      </c>
      <c r="G38" s="18" t="s">
        <v>100</v>
      </c>
      <c r="H38" s="21">
        <f>IF(AND(ISNUMBER(H36),ISNUMBER(F36)),IF(OR(F36&gt;0,AND(F36&lt;0,H36&lt;0)),H36/F36-1,"n/m"),"n/a")</f>
        <v>0.03700655460750846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8" t="s">
        <v>101</v>
      </c>
      <c r="C39" s="2">
        <f>IF(AND(ISNUMBER(C36),ISNUMBER(M36)),C36-M36,"n/a")</f>
        <v>177</v>
      </c>
      <c r="D39" s="2">
        <f>IF(AND(ISNUMBER(D36),ISNUMBER(C36)),D36-C36,"n/a")</f>
        <v>342</v>
      </c>
      <c r="E39" s="2">
        <f>IF(AND(ISNUMBER(E36),ISNUMBER(D36)),E36-D36,"n/a")</f>
        <v>-679</v>
      </c>
      <c r="F39" s="2">
        <f>IF(AND(ISNUMBER(F36),ISNUMBER(E36)),F36-E36,"n/a")</f>
        <v>344</v>
      </c>
      <c r="G39" s="2" t="s">
        <v>100</v>
      </c>
      <c r="H39" s="7">
        <f>IF(AND(ISNUMBER(H36),ISNUMBER(F36)),H36-F36,"n/a")</f>
        <v>130.1150459999999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20" t="s">
        <v>162</v>
      </c>
      <c r="C40" s="18">
        <f>IF(AND(ISNUMBER(C36),ISNUMBER(C56)),C36/C56,"n/a")</f>
        <v>0.8024239652412531</v>
      </c>
      <c r="D40" s="18">
        <f>IF(AND(ISNUMBER(D36),ISNUMBER(D56)),D36/D56,"n/a")</f>
        <v>0.8342720970537262</v>
      </c>
      <c r="E40" s="18">
        <f>IF(AND(ISNUMBER(E36),ISNUMBER(E56)),E36/E56,"n/a")</f>
        <v>0.7947882736156352</v>
      </c>
      <c r="F40" s="18">
        <f>IF(AND(ISNUMBER(F36),ISNUMBER(F56)),F36/F56,"n/a")</f>
        <v>0.8075333027101516</v>
      </c>
      <c r="G40" s="18">
        <f>IF(AND(ISNUMBER(G36),ISNUMBER(G56)),G36/G56,"n/a")</f>
        <v>0.819547134935305</v>
      </c>
      <c r="H40" s="32">
        <v>0.81</v>
      </c>
      <c r="I40" s="1"/>
      <c r="J40" s="18">
        <f>IF(AND(ISNUMBER(J36),ISNUMBER(J56)),J36/J56,"n/a")</f>
        <v>0.8138310052667735</v>
      </c>
      <c r="K40" s="18">
        <f>IF(AND(ISNUMBER(K36),ISNUMBER(K56)),K36/K56,"n/a")</f>
        <v>0.8225768598920441</v>
      </c>
      <c r="L40" s="18">
        <f>IF(AND(ISNUMBER(L36),ISNUMBER(L56)),L36/L56,"n/a")</f>
        <v>0.8077634011090573</v>
      </c>
      <c r="M40" s="18">
        <f>IF(AND(ISNUMBER(M36),ISNUMBER(M56)),M36/M56,"n/a")</f>
        <v>0.8340425531914893</v>
      </c>
      <c r="N40" s="18">
        <f>IF(AND(ISNUMBER(N36),ISNUMBER(N56)),N36/N56,"n/a")</f>
        <v>0.811225671918443</v>
      </c>
      <c r="O40" s="18">
        <f>IF(AND(ISNUMBER(O36),ISNUMBER(O56)),O36/O56,"n/a")</f>
        <v>0.8075059601630393</v>
      </c>
      <c r="P40" s="18">
        <f>IF(AND(ISNUMBER(P36),ISNUMBER(P56)),P36/P56,"n/a")</f>
        <v>0.8141934467548835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37" t="s">
        <v>103</v>
      </c>
      <c r="C41" s="5">
        <f>IF(AND(ISNUMBER(C40),ISNUMBER(J40)),(C40-J40)*10000,"n/a")</f>
        <v>-114.07040025520399</v>
      </c>
      <c r="D41" s="5">
        <f>IF(AND(ISNUMBER(D40),ISNUMBER(K40)),(D40-K40)*10000,"n/a")</f>
        <v>116.95237161682081</v>
      </c>
      <c r="E41" s="5">
        <f>IF(AND(ISNUMBER(E40),ISNUMBER(L40)),(E40-L40)*10000,"n/a")</f>
        <v>-129.75127493422113</v>
      </c>
      <c r="F41" s="5">
        <f>IF(AND(ISNUMBER(F40),ISNUMBER(M40)),(F40-M40)*10000,"n/a")</f>
        <v>-265.0925048133779</v>
      </c>
      <c r="G41" s="5">
        <f>IF(AND(ISNUMBER(G40),ISNUMBER(N40)),(G40-N40)*10000,"n/a")</f>
        <v>83.21463016861985</v>
      </c>
      <c r="H41" s="30">
        <f>IF(AND(ISNUMBER(H40),ISNUMBER(C40)),(H40-C40)*10000,"n/a")</f>
        <v>75.76034758746908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37" t="s">
        <v>104</v>
      </c>
      <c r="C42" s="5">
        <f>IF(AND(ISNUMBER(C40),ISNUMBER(M40)),(C40-M40)*10000,"n/a")</f>
        <v>-316.185879502362</v>
      </c>
      <c r="D42" s="5">
        <f>IF(AND(ISNUMBER(D40),ISNUMBER(C40)),(D40-C40)*10000,"n/a")</f>
        <v>318.48131812473036</v>
      </c>
      <c r="E42" s="5">
        <f>IF(AND(ISNUMBER(E40),ISNUMBER(D40)),(E40-D40)*10000,"n/a")</f>
        <v>-394.8382343809098</v>
      </c>
      <c r="F42" s="5">
        <f>IF(AND(ISNUMBER(F40),ISNUMBER(E40)),(F40-E40)*10000,"n/a")</f>
        <v>127.45029094516357</v>
      </c>
      <c r="G42" s="5" t="s">
        <v>100</v>
      </c>
      <c r="H42" s="30">
        <f>IF(AND(ISNUMBER(H40),ISNUMBER(F40)),(H40-F40)*10000,"n/a")</f>
        <v>24.666972898484964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20" t="s">
        <v>105</v>
      </c>
      <c r="C43" s="18" t="s">
        <v>106</v>
      </c>
      <c r="D43" s="18" t="s">
        <v>106</v>
      </c>
      <c r="E43" s="18" t="s">
        <v>106</v>
      </c>
      <c r="F43" s="18" t="s">
        <v>106</v>
      </c>
      <c r="G43" s="18" t="s">
        <v>106</v>
      </c>
      <c r="H43" s="21" t="s">
        <v>106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0" t="s">
        <v>107</v>
      </c>
      <c r="C44" s="18" t="s">
        <v>106</v>
      </c>
      <c r="D44" s="18" t="s">
        <v>106</v>
      </c>
      <c r="E44" s="18" t="s">
        <v>106</v>
      </c>
      <c r="F44" s="18" t="s">
        <v>106</v>
      </c>
      <c r="G44" s="18" t="s">
        <v>106</v>
      </c>
      <c r="H44" s="21" t="s">
        <v>106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0" t="s">
        <v>108</v>
      </c>
      <c r="C45" s="18" t="str">
        <f>IF(AND(ISNUMBER(C37),ISNUMBER(C43),ISNUMBER(C44)),(1+C37)/((1+C43)*(1+C44))-1,"n/a")</f>
        <v>n/a</v>
      </c>
      <c r="D45" s="18" t="str">
        <f>IF(AND(ISNUMBER(D37),ISNUMBER(D43),ISNUMBER(D44)),(1+D37)/((1+D43)*(1+D44))-1,"n/a")</f>
        <v>n/a</v>
      </c>
      <c r="E45" s="18" t="str">
        <f>IF(AND(ISNUMBER(E37),ISNUMBER(E43),ISNUMBER(E44)),(1+E37)/((1+E43)*(1+E44))-1,"n/a")</f>
        <v>n/a</v>
      </c>
      <c r="F45" s="18" t="str">
        <f>IF(AND(ISNUMBER(F37),ISNUMBER(F43),ISNUMBER(F44)),(1+F37)/((1+F43)*(1+F44))-1,"n/a")</f>
        <v>n/a</v>
      </c>
      <c r="G45" s="18" t="str">
        <f>IF(AND(ISNUMBER(G37),ISNUMBER(G43),ISNUMBER(G44)),(1+G37)/((1+G43)*(1+G44))-1,"n/a")</f>
        <v>n/a</v>
      </c>
      <c r="H45" s="21" t="str">
        <f>IF(AND(ISNUMBER(H37),ISNUMBER(H43),ISNUMBER(H44)),(1+H37)/((1+H43)*(1+H44))-1,"n/a")</f>
        <v>n/a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" t="s">
        <v>163</v>
      </c>
      <c r="C46" s="3">
        <v>864</v>
      </c>
      <c r="D46" s="2">
        <f>G46-P46</f>
        <v>765</v>
      </c>
      <c r="E46" s="3">
        <v>819</v>
      </c>
      <c r="F46" s="3">
        <v>838</v>
      </c>
      <c r="G46" s="3">
        <v>3124</v>
      </c>
      <c r="H46" s="7">
        <f>H10*H28-H36</f>
        <v>855.2615539999997</v>
      </c>
      <c r="I46" s="1"/>
      <c r="J46" s="3">
        <v>813</v>
      </c>
      <c r="K46" s="2">
        <f>N46-O46</f>
        <v>756</v>
      </c>
      <c r="L46" s="3">
        <v>832</v>
      </c>
      <c r="M46" s="3">
        <v>663</v>
      </c>
      <c r="N46" s="3">
        <v>3259</v>
      </c>
      <c r="O46" s="3">
        <v>2503</v>
      </c>
      <c r="P46" s="3">
        <v>2359</v>
      </c>
      <c r="Q46" s="1"/>
      <c r="R46" s="9" t="s">
        <v>161</v>
      </c>
      <c r="S46" s="1"/>
      <c r="T46" s="1"/>
      <c r="U46" s="1"/>
      <c r="V46" s="1"/>
      <c r="W46" s="1"/>
      <c r="X46" s="1"/>
      <c r="Y46" s="1"/>
      <c r="Z46" s="1"/>
    </row>
    <row r="47">
      <c r="A47" s="1"/>
      <c r="B47" s="20" t="s">
        <v>98</v>
      </c>
      <c r="C47" s="18">
        <f>IF(AND(ISNUMBER(C46),ISNUMBER(J46)),IF(OR(J46&gt;0,AND(J46&lt;0,C46&lt;0)),C46/J46-1,"n/m"),"n/a")</f>
        <v>0.0627306273062731</v>
      </c>
      <c r="D47" s="18">
        <f>IF(AND(ISNUMBER(D46),ISNUMBER(K46)),IF(OR(K46&gt;0,AND(K46&lt;0,D46&lt;0)),D46/K46-1,"n/m"),"n/a")</f>
        <v>0.011904761904761862</v>
      </c>
      <c r="E47" s="18">
        <f>IF(AND(ISNUMBER(E46),ISNUMBER(L46)),IF(OR(L46&gt;0,AND(L46&lt;0,E46&lt;0)),E46/L46-1,"n/m"),"n/a")</f>
        <v>-0.015625</v>
      </c>
      <c r="F47" s="18">
        <f>IF(AND(ISNUMBER(F46),ISNUMBER(M46)),IF(OR(M46&gt;0,AND(M46&lt;0,F46&lt;0)),F46/M46-1,"n/m"),"n/a")</f>
        <v>0.2639517345399698</v>
      </c>
      <c r="G47" s="18">
        <f>IF(AND(ISNUMBER(G46),ISNUMBER(N46)),IF(OR(N46&gt;0,AND(N46&lt;0,G46&lt;0)),G46/N46-1,"n/m"),"n/a")</f>
        <v>-0.04142374961644679</v>
      </c>
      <c r="H47" s="21">
        <f>IF(AND(ISNUMBER(H46),ISNUMBER(C46)),IF(OR(C46&gt;0,AND(C46&lt;0,H46&lt;0)),H46/C46-1,"n/m"),"n/a")</f>
        <v>-0.010113942129630016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0" t="s">
        <v>99</v>
      </c>
      <c r="C48" s="18">
        <f>IF(AND(ISNUMBER(C46),ISNUMBER(M46)),IF(OR(M46&gt;0,AND(M46&lt;0,C46&lt;0)),C46/M46-1,"n/m"),"n/a")</f>
        <v>0.30316742081447967</v>
      </c>
      <c r="D48" s="18">
        <f>IF(AND(ISNUMBER(D46),ISNUMBER(C46)),IF(OR(C46&gt;0,AND(C46&lt;0,D46&lt;0)),D46/C46-1,"n/m"),"n/a")</f>
        <v>-0.11458333333333337</v>
      </c>
      <c r="E48" s="18">
        <f>IF(AND(ISNUMBER(E46),ISNUMBER(D46)),IF(OR(D46&gt;0,AND(D46&lt;0,E46&lt;0)),E46/D46-1,"n/m"),"n/a")</f>
        <v>0.07058823529411762</v>
      </c>
      <c r="F48" s="18">
        <f>IF(AND(ISNUMBER(F46),ISNUMBER(E46)),IF(OR(E46&gt;0,AND(E46&lt;0,F46&lt;0)),F46/E46-1,"n/m"),"n/a")</f>
        <v>0.023199023199023117</v>
      </c>
      <c r="G48" s="18" t="s">
        <v>100</v>
      </c>
      <c r="H48" s="21">
        <f>IF(AND(ISNUMBER(H46),ISNUMBER(F46)),IF(OR(F46&gt;0,AND(F46&lt;0,H46&lt;0)),H46/F46-1,"n/m"),"n/a")</f>
        <v>0.02059851312649119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8" t="s">
        <v>101</v>
      </c>
      <c r="C49" s="2">
        <f>IF(AND(ISNUMBER(C46),ISNUMBER(M46)),C46-M46,"n/a")</f>
        <v>201</v>
      </c>
      <c r="D49" s="2">
        <f>IF(AND(ISNUMBER(D46),ISNUMBER(C46)),D46-C46,"n/a")</f>
        <v>-99</v>
      </c>
      <c r="E49" s="2">
        <f>IF(AND(ISNUMBER(E46),ISNUMBER(D46)),E46-D46,"n/a")</f>
        <v>54</v>
      </c>
      <c r="F49" s="2">
        <f>IF(AND(ISNUMBER(F46),ISNUMBER(E46)),F46-E46,"n/a")</f>
        <v>19</v>
      </c>
      <c r="G49" s="2" t="s">
        <v>100</v>
      </c>
      <c r="H49" s="7">
        <f>IF(AND(ISNUMBER(H46),ISNUMBER(F46)),H46-F46,"n/a")</f>
        <v>17.261553999999705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20" t="s">
        <v>164</v>
      </c>
      <c r="C50" s="18">
        <f>IF(AND(ISNUMBER(C46),ISNUMBER(C56)),C46/C56,"n/a")</f>
        <v>0.19757603475874685</v>
      </c>
      <c r="D50" s="18">
        <f>IF(AND(ISNUMBER(D46),ISNUMBER(D56)),D46/D56,"n/a")</f>
        <v>0.16572790294627382</v>
      </c>
      <c r="E50" s="18">
        <f>IF(AND(ISNUMBER(E46),ISNUMBER(E56)),E46/E56,"n/a")</f>
        <v>0.20521172638436483</v>
      </c>
      <c r="F50" s="18">
        <f>IF(AND(ISNUMBER(F46),ISNUMBER(F56)),F46/F56,"n/a")</f>
        <v>0.19246669728984842</v>
      </c>
      <c r="G50" s="18">
        <f>IF(AND(ISNUMBER(G46),ISNUMBER(G56)),G46/G56,"n/a")</f>
        <v>0.18045286506469502</v>
      </c>
      <c r="H50" s="21">
        <f>IF(AND(ISNUMBER(H46),ISNUMBER(H56)),H46/H56,"n/a")</f>
        <v>0.18999999999999995</v>
      </c>
      <c r="I50" s="1"/>
      <c r="J50" s="18">
        <f>IF(AND(ISNUMBER(J46),ISNUMBER(J56)),J46/J56,"n/a")</f>
        <v>0.18616899473322648</v>
      </c>
      <c r="K50" s="18">
        <f>IF(AND(ISNUMBER(K46),ISNUMBER(K56)),K46/K56,"n/a")</f>
        <v>0.17742314010795587</v>
      </c>
      <c r="L50" s="18">
        <f>IF(AND(ISNUMBER(L46),ISNUMBER(L56)),L46/L56,"n/a")</f>
        <v>0.1922365988909427</v>
      </c>
      <c r="M50" s="18">
        <f>IF(AND(ISNUMBER(M46),ISNUMBER(M56)),M46/M56,"n/a")</f>
        <v>0.16595744680851063</v>
      </c>
      <c r="N50" s="18">
        <f>IF(AND(ISNUMBER(N46),ISNUMBER(N56)),N46/N56,"n/a")</f>
        <v>0.188774328081557</v>
      </c>
      <c r="O50" s="18">
        <f>IF(AND(ISNUMBER(O46),ISNUMBER(O56)),O46/O56,"n/a")</f>
        <v>0.1924940398369607</v>
      </c>
      <c r="P50" s="18">
        <f>IF(AND(ISNUMBER(P46),ISNUMBER(P56)),P46/P56,"n/a")</f>
        <v>0.18580655324511658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37" t="s">
        <v>103</v>
      </c>
      <c r="C51" s="5">
        <f>IF(AND(ISNUMBER(C50),ISNUMBER(J50)),(C50-J50)*10000,"n/a")</f>
        <v>114.07040025520371</v>
      </c>
      <c r="D51" s="5">
        <f>IF(AND(ISNUMBER(D50),ISNUMBER(K50)),(D50-K50)*10000,"n/a")</f>
        <v>-116.95237161682054</v>
      </c>
      <c r="E51" s="5">
        <f>IF(AND(ISNUMBER(E50),ISNUMBER(L50)),(E50-L50)*10000,"n/a")</f>
        <v>129.75127493422139</v>
      </c>
      <c r="F51" s="5">
        <f>IF(AND(ISNUMBER(F50),ISNUMBER(M50)),(F50-M50)*10000,"n/a")</f>
        <v>265.0925048133779</v>
      </c>
      <c r="G51" s="5">
        <f>IF(AND(ISNUMBER(G50),ISNUMBER(N50)),(G50-N50)*10000,"n/a")</f>
        <v>-83.21463016861985</v>
      </c>
      <c r="H51" s="30">
        <f>IF(AND(ISNUMBER(H50),ISNUMBER(C50)),(H50-C50)*10000,"n/a")</f>
        <v>-75.76034758746908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37" t="s">
        <v>104</v>
      </c>
      <c r="C52" s="5">
        <f>IF(AND(ISNUMBER(C50),ISNUMBER(M50)),(C50-M50)*10000,"n/a")</f>
        <v>316.18587950236224</v>
      </c>
      <c r="D52" s="5">
        <f>IF(AND(ISNUMBER(D50),ISNUMBER(C50)),(D50-C50)*10000,"n/a")</f>
        <v>-318.48131812473036</v>
      </c>
      <c r="E52" s="5">
        <f>IF(AND(ISNUMBER(E50),ISNUMBER(D50)),(E50-D50)*10000,"n/a")</f>
        <v>394.8382343809101</v>
      </c>
      <c r="F52" s="5">
        <f>IF(AND(ISNUMBER(F50),ISNUMBER(E50)),(F50-E50)*10000,"n/a")</f>
        <v>-127.45029094516414</v>
      </c>
      <c r="G52" s="5" t="s">
        <v>100</v>
      </c>
      <c r="H52" s="30">
        <f>IF(AND(ISNUMBER(H50),ISNUMBER(F50)),(H50-F50)*10000,"n/a")</f>
        <v>-24.666972898484683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20" t="s">
        <v>105</v>
      </c>
      <c r="C53" s="18" t="s">
        <v>106</v>
      </c>
      <c r="D53" s="18" t="s">
        <v>106</v>
      </c>
      <c r="E53" s="18" t="s">
        <v>106</v>
      </c>
      <c r="F53" s="18" t="s">
        <v>106</v>
      </c>
      <c r="G53" s="18" t="s">
        <v>106</v>
      </c>
      <c r="H53" s="21" t="s">
        <v>106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0" t="s">
        <v>107</v>
      </c>
      <c r="C54" s="18" t="s">
        <v>106</v>
      </c>
      <c r="D54" s="18" t="s">
        <v>106</v>
      </c>
      <c r="E54" s="18" t="s">
        <v>106</v>
      </c>
      <c r="F54" s="18" t="s">
        <v>106</v>
      </c>
      <c r="G54" s="18" t="s">
        <v>106</v>
      </c>
      <c r="H54" s="21" t="s">
        <v>106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0" t="s">
        <v>108</v>
      </c>
      <c r="C55" s="18" t="str">
        <f>IF(AND(ISNUMBER(C47),ISNUMBER(C53),ISNUMBER(C54)),(1+C47)/((1+C53)*(1+C54))-1,"n/a")</f>
        <v>n/a</v>
      </c>
      <c r="D55" s="18" t="str">
        <f>IF(AND(ISNUMBER(D47),ISNUMBER(D53),ISNUMBER(D54)),(1+D47)/((1+D53)*(1+D54))-1,"n/a")</f>
        <v>n/a</v>
      </c>
      <c r="E55" s="18" t="str">
        <f>IF(AND(ISNUMBER(E47),ISNUMBER(E53),ISNUMBER(E54)),(1+E47)/((1+E53)*(1+E54))-1,"n/a")</f>
        <v>n/a</v>
      </c>
      <c r="F55" s="18" t="str">
        <f>IF(AND(ISNUMBER(F47),ISNUMBER(F53),ISNUMBER(F54)),(1+F47)/((1+F53)*(1+F54))-1,"n/a")</f>
        <v>n/a</v>
      </c>
      <c r="G55" s="18" t="str">
        <f>IF(AND(ISNUMBER(G47),ISNUMBER(G53),ISNUMBER(G54)),(1+G47)/((1+G53)*(1+G54))-1,"n/a")</f>
        <v>n/a</v>
      </c>
      <c r="H55" s="21" t="str">
        <f>IF(AND(ISNUMBER(H47),ISNUMBER(H53),ISNUMBER(H54)),(1+H47)/((1+H53)*(1+H54))-1,"n/a")</f>
        <v>n/a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46" t="s">
        <v>216</v>
      </c>
      <c r="C56" s="14">
        <f>C36+C46</f>
        <v>4373</v>
      </c>
      <c r="D56" s="14">
        <f>D36+D46</f>
        <v>4616</v>
      </c>
      <c r="E56" s="14">
        <f>E36+E46</f>
        <v>3991</v>
      </c>
      <c r="F56" s="14">
        <f>F36+F46</f>
        <v>4354</v>
      </c>
      <c r="G56" s="14">
        <f>G36+G46</f>
        <v>17312</v>
      </c>
      <c r="H56" s="48">
        <f>H36+H46</f>
        <v>4501.3766</v>
      </c>
      <c r="I56" s="1"/>
      <c r="J56" s="14">
        <f>J36+J46</f>
        <v>4367</v>
      </c>
      <c r="K56" s="14">
        <f>K36+K46</f>
        <v>4261</v>
      </c>
      <c r="L56" s="14">
        <f>L36+L46</f>
        <v>4328</v>
      </c>
      <c r="M56" s="14">
        <f>M36+M46</f>
        <v>3995</v>
      </c>
      <c r="N56" s="14">
        <f>N36+N46</f>
        <v>17264</v>
      </c>
      <c r="O56" s="14">
        <f>O36+O46</f>
        <v>13003</v>
      </c>
      <c r="P56" s="14">
        <f>P36+P46</f>
        <v>12696</v>
      </c>
      <c r="Q56" s="1"/>
      <c r="R56" s="9" t="s">
        <v>166</v>
      </c>
      <c r="S56" s="1"/>
      <c r="T56" s="1"/>
      <c r="U56" s="1"/>
      <c r="V56" s="1"/>
      <c r="W56" s="1"/>
      <c r="X56" s="1"/>
      <c r="Y56" s="1"/>
      <c r="Z56" s="1"/>
    </row>
    <row r="57">
      <c r="A57" s="1"/>
      <c r="B57" s="25" t="s">
        <v>98</v>
      </c>
      <c r="C57" s="18">
        <f>IF(AND(ISNUMBER(C56),ISNUMBER(J56)),IF(OR(J56&gt;0,AND(J56&lt;0,C56&lt;0)),C56/J56-1,"n/m"),"n/a")</f>
        <v>0.0013739409205404396</v>
      </c>
      <c r="D57" s="18">
        <f>IF(AND(ISNUMBER(D56),ISNUMBER(K56)),IF(OR(K56&gt;0,AND(K56&lt;0,D56&lt;0)),D56/K56-1,"n/m"),"n/a")</f>
        <v>0.08331377610889468</v>
      </c>
      <c r="E57" s="18">
        <f>IF(AND(ISNUMBER(E56),ISNUMBER(L56)),IF(OR(L56&gt;0,AND(L56&lt;0,E56&lt;0)),E56/L56-1,"n/m"),"n/a")</f>
        <v>-0.0778650646950092</v>
      </c>
      <c r="F57" s="18">
        <f>IF(AND(ISNUMBER(F56),ISNUMBER(M56)),IF(OR(M56&gt;0,AND(M56&lt;0,F56&lt;0)),F56/M56-1,"n/m"),"n/a")</f>
        <v>0.08986232790988735</v>
      </c>
      <c r="G57" s="18">
        <f>IF(AND(ISNUMBER(G56),ISNUMBER(N56)),IF(OR(N56&gt;0,AND(N56&lt;0,G56&lt;0)),G56/N56-1,"n/m"),"n/a")</f>
        <v>0.002780352177942591</v>
      </c>
      <c r="H57" s="21">
        <f>IF(AND(ISNUMBER(H56),ISNUMBER(C56)),IF(OR(C56&gt;0,AND(C56&lt;0,H56&lt;0)),H56/C56-1,"n/m"),"n/a")</f>
        <v>0.029356643036816843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25" t="s">
        <v>99</v>
      </c>
      <c r="C58" s="18">
        <f>IF(AND(ISNUMBER(C56),ISNUMBER(M56)),IF(OR(M56&gt;0,AND(M56&lt;0,C56&lt;0)),C56/M56-1,"n/m"),"n/a")</f>
        <v>0.0946182728410514</v>
      </c>
      <c r="D58" s="18">
        <f>IF(AND(ISNUMBER(D56),ISNUMBER(C56)),IF(OR(C56&gt;0,AND(C56&lt;0,D56&lt;0)),D56/C56-1,"n/m"),"n/a")</f>
        <v>0.05556825977589752</v>
      </c>
      <c r="E58" s="18">
        <f>IF(AND(ISNUMBER(E56),ISNUMBER(D56)),IF(OR(D56&gt;0,AND(D56&lt;0,E56&lt;0)),E56/D56-1,"n/m"),"n/a")</f>
        <v>-0.1353986135181976</v>
      </c>
      <c r="F58" s="18">
        <f>IF(AND(ISNUMBER(F56),ISNUMBER(E56)),IF(OR(E56&gt;0,AND(E56&lt;0,F56&lt;0)),F56/E56-1,"n/m"),"n/a")</f>
        <v>0.09095464795790531</v>
      </c>
      <c r="G58" s="18" t="s">
        <v>100</v>
      </c>
      <c r="H58" s="21">
        <f>IF(AND(ISNUMBER(H56),ISNUMBER(F56)),IF(OR(F56&gt;0,AND(F56&lt;0,H56&lt;0)),H56/F56-1,"n/m"),"n/a")</f>
        <v>0.03384855305466239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4" t="s">
        <v>101</v>
      </c>
      <c r="C59" s="2">
        <f>IF(AND(ISNUMBER(C56),ISNUMBER(M56)),C56-M56,"n/a")</f>
        <v>378</v>
      </c>
      <c r="D59" s="2">
        <f>IF(AND(ISNUMBER(D56),ISNUMBER(C56)),D56-C56,"n/a")</f>
        <v>243</v>
      </c>
      <c r="E59" s="2">
        <f>IF(AND(ISNUMBER(E56),ISNUMBER(D56)),E56-D56,"n/a")</f>
        <v>-625</v>
      </c>
      <c r="F59" s="2">
        <f>IF(AND(ISNUMBER(F56),ISNUMBER(E56)),F56-E56,"n/a")</f>
        <v>363</v>
      </c>
      <c r="G59" s="2" t="s">
        <v>100</v>
      </c>
      <c r="H59" s="7">
        <f>IF(AND(ISNUMBER(H56),ISNUMBER(F56)),H56-F56,"n/a")</f>
        <v>147.3765999999996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25" t="s">
        <v>105</v>
      </c>
      <c r="C60" s="18" t="s">
        <v>106</v>
      </c>
      <c r="D60" s="18" t="s">
        <v>106</v>
      </c>
      <c r="E60" s="18" t="s">
        <v>106</v>
      </c>
      <c r="F60" s="18" t="s">
        <v>106</v>
      </c>
      <c r="G60" s="18" t="s">
        <v>106</v>
      </c>
      <c r="H60" s="21" t="s">
        <v>106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107</v>
      </c>
      <c r="C61" s="18" t="s">
        <v>106</v>
      </c>
      <c r="D61" s="18" t="s">
        <v>106</v>
      </c>
      <c r="E61" s="18" t="s">
        <v>106</v>
      </c>
      <c r="F61" s="18" t="s">
        <v>106</v>
      </c>
      <c r="G61" s="18" t="s">
        <v>106</v>
      </c>
      <c r="H61" s="21" t="s">
        <v>106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5" t="s">
        <v>108</v>
      </c>
      <c r="C62" s="18" t="str">
        <f>IF(AND(ISNUMBER(C57),ISNUMBER(C60),ISNUMBER(C61)),(1+C57)/((1+C60)*(1+C61))-1,"n/a")</f>
        <v>n/a</v>
      </c>
      <c r="D62" s="18" t="str">
        <f>IF(AND(ISNUMBER(D57),ISNUMBER(D60),ISNUMBER(D61)),(1+D57)/((1+D60)*(1+D61))-1,"n/a")</f>
        <v>n/a</v>
      </c>
      <c r="E62" s="18" t="str">
        <f>IF(AND(ISNUMBER(E57),ISNUMBER(E60),ISNUMBER(E61)),(1+E57)/((1+E60)*(1+E61))-1,"n/a")</f>
        <v>n/a</v>
      </c>
      <c r="F62" s="18" t="str">
        <f>IF(AND(ISNUMBER(F57),ISNUMBER(F60),ISNUMBER(F61)),(1+F57)/((1+F60)*(1+F61))-1,"n/a")</f>
        <v>n/a</v>
      </c>
      <c r="G62" s="18" t="str">
        <f>IF(AND(ISNUMBER(G57),ISNUMBER(G60),ISNUMBER(G61)),(1+G57)/((1+G60)*(1+G61))-1,"n/a")</f>
        <v>n/a</v>
      </c>
      <c r="H62" s="21" t="str">
        <f>IF(AND(ISNUMBER(H57),ISNUMBER(H60),ISNUMBER(H61)),(1+H57)/((1+H60)*(1+H61))-1,"n/a")</f>
        <v>n/a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3" t="s">
        <v>167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  <c r="T64" s="1"/>
      <c r="U64" s="1"/>
      <c r="V64" s="1"/>
      <c r="W64" s="1"/>
      <c r="X64" s="1"/>
      <c r="Y64" s="1"/>
      <c r="Z64" s="1"/>
    </row>
    <row r="65">
      <c r="A65" s="1"/>
      <c r="B65" s="4" t="s">
        <v>168</v>
      </c>
      <c r="C65" s="3">
        <v>2733</v>
      </c>
      <c r="D65" s="2">
        <f>G65-P65</f>
        <v>3078</v>
      </c>
      <c r="E65" s="3">
        <v>2330</v>
      </c>
      <c r="F65" s="3">
        <v>2592</v>
      </c>
      <c r="G65" s="3">
        <v>10766</v>
      </c>
      <c r="H65" s="7">
        <f>H56*H69</f>
        <v>2781.8507388</v>
      </c>
      <c r="I65" s="1"/>
      <c r="J65" s="3">
        <v>2691</v>
      </c>
      <c r="K65" s="2">
        <f>N65-O65</f>
        <v>2890</v>
      </c>
      <c r="L65" s="3">
        <v>2660</v>
      </c>
      <c r="M65" s="3">
        <v>2295</v>
      </c>
      <c r="N65" s="3">
        <v>10870</v>
      </c>
      <c r="O65" s="3">
        <v>7980</v>
      </c>
      <c r="P65" s="3">
        <v>7688</v>
      </c>
      <c r="Q65" s="1"/>
      <c r="R65" s="9" t="s">
        <v>161</v>
      </c>
      <c r="S65" s="1"/>
      <c r="T65" s="1"/>
      <c r="U65" s="1"/>
      <c r="V65" s="1"/>
      <c r="W65" s="1"/>
      <c r="X65" s="1"/>
      <c r="Y65" s="1"/>
      <c r="Z65" s="1"/>
    </row>
    <row r="66">
      <c r="A66" s="1"/>
      <c r="B66" s="20" t="s">
        <v>98</v>
      </c>
      <c r="C66" s="18">
        <f>IF(AND(ISNUMBER(C65),ISNUMBER(J65)),IF(OR(J65&gt;0,AND(J65&lt;0,C65&lt;0)),C65/J65-1,"n/m"),"n/a")</f>
        <v>0.015607580824972045</v>
      </c>
      <c r="D66" s="18">
        <f>IF(AND(ISNUMBER(D65),ISNUMBER(K65)),IF(OR(K65&gt;0,AND(K65&lt;0,D65&lt;0)),D65/K65-1,"n/m"),"n/a")</f>
        <v>0.06505190311418696</v>
      </c>
      <c r="E66" s="18">
        <f>IF(AND(ISNUMBER(E65),ISNUMBER(L65)),IF(OR(L65&gt;0,AND(L65&lt;0,E65&lt;0)),E65/L65-1,"n/m"),"n/a")</f>
        <v>-0.12406015037593987</v>
      </c>
      <c r="F66" s="18">
        <f>IF(AND(ISNUMBER(F65),ISNUMBER(M65)),IF(OR(M65&gt;0,AND(M65&lt;0,F65&lt;0)),F65/M65-1,"n/m"),"n/a")</f>
        <v>0.12941176470588234</v>
      </c>
      <c r="G66" s="18">
        <f>IF(AND(ISNUMBER(G65),ISNUMBER(N65)),IF(OR(N65&gt;0,AND(N65&lt;0,G65&lt;0)),G65/N65-1,"n/m"),"n/a")</f>
        <v>-0.009567617295308195</v>
      </c>
      <c r="H66" s="21">
        <f>IF(AND(ISNUMBER(H65),ISNUMBER(C65)),IF(OR(C65&gt;0,AND(C65&lt;0,H65&lt;0)),H65/C65-1,"n/m"),"n/a")</f>
        <v>0.017874401317233835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20" t="s">
        <v>99</v>
      </c>
      <c r="C67" s="18">
        <f>IF(AND(ISNUMBER(C65),ISNUMBER(M65)),IF(OR(M65&gt;0,AND(M65&lt;0,C65&lt;0)),C65/M65-1,"n/m"),"n/a")</f>
        <v>0.19084967320261437</v>
      </c>
      <c r="D67" s="18">
        <f>IF(AND(ISNUMBER(D65),ISNUMBER(C65)),IF(OR(C65&gt;0,AND(C65&lt;0,D65&lt;0)),D65/C65-1,"n/m"),"n/a")</f>
        <v>0.1262349066959385</v>
      </c>
      <c r="E67" s="18">
        <f>IF(AND(ISNUMBER(E65),ISNUMBER(D65)),IF(OR(D65&gt;0,AND(D65&lt;0,E65&lt;0)),E65/D65-1,"n/m"),"n/a")</f>
        <v>-0.24301494476933072</v>
      </c>
      <c r="F67" s="18">
        <f>IF(AND(ISNUMBER(F65),ISNUMBER(E65)),IF(OR(E65&gt;0,AND(E65&lt;0,F65&lt;0)),F65/E65-1,"n/m"),"n/a")</f>
        <v>0.11244635193133057</v>
      </c>
      <c r="G67" s="18" t="s">
        <v>100</v>
      </c>
      <c r="H67" s="21">
        <f>IF(AND(ISNUMBER(H65),ISNUMBER(F65)),IF(OR(F65&gt;0,AND(F65&lt;0,H65&lt;0)),H65/F65-1,"n/m"),"n/a")</f>
        <v>0.07324488379629623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8" t="s">
        <v>101</v>
      </c>
      <c r="C68" s="2">
        <f>IF(AND(ISNUMBER(C65),ISNUMBER(M65)),C65-M65,"n/a")</f>
        <v>438</v>
      </c>
      <c r="D68" s="2">
        <f>IF(AND(ISNUMBER(D65),ISNUMBER(C65)),D65-C65,"n/a")</f>
        <v>345</v>
      </c>
      <c r="E68" s="2">
        <f>IF(AND(ISNUMBER(E65),ISNUMBER(D65)),E65-D65,"n/a")</f>
        <v>-748</v>
      </c>
      <c r="F68" s="2">
        <f>IF(AND(ISNUMBER(F65),ISNUMBER(E65)),F65-E65,"n/a")</f>
        <v>262</v>
      </c>
      <c r="G68" s="2" t="s">
        <v>100</v>
      </c>
      <c r="H68" s="7">
        <f>IF(AND(ISNUMBER(H65),ISNUMBER(F65)),H65-F65,"n/a")</f>
        <v>189.85073879999982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0" t="s">
        <v>169</v>
      </c>
      <c r="C69" s="18">
        <f>IF(AND(ISNUMBER(C65),ISNUMBER(C56)),C65/C56,"n/a")</f>
        <v>0.6249714155042305</v>
      </c>
      <c r="D69" s="18">
        <f>IF(AND(ISNUMBER(D65),ISNUMBER(D56)),D65/D56,"n/a")</f>
        <v>0.6668110918544194</v>
      </c>
      <c r="E69" s="18">
        <f>IF(AND(ISNUMBER(E65),ISNUMBER(E56)),E65/E56,"n/a")</f>
        <v>0.5838135805562515</v>
      </c>
      <c r="F69" s="18">
        <f>IF(AND(ISNUMBER(F65),ISNUMBER(F56)),F65/F56,"n/a")</f>
        <v>0.5953146531924667</v>
      </c>
      <c r="G69" s="18">
        <f>IF(AND(ISNUMBER(G65),ISNUMBER(G56)),G65/G56,"n/a")</f>
        <v>0.6218807763401109</v>
      </c>
      <c r="H69" s="32">
        <v>0.618</v>
      </c>
      <c r="I69" s="1"/>
      <c r="J69" s="18">
        <f>IF(AND(ISNUMBER(J65),ISNUMBER(J56)),J65/J56,"n/a")</f>
        <v>0.6162125028623769</v>
      </c>
      <c r="K69" s="18">
        <f>IF(AND(ISNUMBER(K65),ISNUMBER(K56)),K65/K56,"n/a")</f>
        <v>0.6782445435343816</v>
      </c>
      <c r="L69" s="18">
        <f>IF(AND(ISNUMBER(L65),ISNUMBER(L56)),L65/L56,"n/a")</f>
        <v>0.6146025878003697</v>
      </c>
      <c r="M69" s="18">
        <f>IF(AND(ISNUMBER(M65),ISNUMBER(M56)),M65/M56,"n/a")</f>
        <v>0.574468085106383</v>
      </c>
      <c r="N69" s="18">
        <f>IF(AND(ISNUMBER(N65),ISNUMBER(N56)),N65/N56,"n/a")</f>
        <v>0.629633920296571</v>
      </c>
      <c r="O69" s="18">
        <f>IF(AND(ISNUMBER(O65),ISNUMBER(O56)),O65/O56,"n/a")</f>
        <v>0.6137045297239099</v>
      </c>
      <c r="P69" s="18">
        <f>IF(AND(ISNUMBER(P65),ISNUMBER(P56)),P65/P56,"n/a")</f>
        <v>0.6055450535601764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37" t="s">
        <v>103</v>
      </c>
      <c r="C70" s="5">
        <f>IF(AND(ISNUMBER(C69),ISNUMBER(J69)),(C69-J69)*10000,"n/a")</f>
        <v>87.58912641853578</v>
      </c>
      <c r="D70" s="5">
        <f>IF(AND(ISNUMBER(D69),ISNUMBER(K69)),(D69-K69)*10000,"n/a")</f>
        <v>-114.33451679962126</v>
      </c>
      <c r="E70" s="5">
        <f>IF(AND(ISNUMBER(E69),ISNUMBER(L69)),(E69-L69)*10000,"n/a")</f>
        <v>-307.8900724411815</v>
      </c>
      <c r="F70" s="5">
        <f>IF(AND(ISNUMBER(F69),ISNUMBER(M69)),(F69-M69)*10000,"n/a")</f>
        <v>208.4656808608365</v>
      </c>
      <c r="G70" s="5">
        <f>IF(AND(ISNUMBER(G69),ISNUMBER(N69)),(G69-N69)*10000,"n/a")</f>
        <v>-77.53143956460096</v>
      </c>
      <c r="H70" s="30">
        <f>IF(AND(ISNUMBER(H69),ISNUMBER(C69)),(H69-C69)*10000,"n/a")</f>
        <v>-69.71415504230526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37" t="s">
        <v>104</v>
      </c>
      <c r="C71" s="5">
        <f>IF(AND(ISNUMBER(C69),ISNUMBER(M69)),(C69-M69)*10000,"n/a")</f>
        <v>505.0333039784749</v>
      </c>
      <c r="D71" s="5">
        <f>IF(AND(ISNUMBER(D69),ISNUMBER(C69)),(D69-C69)*10000,"n/a")</f>
        <v>418.39676350188927</v>
      </c>
      <c r="E71" s="5">
        <f>IF(AND(ISNUMBER(E69),ISNUMBER(D69)),(E69-D69)*10000,"n/a")</f>
        <v>-829.975112981679</v>
      </c>
      <c r="F71" s="5">
        <f>IF(AND(ISNUMBER(F69),ISNUMBER(E69)),(F69-E69)*10000,"n/a")</f>
        <v>115.01072636215137</v>
      </c>
      <c r="G71" s="5" t="s">
        <v>100</v>
      </c>
      <c r="H71" s="30">
        <f>IF(AND(ISNUMBER(H69),ISNUMBER(F69)),(H69-F69)*10000,"n/a")</f>
        <v>226.85346807533313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20" t="s">
        <v>105</v>
      </c>
      <c r="C72" s="18" t="s">
        <v>106</v>
      </c>
      <c r="D72" s="18" t="s">
        <v>106</v>
      </c>
      <c r="E72" s="18" t="s">
        <v>106</v>
      </c>
      <c r="F72" s="18" t="s">
        <v>106</v>
      </c>
      <c r="G72" s="18" t="s">
        <v>106</v>
      </c>
      <c r="H72" s="21" t="s">
        <v>106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20" t="s">
        <v>107</v>
      </c>
      <c r="C73" s="18" t="s">
        <v>106</v>
      </c>
      <c r="D73" s="18" t="s">
        <v>106</v>
      </c>
      <c r="E73" s="18" t="s">
        <v>106</v>
      </c>
      <c r="F73" s="18" t="s">
        <v>106</v>
      </c>
      <c r="G73" s="18" t="s">
        <v>106</v>
      </c>
      <c r="H73" s="21" t="s">
        <v>106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20" t="s">
        <v>108</v>
      </c>
      <c r="C74" s="18" t="str">
        <f>IF(AND(ISNUMBER(C66),ISNUMBER(C72),ISNUMBER(C73)),(1+C66)/((1+C72)*(1+C73))-1,"n/a")</f>
        <v>n/a</v>
      </c>
      <c r="D74" s="18" t="str">
        <f>IF(AND(ISNUMBER(D66),ISNUMBER(D72),ISNUMBER(D73)),(1+D66)/((1+D72)*(1+D73))-1,"n/a")</f>
        <v>n/a</v>
      </c>
      <c r="E74" s="18" t="str">
        <f>IF(AND(ISNUMBER(E66),ISNUMBER(E72),ISNUMBER(E73)),(1+E66)/((1+E72)*(1+E73))-1,"n/a")</f>
        <v>n/a</v>
      </c>
      <c r="F74" s="18" t="str">
        <f>IF(AND(ISNUMBER(F66),ISNUMBER(F72),ISNUMBER(F73)),(1+F66)/((1+F72)*(1+F73))-1,"n/a")</f>
        <v>n/a</v>
      </c>
      <c r="G74" s="18" t="str">
        <f>IF(AND(ISNUMBER(G66),ISNUMBER(G72),ISNUMBER(G73)),(1+G66)/((1+G72)*(1+G73))-1,"n/a")</f>
        <v>n/a</v>
      </c>
      <c r="H74" s="21" t="str">
        <f>IF(AND(ISNUMBER(H66),ISNUMBER(H72),ISNUMBER(H73)),(1+H66)/((1+H72)*(1+H73))-1,"n/a")</f>
        <v>n/a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170</v>
      </c>
      <c r="C75" s="3">
        <v>1640</v>
      </c>
      <c r="D75" s="2">
        <f>G75-P75</f>
        <v>1538</v>
      </c>
      <c r="E75" s="3">
        <v>1661</v>
      </c>
      <c r="F75" s="3">
        <v>1762</v>
      </c>
      <c r="G75" s="3">
        <v>6546</v>
      </c>
      <c r="H75" s="7">
        <f>H56-H65</f>
        <v>1719.5258611999998</v>
      </c>
      <c r="I75" s="1"/>
      <c r="J75" s="3">
        <v>1676</v>
      </c>
      <c r="K75" s="2">
        <f>N75-O75</f>
        <v>1371</v>
      </c>
      <c r="L75" s="3">
        <v>1668</v>
      </c>
      <c r="M75" s="3">
        <v>1700</v>
      </c>
      <c r="N75" s="3">
        <v>6394</v>
      </c>
      <c r="O75" s="3">
        <v>5023</v>
      </c>
      <c r="P75" s="3">
        <v>5008</v>
      </c>
      <c r="Q75" s="1"/>
      <c r="R75" s="9" t="s">
        <v>161</v>
      </c>
      <c r="S75" s="1"/>
      <c r="T75" s="1"/>
      <c r="U75" s="1"/>
      <c r="V75" s="1"/>
      <c r="W75" s="1"/>
      <c r="X75" s="1"/>
      <c r="Y75" s="1"/>
      <c r="Z75" s="1"/>
    </row>
    <row r="76">
      <c r="A76" s="1"/>
      <c r="B76" s="20" t="s">
        <v>98</v>
      </c>
      <c r="C76" s="18">
        <f>IF(AND(ISNUMBER(C75),ISNUMBER(J75)),IF(OR(J75&gt;0,AND(J75&lt;0,C75&lt;0)),C75/J75-1,"n/m"),"n/a")</f>
        <v>-0.021479713603818618</v>
      </c>
      <c r="D76" s="18">
        <f>IF(AND(ISNUMBER(D75),ISNUMBER(K75)),IF(OR(K75&gt;0,AND(K75&lt;0,D75&lt;0)),D75/K75-1,"n/m"),"n/a")</f>
        <v>0.12180889861415034</v>
      </c>
      <c r="E76" s="18">
        <f>IF(AND(ISNUMBER(E75),ISNUMBER(L75)),IF(OR(L75&gt;0,AND(L75&lt;0,E75&lt;0)),E75/L75-1,"n/m"),"n/a")</f>
        <v>-0.004196642685851293</v>
      </c>
      <c r="F76" s="18">
        <f>IF(AND(ISNUMBER(F75),ISNUMBER(M75)),IF(OR(M75&gt;0,AND(M75&lt;0,F75&lt;0)),F75/M75-1,"n/m"),"n/a")</f>
        <v>0.03647058823529403</v>
      </c>
      <c r="G76" s="18">
        <f>IF(AND(ISNUMBER(G75),ISNUMBER(N75)),IF(OR(N75&gt;0,AND(N75&lt;0,G75&lt;0)),G75/N75-1,"n/m"),"n/a")</f>
        <v>0.023772286518611185</v>
      </c>
      <c r="H76" s="21">
        <f>IF(AND(ISNUMBER(H75),ISNUMBER(C75)),IF(OR(C75&gt;0,AND(C75&lt;0,H75&lt;0)),H75/C75-1,"n/m"),"n/a")</f>
        <v>0.048491378780487704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20" t="s">
        <v>99</v>
      </c>
      <c r="C77" s="18">
        <f>IF(AND(ISNUMBER(C75),ISNUMBER(M75)),IF(OR(M75&gt;0,AND(M75&lt;0,C75&lt;0)),C75/M75-1,"n/m"),"n/a")</f>
        <v>-0.03529411764705881</v>
      </c>
      <c r="D77" s="18">
        <f>IF(AND(ISNUMBER(D75),ISNUMBER(C75)),IF(OR(C75&gt;0,AND(C75&lt;0,D75&lt;0)),D75/C75-1,"n/m"),"n/a")</f>
        <v>-0.06219512195121957</v>
      </c>
      <c r="E77" s="18">
        <f>IF(AND(ISNUMBER(E75),ISNUMBER(D75)),IF(OR(D75&gt;0,AND(D75&lt;0,E75&lt;0)),E75/D75-1,"n/m"),"n/a")</f>
        <v>0.07997399219765922</v>
      </c>
      <c r="F77" s="18">
        <f>IF(AND(ISNUMBER(F75),ISNUMBER(E75)),IF(OR(E75&gt;0,AND(E75&lt;0,F75&lt;0)),F75/E75-1,"n/m"),"n/a")</f>
        <v>0.06080674292594823</v>
      </c>
      <c r="G77" s="18" t="s">
        <v>100</v>
      </c>
      <c r="H77" s="21">
        <f>IF(AND(ISNUMBER(H75),ISNUMBER(F75)),IF(OR(F75&gt;0,AND(F75&lt;0,H75&lt;0)),H75/F75-1,"n/m"),"n/a")</f>
        <v>-0.024105640635641468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8" t="s">
        <v>101</v>
      </c>
      <c r="C78" s="2">
        <f>IF(AND(ISNUMBER(C75),ISNUMBER(M75)),C75-M75,"n/a")</f>
        <v>-60</v>
      </c>
      <c r="D78" s="2">
        <f>IF(AND(ISNUMBER(D75),ISNUMBER(C75)),D75-C75,"n/a")</f>
        <v>-102</v>
      </c>
      <c r="E78" s="2">
        <f>IF(AND(ISNUMBER(E75),ISNUMBER(D75)),E75-D75,"n/a")</f>
        <v>123</v>
      </c>
      <c r="F78" s="2">
        <f>IF(AND(ISNUMBER(F75),ISNUMBER(E75)),F75-E75,"n/a")</f>
        <v>101</v>
      </c>
      <c r="G78" s="2" t="s">
        <v>100</v>
      </c>
      <c r="H78" s="7">
        <f>IF(AND(ISNUMBER(H75),ISNUMBER(F75)),H75-F75,"n/a")</f>
        <v>-42.47413880000022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0" t="s">
        <v>171</v>
      </c>
      <c r="C79" s="18">
        <f>IF(AND(ISNUMBER(C75),ISNUMBER(C56)),C75/C56,"n/a")</f>
        <v>0.3750285844957695</v>
      </c>
      <c r="D79" s="18">
        <f>IF(AND(ISNUMBER(D75),ISNUMBER(D56)),D75/D56,"n/a")</f>
        <v>0.3331889081455806</v>
      </c>
      <c r="E79" s="18">
        <f>IF(AND(ISNUMBER(E75),ISNUMBER(E56)),E75/E56,"n/a")</f>
        <v>0.41618641944374846</v>
      </c>
      <c r="F79" s="18">
        <f>IF(AND(ISNUMBER(F75),ISNUMBER(F56)),F75/F56,"n/a")</f>
        <v>0.4046853468075333</v>
      </c>
      <c r="G79" s="18">
        <f>IF(AND(ISNUMBER(G75),ISNUMBER(G56)),G75/G56,"n/a")</f>
        <v>0.3781192236598891</v>
      </c>
      <c r="H79" s="21">
        <f>IF(AND(ISNUMBER(H75),ISNUMBER(H56)),H75/H56,"n/a")</f>
        <v>0.382</v>
      </c>
      <c r="I79" s="1"/>
      <c r="J79" s="18">
        <f>IF(AND(ISNUMBER(J75),ISNUMBER(J56)),J75/J56,"n/a")</f>
        <v>0.38378749713762306</v>
      </c>
      <c r="K79" s="18">
        <f>IF(AND(ISNUMBER(K75),ISNUMBER(K56)),K75/K56,"n/a")</f>
        <v>0.3217554564656184</v>
      </c>
      <c r="L79" s="18">
        <f>IF(AND(ISNUMBER(L75),ISNUMBER(L56)),L75/L56,"n/a")</f>
        <v>0.3853974121996303</v>
      </c>
      <c r="M79" s="18">
        <f>IF(AND(ISNUMBER(M75),ISNUMBER(M56)),M75/M56,"n/a")</f>
        <v>0.425531914893617</v>
      </c>
      <c r="N79" s="18">
        <f>IF(AND(ISNUMBER(N75),ISNUMBER(N56)),N75/N56,"n/a")</f>
        <v>0.3703660797034291</v>
      </c>
      <c r="O79" s="18">
        <f>IF(AND(ISNUMBER(O75),ISNUMBER(O56)),O75/O56,"n/a")</f>
        <v>0.3862954702760901</v>
      </c>
      <c r="P79" s="18">
        <f>IF(AND(ISNUMBER(P75),ISNUMBER(P56)),P75/P56,"n/a")</f>
        <v>0.39445494643982354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37" t="s">
        <v>103</v>
      </c>
      <c r="C80" s="5">
        <f>IF(AND(ISNUMBER(C79),ISNUMBER(J79)),(C79-J79)*10000,"n/a")</f>
        <v>-87.58912641853578</v>
      </c>
      <c r="D80" s="5">
        <f>IF(AND(ISNUMBER(D79),ISNUMBER(K79)),(D79-K79)*10000,"n/a")</f>
        <v>114.33451679962236</v>
      </c>
      <c r="E80" s="5">
        <f>IF(AND(ISNUMBER(E79),ISNUMBER(L79)),(E79-L79)*10000,"n/a")</f>
        <v>307.8900724411815</v>
      </c>
      <c r="F80" s="5">
        <f>IF(AND(ISNUMBER(F79),ISNUMBER(M79)),(F79-M79)*10000,"n/a")</f>
        <v>-208.46568086083707</v>
      </c>
      <c r="G80" s="5">
        <f>IF(AND(ISNUMBER(G79),ISNUMBER(N79)),(G79-N79)*10000,"n/a")</f>
        <v>77.53143956459985</v>
      </c>
      <c r="H80" s="30">
        <f>IF(AND(ISNUMBER(H79),ISNUMBER(C79)),(H79-C79)*10000,"n/a")</f>
        <v>69.71415504230526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37" t="s">
        <v>104</v>
      </c>
      <c r="C81" s="5">
        <f>IF(AND(ISNUMBER(C79),ISNUMBER(M79)),(C79-M79)*10000,"n/a")</f>
        <v>-505.03330397847543</v>
      </c>
      <c r="D81" s="5">
        <f>IF(AND(ISNUMBER(D79),ISNUMBER(C79)),(D79-C79)*10000,"n/a")</f>
        <v>-418.3967635018887</v>
      </c>
      <c r="E81" s="5">
        <f>IF(AND(ISNUMBER(E79),ISNUMBER(D79)),(E79-D79)*10000,"n/a")</f>
        <v>829.9751129816784</v>
      </c>
      <c r="F81" s="5">
        <f>IF(AND(ISNUMBER(F79),ISNUMBER(E79)),(F79-E79)*10000,"n/a")</f>
        <v>-115.01072636215137</v>
      </c>
      <c r="G81" s="5" t="s">
        <v>100</v>
      </c>
      <c r="H81" s="30">
        <f>IF(AND(ISNUMBER(H79),ISNUMBER(F79)),(H79-F79)*10000,"n/a")</f>
        <v>-226.85346807533313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0" t="s">
        <v>105</v>
      </c>
      <c r="C82" s="18" t="s">
        <v>106</v>
      </c>
      <c r="D82" s="18" t="s">
        <v>106</v>
      </c>
      <c r="E82" s="18" t="s">
        <v>106</v>
      </c>
      <c r="F82" s="18" t="s">
        <v>106</v>
      </c>
      <c r="G82" s="18" t="s">
        <v>106</v>
      </c>
      <c r="H82" s="21" t="s">
        <v>106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0" t="s">
        <v>107</v>
      </c>
      <c r="C83" s="18" t="s">
        <v>106</v>
      </c>
      <c r="D83" s="18" t="s">
        <v>106</v>
      </c>
      <c r="E83" s="18" t="s">
        <v>106</v>
      </c>
      <c r="F83" s="18" t="s">
        <v>106</v>
      </c>
      <c r="G83" s="18" t="s">
        <v>106</v>
      </c>
      <c r="H83" s="21" t="s">
        <v>106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20" t="s">
        <v>108</v>
      </c>
      <c r="C84" s="18" t="str">
        <f>IF(AND(ISNUMBER(C76),ISNUMBER(C82),ISNUMBER(C83)),(1+C76)/((1+C82)*(1+C83))-1,"n/a")</f>
        <v>n/a</v>
      </c>
      <c r="D84" s="18" t="str">
        <f>IF(AND(ISNUMBER(D76),ISNUMBER(D82),ISNUMBER(D83)),(1+D76)/((1+D82)*(1+D83))-1,"n/a")</f>
        <v>n/a</v>
      </c>
      <c r="E84" s="18" t="str">
        <f>IF(AND(ISNUMBER(E76),ISNUMBER(E82),ISNUMBER(E83)),(1+E76)/((1+E82)*(1+E83))-1,"n/a")</f>
        <v>n/a</v>
      </c>
      <c r="F84" s="18" t="str">
        <f>IF(AND(ISNUMBER(F76),ISNUMBER(F82),ISNUMBER(F83)),(1+F76)/((1+F82)*(1+F83))-1,"n/a")</f>
        <v>n/a</v>
      </c>
      <c r="G84" s="18" t="str">
        <f>IF(AND(ISNUMBER(G76),ISNUMBER(G82),ISNUMBER(G83)),(1+G76)/((1+G82)*(1+G83))-1,"n/a")</f>
        <v>n/a</v>
      </c>
      <c r="H84" s="21" t="str">
        <f>IF(AND(ISNUMBER(H76),ISNUMBER(H82),ISNUMBER(H83)),(1+H76)/((1+H82)*(1+H83))-1,"n/a")</f>
        <v>n/a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46" t="s">
        <v>172</v>
      </c>
      <c r="C85" s="14">
        <f>C65+C75</f>
        <v>4373</v>
      </c>
      <c r="D85" s="14">
        <f>D65+D75</f>
        <v>4616</v>
      </c>
      <c r="E85" s="14">
        <f>E65+E75</f>
        <v>3991</v>
      </c>
      <c r="F85" s="14">
        <f>F65+F75</f>
        <v>4354</v>
      </c>
      <c r="G85" s="14">
        <f>G65+G75</f>
        <v>17312</v>
      </c>
      <c r="H85" s="48">
        <f>H65+H75</f>
        <v>4501.3766</v>
      </c>
      <c r="I85" s="1"/>
      <c r="J85" s="14">
        <f>J65+J75</f>
        <v>4367</v>
      </c>
      <c r="K85" s="14">
        <f>K65+K75</f>
        <v>4261</v>
      </c>
      <c r="L85" s="14">
        <f>L65+L75</f>
        <v>4328</v>
      </c>
      <c r="M85" s="14">
        <f>M65+M75</f>
        <v>3995</v>
      </c>
      <c r="N85" s="14">
        <f>N65+N75</f>
        <v>17264</v>
      </c>
      <c r="O85" s="14">
        <f>O65+O75</f>
        <v>13003</v>
      </c>
      <c r="P85" s="14">
        <f>P65+P75</f>
        <v>12696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1" t="s">
        <v>173</v>
      </c>
      <c r="C86" s="19">
        <f>C85-C56</f>
        <v>0</v>
      </c>
      <c r="D86" s="19">
        <f>D85-D56</f>
        <v>0</v>
      </c>
      <c r="E86" s="19">
        <f>E85-E56</f>
        <v>0</v>
      </c>
      <c r="F86" s="19">
        <f>F85-F56</f>
        <v>0</v>
      </c>
      <c r="G86" s="19">
        <f>G85-G56</f>
        <v>0</v>
      </c>
      <c r="H86" s="49">
        <f>H85-H56</f>
        <v>0</v>
      </c>
      <c r="I86" s="1"/>
      <c r="J86" s="19">
        <f>J85-J56</f>
        <v>0</v>
      </c>
      <c r="K86" s="19">
        <f>K85-K56</f>
        <v>0</v>
      </c>
      <c r="L86" s="19">
        <f>L85-L56</f>
        <v>0</v>
      </c>
      <c r="M86" s="19">
        <f>M85-M56</f>
        <v>0</v>
      </c>
      <c r="N86" s="19">
        <f>N85-N56</f>
        <v>0</v>
      </c>
      <c r="O86" s="19">
        <f>O85-O56</f>
        <v>0</v>
      </c>
      <c r="P86" s="19">
        <f>P85-P56</f>
        <v>0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3" t="s">
        <v>174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1"/>
      <c r="T88" s="1"/>
      <c r="U88" s="1"/>
      <c r="V88" s="1"/>
      <c r="W88" s="1"/>
      <c r="X88" s="1"/>
      <c r="Y88" s="1"/>
      <c r="Z88" s="1"/>
    </row>
    <row r="89">
      <c r="A89" s="1"/>
      <c r="B89" s="4" t="s">
        <v>175</v>
      </c>
      <c r="C89" s="3">
        <v>2764</v>
      </c>
      <c r="D89" s="2">
        <f>G89-P89</f>
        <v>2717</v>
      </c>
      <c r="E89" s="3">
        <v>2468</v>
      </c>
      <c r="F89" s="3">
        <v>2739</v>
      </c>
      <c r="G89" s="3">
        <v>11126</v>
      </c>
      <c r="H89" s="7">
        <f>H56*H93</f>
        <v>2777.3493621999996</v>
      </c>
      <c r="I89" s="1"/>
      <c r="J89" s="3">
        <v>2867</v>
      </c>
      <c r="K89" s="2">
        <f>N89-O89</f>
        <v>2763</v>
      </c>
      <c r="L89" s="3">
        <v>2787</v>
      </c>
      <c r="M89" s="3">
        <v>2858</v>
      </c>
      <c r="N89" s="3">
        <v>11469</v>
      </c>
      <c r="O89" s="3">
        <v>8706</v>
      </c>
      <c r="P89" s="3">
        <v>8409</v>
      </c>
      <c r="Q89" s="1"/>
      <c r="R89" s="9" t="s">
        <v>161</v>
      </c>
      <c r="S89" s="1"/>
      <c r="T89" s="1"/>
      <c r="U89" s="1"/>
      <c r="V89" s="1"/>
      <c r="W89" s="1"/>
      <c r="X89" s="1"/>
      <c r="Y89" s="1"/>
      <c r="Z89" s="1"/>
    </row>
    <row r="90">
      <c r="A90" s="1"/>
      <c r="B90" s="20" t="s">
        <v>98</v>
      </c>
      <c r="C90" s="18">
        <f>IF(AND(ISNUMBER(C89),ISNUMBER(J89)),IF(OR(J89&gt;0,AND(J89&lt;0,C89&lt;0)),C89/J89-1,"n/m"),"n/a")</f>
        <v>-0.0359260551098709</v>
      </c>
      <c r="D90" s="18">
        <f>IF(AND(ISNUMBER(D89),ISNUMBER(K89)),IF(OR(K89&gt;0,AND(K89&lt;0,D89&lt;0)),D89/K89-1,"n/m"),"n/a")</f>
        <v>-0.01664857039449874</v>
      </c>
      <c r="E90" s="18">
        <f>IF(AND(ISNUMBER(E89),ISNUMBER(L89)),IF(OR(L89&gt;0,AND(L89&lt;0,E89&lt;0)),E89/L89-1,"n/m"),"n/a")</f>
        <v>-0.11445999282382491</v>
      </c>
      <c r="F90" s="18">
        <f>IF(AND(ISNUMBER(F89),ISNUMBER(M89)),IF(OR(M89&gt;0,AND(M89&lt;0,F89&lt;0)),F89/M89-1,"n/m"),"n/a")</f>
        <v>-0.04163750874737582</v>
      </c>
      <c r="G90" s="18">
        <f>IF(AND(ISNUMBER(G89),ISNUMBER(N89)),IF(OR(N89&gt;0,AND(N89&lt;0,G89&lt;0)),G89/N89-1,"n/m"),"n/a")</f>
        <v>-0.02990670503095305</v>
      </c>
      <c r="H90" s="21">
        <f>IF(AND(ISNUMBER(H89),ISNUMBER(C89)),IF(OR(C89&gt;0,AND(C89&lt;0,H89&lt;0)),H89/C89-1,"n/m"),"n/a")</f>
        <v>0.004829725832127263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20" t="s">
        <v>99</v>
      </c>
      <c r="C91" s="18">
        <f>IF(AND(ISNUMBER(C89),ISNUMBER(M89)),IF(OR(M89&gt;0,AND(M89&lt;0,C89&lt;0)),C89/M89-1,"n/m"),"n/a")</f>
        <v>-0.032890132960112006</v>
      </c>
      <c r="D91" s="18">
        <f>IF(AND(ISNUMBER(D89),ISNUMBER(C89)),IF(OR(C89&gt;0,AND(C89&lt;0,D89&lt;0)),D89/C89-1,"n/m"),"n/a")</f>
        <v>-0.01700434153400865</v>
      </c>
      <c r="E91" s="18">
        <f>IF(AND(ISNUMBER(E89),ISNUMBER(D89)),IF(OR(D89&gt;0,AND(D89&lt;0,E89&lt;0)),E89/D89-1,"n/m"),"n/a")</f>
        <v>-0.09164519690835482</v>
      </c>
      <c r="F91" s="18">
        <f>IF(AND(ISNUMBER(F89),ISNUMBER(E89)),IF(OR(E89&gt;0,AND(E89&lt;0,F89&lt;0)),F89/E89-1,"n/m"),"n/a")</f>
        <v>0.1098055105348461</v>
      </c>
      <c r="G91" s="18" t="s">
        <v>100</v>
      </c>
      <c r="H91" s="21">
        <f>IF(AND(ISNUMBER(H89),ISNUMBER(F89)),IF(OR(F89&gt;0,AND(F89&lt;0,H89&lt;0)),H89/F89-1,"n/m"),"n/a")</f>
        <v>0.014001227528294802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8" t="s">
        <v>101</v>
      </c>
      <c r="C92" s="2">
        <f>IF(AND(ISNUMBER(C89),ISNUMBER(M89)),C89-M89,"n/a")</f>
        <v>-94</v>
      </c>
      <c r="D92" s="2">
        <f>IF(AND(ISNUMBER(D89),ISNUMBER(C89)),D89-C89,"n/a")</f>
        <v>-47</v>
      </c>
      <c r="E92" s="2">
        <f>IF(AND(ISNUMBER(E89),ISNUMBER(D89)),E89-D89,"n/a")</f>
        <v>-249</v>
      </c>
      <c r="F92" s="2">
        <f>IF(AND(ISNUMBER(F89),ISNUMBER(E89)),F89-E89,"n/a")</f>
        <v>271</v>
      </c>
      <c r="G92" s="2" t="s">
        <v>100</v>
      </c>
      <c r="H92" s="7">
        <f>IF(AND(ISNUMBER(H89),ISNUMBER(F89)),H89-F89,"n/a")</f>
        <v>38.34936219999963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20" t="s">
        <v>176</v>
      </c>
      <c r="C93" s="18">
        <f>IF(AND(ISNUMBER(C89),ISNUMBER(C56)),C89/C56,"n/a")</f>
        <v>0.6320603704550651</v>
      </c>
      <c r="D93" s="18">
        <f>IF(AND(ISNUMBER(D89),ISNUMBER(D56)),D89/D56,"n/a")</f>
        <v>0.5886048526863085</v>
      </c>
      <c r="E93" s="18">
        <f>IF(AND(ISNUMBER(E89),ISNUMBER(E56)),E89/E56,"n/a")</f>
        <v>0.6183913806063643</v>
      </c>
      <c r="F93" s="18">
        <f>IF(AND(ISNUMBER(F89),ISNUMBER(F56)),F89/F56,"n/a")</f>
        <v>0.6290767110702802</v>
      </c>
      <c r="G93" s="18">
        <f>IF(AND(ISNUMBER(G89),ISNUMBER(G56)),G89/G56,"n/a")</f>
        <v>0.6426756007393716</v>
      </c>
      <c r="H93" s="32">
        <v>0.617</v>
      </c>
      <c r="I93" s="1"/>
      <c r="J93" s="18">
        <f>IF(AND(ISNUMBER(J89),ISNUMBER(J56)),J89/J56,"n/a")</f>
        <v>0.6565147698648958</v>
      </c>
      <c r="K93" s="18">
        <f>IF(AND(ISNUMBER(K89),ISNUMBER(K56)),K89/K56,"n/a")</f>
        <v>0.6484393334897911</v>
      </c>
      <c r="L93" s="18">
        <f>IF(AND(ISNUMBER(L89),ISNUMBER(L56)),L89/L56,"n/a")</f>
        <v>0.6439463955637708</v>
      </c>
      <c r="M93" s="18">
        <f>IF(AND(ISNUMBER(M89),ISNUMBER(M56)),M89/M56,"n/a")</f>
        <v>0.7153942428035044</v>
      </c>
      <c r="N93" s="18">
        <f>IF(AND(ISNUMBER(N89),ISNUMBER(N56)),N89/N56,"n/a")</f>
        <v>0.6643303985171455</v>
      </c>
      <c r="O93" s="18">
        <f>IF(AND(ISNUMBER(O89),ISNUMBER(O56)),O89/O56,"n/a")</f>
        <v>0.6695377989694686</v>
      </c>
      <c r="P93" s="18">
        <f>IF(AND(ISNUMBER(P89),ISNUMBER(P56)),P89/P56,"n/a")</f>
        <v>0.6623345935727788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37" t="s">
        <v>103</v>
      </c>
      <c r="C94" s="5">
        <f>IF(AND(ISNUMBER(C93),ISNUMBER(J93)),(C93-J93)*10000,"n/a")</f>
        <v>-244.54399409830629</v>
      </c>
      <c r="D94" s="5">
        <f>IF(AND(ISNUMBER(D93),ISNUMBER(K93)),(D93-K93)*10000,"n/a")</f>
        <v>-598.3448080348263</v>
      </c>
      <c r="E94" s="5">
        <f>IF(AND(ISNUMBER(E93),ISNUMBER(L93)),(E93-L93)*10000,"n/a")</f>
        <v>-255.5501495740642</v>
      </c>
      <c r="F94" s="5">
        <f>IF(AND(ISNUMBER(F93),ISNUMBER(M93)),(F93-M93)*10000,"n/a")</f>
        <v>-863.1753173322421</v>
      </c>
      <c r="G94" s="5">
        <f>IF(AND(ISNUMBER(G93),ISNUMBER(N93)),(G93-N93)*10000,"n/a")</f>
        <v>-216.54797777773905</v>
      </c>
      <c r="H94" s="30">
        <f>IF(AND(ISNUMBER(H93),ISNUMBER(C93)),(H93-C93)*10000,"n/a")</f>
        <v>-150.60370455065143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37" t="s">
        <v>104</v>
      </c>
      <c r="C95" s="5">
        <f>IF(AND(ISNUMBER(C93),ISNUMBER(M93)),(C93-M93)*10000,"n/a")</f>
        <v>-833.3387234843925</v>
      </c>
      <c r="D95" s="5">
        <f>IF(AND(ISNUMBER(D93),ISNUMBER(C93)),(D93-C93)*10000,"n/a")</f>
        <v>-434.5551776875667</v>
      </c>
      <c r="E95" s="5">
        <f>IF(AND(ISNUMBER(E93),ISNUMBER(D93)),(E93-D93)*10000,"n/a")</f>
        <v>297.86527920055875</v>
      </c>
      <c r="F95" s="5">
        <f>IF(AND(ISNUMBER(F93),ISNUMBER(E93)),(F93-E93)*10000,"n/a")</f>
        <v>106.85330463915844</v>
      </c>
      <c r="G95" s="5" t="s">
        <v>100</v>
      </c>
      <c r="H95" s="30">
        <f>IF(AND(ISNUMBER(H93),ISNUMBER(F93)),(H93-F93)*10000,"n/a")</f>
        <v>-120.76711070280189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20" t="s">
        <v>105</v>
      </c>
      <c r="C96" s="18" t="s">
        <v>106</v>
      </c>
      <c r="D96" s="18" t="s">
        <v>106</v>
      </c>
      <c r="E96" s="18" t="s">
        <v>106</v>
      </c>
      <c r="F96" s="18" t="s">
        <v>106</v>
      </c>
      <c r="G96" s="18" t="s">
        <v>106</v>
      </c>
      <c r="H96" s="21" t="s">
        <v>106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20" t="s">
        <v>107</v>
      </c>
      <c r="C97" s="18" t="s">
        <v>106</v>
      </c>
      <c r="D97" s="18" t="s">
        <v>106</v>
      </c>
      <c r="E97" s="18" t="s">
        <v>106</v>
      </c>
      <c r="F97" s="18" t="s">
        <v>106</v>
      </c>
      <c r="G97" s="18" t="s">
        <v>106</v>
      </c>
      <c r="H97" s="21" t="s">
        <v>106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0" t="s">
        <v>108</v>
      </c>
      <c r="C98" s="18" t="str">
        <f>IF(AND(ISNUMBER(C90),ISNUMBER(C96),ISNUMBER(C97)),(1+C90)/((1+C96)*(1+C97))-1,"n/a")</f>
        <v>n/a</v>
      </c>
      <c r="D98" s="18" t="str">
        <f>IF(AND(ISNUMBER(D90),ISNUMBER(D96),ISNUMBER(D97)),(1+D90)/((1+D96)*(1+D97))-1,"n/a")</f>
        <v>n/a</v>
      </c>
      <c r="E98" s="18" t="str">
        <f>IF(AND(ISNUMBER(E90),ISNUMBER(E96),ISNUMBER(E97)),(1+E90)/((1+E96)*(1+E97))-1,"n/a")</f>
        <v>n/a</v>
      </c>
      <c r="F98" s="18" t="str">
        <f>IF(AND(ISNUMBER(F90),ISNUMBER(F96),ISNUMBER(F97)),(1+F90)/((1+F96)*(1+F97))-1,"n/a")</f>
        <v>n/a</v>
      </c>
      <c r="G98" s="18" t="str">
        <f>IF(AND(ISNUMBER(G90),ISNUMBER(G96),ISNUMBER(G97)),(1+G90)/((1+G96)*(1+G97))-1,"n/a")</f>
        <v>n/a</v>
      </c>
      <c r="H98" s="21" t="str">
        <f>IF(AND(ISNUMBER(H90),ISNUMBER(H96),ISNUMBER(H97)),(1+H90)/((1+H96)*(1+H97))-1,"n/a")</f>
        <v>n/a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4" t="s">
        <v>177</v>
      </c>
      <c r="C99" s="3">
        <v>1564</v>
      </c>
      <c r="D99" s="2">
        <f>G99-P99</f>
        <v>1850</v>
      </c>
      <c r="E99" s="3">
        <v>1473</v>
      </c>
      <c r="F99" s="3">
        <v>1567</v>
      </c>
      <c r="G99" s="3">
        <v>5967</v>
      </c>
      <c r="H99" s="7">
        <f>H56*H103</f>
        <v>1674.5120951999997</v>
      </c>
      <c r="I99" s="1"/>
      <c r="J99" s="3">
        <v>1403</v>
      </c>
      <c r="K99" s="2">
        <f>N99-O99</f>
        <v>1428</v>
      </c>
      <c r="L99" s="3">
        <v>1468</v>
      </c>
      <c r="M99" s="3">
        <v>1085</v>
      </c>
      <c r="N99" s="3">
        <v>5463</v>
      </c>
      <c r="O99" s="3">
        <v>4035</v>
      </c>
      <c r="P99" s="3">
        <v>4117</v>
      </c>
      <c r="Q99" s="1"/>
      <c r="R99" s="9" t="s">
        <v>161</v>
      </c>
      <c r="S99" s="1"/>
      <c r="T99" s="1"/>
      <c r="U99" s="1"/>
      <c r="V99" s="1"/>
      <c r="W99" s="1"/>
      <c r="X99" s="1"/>
      <c r="Y99" s="1"/>
      <c r="Z99" s="1"/>
    </row>
    <row r="100">
      <c r="A100" s="1"/>
      <c r="B100" s="20" t="s">
        <v>98</v>
      </c>
      <c r="C100" s="18">
        <f>IF(AND(ISNUMBER(C99),ISNUMBER(J99)),IF(OR(J99&gt;0,AND(J99&lt;0,C99&lt;0)),C99/J99-1,"n/m"),"n/a")</f>
        <v>0.11475409836065564</v>
      </c>
      <c r="D100" s="18">
        <f>IF(AND(ISNUMBER(D99),ISNUMBER(K99)),IF(OR(K99&gt;0,AND(K99&lt;0,D99&lt;0)),D99/K99-1,"n/m"),"n/a")</f>
        <v>0.2955182072829132</v>
      </c>
      <c r="E100" s="18">
        <f>IF(AND(ISNUMBER(E99),ISNUMBER(L99)),IF(OR(L99&gt;0,AND(L99&lt;0,E99&lt;0)),E99/L99-1,"n/m"),"n/a")</f>
        <v>0.0034059945504087974</v>
      </c>
      <c r="F100" s="18">
        <f>IF(AND(ISNUMBER(F99),ISNUMBER(M99)),IF(OR(M99&gt;0,AND(M99&lt;0,F99&lt;0)),F99/M99-1,"n/m"),"n/a")</f>
        <v>0.4442396313364054</v>
      </c>
      <c r="G100" s="18">
        <f>IF(AND(ISNUMBER(G99),ISNUMBER(N99)),IF(OR(N99&gt;0,AND(N99&lt;0,G99&lt;0)),G99/N99-1,"n/m"),"n/a")</f>
        <v>0.09225700164744643</v>
      </c>
      <c r="H100" s="21">
        <f>IF(AND(ISNUMBER(H99),ISNUMBER(C99)),IF(OR(C99&gt;0,AND(C99&lt;0,H99&lt;0)),H99/C99-1,"n/m"),"n/a")</f>
        <v>0.07065990741687966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20" t="s">
        <v>99</v>
      </c>
      <c r="C101" s="18">
        <f>IF(AND(ISNUMBER(C99),ISNUMBER(M99)),IF(OR(M99&gt;0,AND(M99&lt;0,C99&lt;0)),C99/M99-1,"n/m"),"n/a")</f>
        <v>0.44147465437788025</v>
      </c>
      <c r="D101" s="18">
        <f>IF(AND(ISNUMBER(D99),ISNUMBER(C99)),IF(OR(C99&gt;0,AND(C99&lt;0,D99&lt;0)),D99/C99-1,"n/m"),"n/a")</f>
        <v>0.18286445012787733</v>
      </c>
      <c r="E101" s="18">
        <f>IF(AND(ISNUMBER(E99),ISNUMBER(D99)),IF(OR(D99&gt;0,AND(D99&lt;0,E99&lt;0)),E99/D99-1,"n/m"),"n/a")</f>
        <v>-0.2037837837837838</v>
      </c>
      <c r="F101" s="18">
        <f>IF(AND(ISNUMBER(F99),ISNUMBER(E99)),IF(OR(E99&gt;0,AND(E99&lt;0,F99&lt;0)),F99/E99-1,"n/m"),"n/a")</f>
        <v>0.06381534283774615</v>
      </c>
      <c r="G101" s="18" t="s">
        <v>100</v>
      </c>
      <c r="H101" s="21">
        <f>IF(AND(ISNUMBER(H99),ISNUMBER(F99)),IF(OR(F99&gt;0,AND(F99&lt;0,H99&lt;0)),H99/F99-1,"n/m"),"n/a")</f>
        <v>0.06861014371410312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8" t="s">
        <v>101</v>
      </c>
      <c r="C102" s="2">
        <f>IF(AND(ISNUMBER(C99),ISNUMBER(M99)),C99-M99,"n/a")</f>
        <v>479</v>
      </c>
      <c r="D102" s="2">
        <f>IF(AND(ISNUMBER(D99),ISNUMBER(C99)),D99-C99,"n/a")</f>
        <v>286</v>
      </c>
      <c r="E102" s="2">
        <f>IF(AND(ISNUMBER(E99),ISNUMBER(D99)),E99-D99,"n/a")</f>
        <v>-377</v>
      </c>
      <c r="F102" s="2">
        <f>IF(AND(ISNUMBER(F99),ISNUMBER(E99)),F99-E99,"n/a")</f>
        <v>94</v>
      </c>
      <c r="G102" s="2" t="s">
        <v>100</v>
      </c>
      <c r="H102" s="7">
        <f>IF(AND(ISNUMBER(H99),ISNUMBER(F99)),H99-F99,"n/a")</f>
        <v>107.51209519999975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20" t="s">
        <v>178</v>
      </c>
      <c r="C103" s="18">
        <f>IF(AND(ISNUMBER(C99),ISNUMBER(C56)),C99/C56,"n/a")</f>
        <v>0.35764921106791675</v>
      </c>
      <c r="D103" s="18">
        <f>IF(AND(ISNUMBER(D99),ISNUMBER(D56)),D99/D56,"n/a")</f>
        <v>0.4007798960138648</v>
      </c>
      <c r="E103" s="18">
        <f>IF(AND(ISNUMBER(E99),ISNUMBER(E56)),E99/E56,"n/a")</f>
        <v>0.3690804309696818</v>
      </c>
      <c r="F103" s="18">
        <f>IF(AND(ISNUMBER(F99),ISNUMBER(F56)),F99/F56,"n/a")</f>
        <v>0.35989894350022966</v>
      </c>
      <c r="G103" s="18">
        <f>IF(AND(ISNUMBER(G99),ISNUMBER(G56)),G99/G56,"n/a")</f>
        <v>0.34467421441774493</v>
      </c>
      <c r="H103" s="32">
        <v>0.372</v>
      </c>
      <c r="I103" s="1"/>
      <c r="J103" s="18">
        <f>IF(AND(ISNUMBER(J99),ISNUMBER(J56)),J99/J56,"n/a")</f>
        <v>0.3212731852530341</v>
      </c>
      <c r="K103" s="18">
        <f>IF(AND(ISNUMBER(K99),ISNUMBER(K56)),K99/K56,"n/a")</f>
        <v>0.3351325979816944</v>
      </c>
      <c r="L103" s="18">
        <f>IF(AND(ISNUMBER(L99),ISNUMBER(L56)),L99/L56,"n/a")</f>
        <v>0.3391866913123845</v>
      </c>
      <c r="M103" s="18">
        <f>IF(AND(ISNUMBER(M99),ISNUMBER(M56)),M99/M56,"n/a")</f>
        <v>0.2715894868585732</v>
      </c>
      <c r="N103" s="18">
        <f>IF(AND(ISNUMBER(N99),ISNUMBER(N56)),N99/N56,"n/a")</f>
        <v>0.31643883225208524</v>
      </c>
      <c r="O103" s="18">
        <f>IF(AND(ISNUMBER(O99),ISNUMBER(O56)),O99/O56,"n/a")</f>
        <v>0.3103130046912251</v>
      </c>
      <c r="P103" s="18">
        <f>IF(AND(ISNUMBER(P99),ISNUMBER(P56)),P99/P56,"n/a")</f>
        <v>0.3242753623188406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37" t="s">
        <v>103</v>
      </c>
      <c r="C104" s="5">
        <f>IF(AND(ISNUMBER(C103),ISNUMBER(J103)),(C103-J103)*10000,"n/a")</f>
        <v>363.7602581488264</v>
      </c>
      <c r="D104" s="5">
        <f>IF(AND(ISNUMBER(D103),ISNUMBER(K103)),(D103-K103)*10000,"n/a")</f>
        <v>656.472980321704</v>
      </c>
      <c r="E104" s="5">
        <f>IF(AND(ISNUMBER(E103),ISNUMBER(L103)),(E103-L103)*10000,"n/a")</f>
        <v>298.937396572973</v>
      </c>
      <c r="F104" s="5">
        <f>IF(AND(ISNUMBER(F103),ISNUMBER(M103)),(F103-M103)*10000,"n/a")</f>
        <v>883.0945664165646</v>
      </c>
      <c r="G104" s="5">
        <f>IF(AND(ISNUMBER(G103),ISNUMBER(N103)),(G103-N103)*10000,"n/a")</f>
        <v>282.35382165659684</v>
      </c>
      <c r="H104" s="30">
        <f>IF(AND(ISNUMBER(H103),ISNUMBER(C103)),(H103-C103)*10000,"n/a")</f>
        <v>143.50788932083248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37" t="s">
        <v>104</v>
      </c>
      <c r="C105" s="5">
        <f>IF(AND(ISNUMBER(C103),ISNUMBER(M103)),(C103-M103)*10000,"n/a")</f>
        <v>860.5972420934355</v>
      </c>
      <c r="D105" s="5">
        <f>IF(AND(ISNUMBER(D103),ISNUMBER(C103)),(D103-C103)*10000,"n/a")</f>
        <v>431.3068494594807</v>
      </c>
      <c r="E105" s="5">
        <f>IF(AND(ISNUMBER(E103),ISNUMBER(D103)),(E103-D103)*10000,"n/a")</f>
        <v>-316.9946504418303</v>
      </c>
      <c r="F105" s="5">
        <f>IF(AND(ISNUMBER(F103),ISNUMBER(E103)),(F103-E103)*10000,"n/a")</f>
        <v>-91.81487469452132</v>
      </c>
      <c r="G105" s="5" t="s">
        <v>100</v>
      </c>
      <c r="H105" s="30">
        <f>IF(AND(ISNUMBER(H103),ISNUMBER(F103)),(H103-F103)*10000,"n/a")</f>
        <v>121.01056499770336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0" t="s">
        <v>105</v>
      </c>
      <c r="C106" s="18" t="s">
        <v>106</v>
      </c>
      <c r="D106" s="18" t="s">
        <v>106</v>
      </c>
      <c r="E106" s="18" t="s">
        <v>106</v>
      </c>
      <c r="F106" s="18" t="s">
        <v>106</v>
      </c>
      <c r="G106" s="18" t="s">
        <v>106</v>
      </c>
      <c r="H106" s="21" t="s">
        <v>106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20" t="s">
        <v>107</v>
      </c>
      <c r="C107" s="18" t="s">
        <v>106</v>
      </c>
      <c r="D107" s="18" t="s">
        <v>106</v>
      </c>
      <c r="E107" s="18" t="s">
        <v>106</v>
      </c>
      <c r="F107" s="18" t="s">
        <v>106</v>
      </c>
      <c r="G107" s="18" t="s">
        <v>106</v>
      </c>
      <c r="H107" s="21" t="s">
        <v>106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20" t="s">
        <v>108</v>
      </c>
      <c r="C108" s="18" t="str">
        <f>IF(AND(ISNUMBER(C100),ISNUMBER(C106),ISNUMBER(C107)),(1+C100)/((1+C106)*(1+C107))-1,"n/a")</f>
        <v>n/a</v>
      </c>
      <c r="D108" s="18" t="str">
        <f>IF(AND(ISNUMBER(D100),ISNUMBER(D106),ISNUMBER(D107)),(1+D100)/((1+D106)*(1+D107))-1,"n/a")</f>
        <v>n/a</v>
      </c>
      <c r="E108" s="18" t="str">
        <f>IF(AND(ISNUMBER(E100),ISNUMBER(E106),ISNUMBER(E107)),(1+E100)/((1+E106)*(1+E107))-1,"n/a")</f>
        <v>n/a</v>
      </c>
      <c r="F108" s="18" t="str">
        <f>IF(AND(ISNUMBER(F100),ISNUMBER(F106),ISNUMBER(F107)),(1+F100)/((1+F106)*(1+F107))-1,"n/a")</f>
        <v>n/a</v>
      </c>
      <c r="G108" s="18" t="str">
        <f>IF(AND(ISNUMBER(G100),ISNUMBER(G106),ISNUMBER(G107)),(1+G100)/((1+G106)*(1+G107))-1,"n/a")</f>
        <v>n/a</v>
      </c>
      <c r="H108" s="21" t="str">
        <f>IF(AND(ISNUMBER(H100),ISNUMBER(H106),ISNUMBER(H107)),(1+H100)/((1+H106)*(1+H107))-1,"n/a")</f>
        <v>n/a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4" t="s">
        <v>179</v>
      </c>
      <c r="C109" s="3">
        <v>45</v>
      </c>
      <c r="D109" s="2">
        <f>G109-P109</f>
        <v>49</v>
      </c>
      <c r="E109" s="3">
        <v>50</v>
      </c>
      <c r="F109" s="3">
        <v>48</v>
      </c>
      <c r="G109" s="3">
        <v>219</v>
      </c>
      <c r="H109" s="7">
        <f>H56-H89-H99</f>
        <v>49.51514260000022</v>
      </c>
      <c r="I109" s="1"/>
      <c r="J109" s="3">
        <v>97</v>
      </c>
      <c r="K109" s="2">
        <f>N109-O109</f>
        <v>70</v>
      </c>
      <c r="L109" s="3">
        <v>73</v>
      </c>
      <c r="M109" s="3">
        <v>52</v>
      </c>
      <c r="N109" s="3">
        <v>332</v>
      </c>
      <c r="O109" s="3">
        <v>262</v>
      </c>
      <c r="P109" s="3">
        <v>170</v>
      </c>
      <c r="Q109" s="1"/>
      <c r="R109" s="9" t="s">
        <v>161</v>
      </c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20" t="s">
        <v>98</v>
      </c>
      <c r="C110" s="18">
        <f>IF(AND(ISNUMBER(C109),ISNUMBER(J109)),IF(OR(J109&gt;0,AND(J109&lt;0,C109&lt;0)),C109/J109-1,"n/m"),"n/a")</f>
        <v>-0.5360824742268041</v>
      </c>
      <c r="D110" s="18">
        <f>IF(AND(ISNUMBER(D109),ISNUMBER(K109)),IF(OR(K109&gt;0,AND(K109&lt;0,D109&lt;0)),D109/K109-1,"n/m"),"n/a")</f>
        <v>-0.30000000000000004</v>
      </c>
      <c r="E110" s="18">
        <f>IF(AND(ISNUMBER(E109),ISNUMBER(L109)),IF(OR(L109&gt;0,AND(L109&lt;0,E109&lt;0)),E109/L109-1,"n/m"),"n/a")</f>
        <v>-0.31506849315068497</v>
      </c>
      <c r="F110" s="18">
        <f>IF(AND(ISNUMBER(F109),ISNUMBER(M109)),IF(OR(M109&gt;0,AND(M109&lt;0,F109&lt;0)),F109/M109-1,"n/m"),"n/a")</f>
        <v>-0.07692307692307687</v>
      </c>
      <c r="G110" s="18">
        <f>IF(AND(ISNUMBER(G109),ISNUMBER(N109)),IF(OR(N109&gt;0,AND(N109&lt;0,G109&lt;0)),G109/N109-1,"n/m"),"n/a")</f>
        <v>-0.34036144578313254</v>
      </c>
      <c r="H110" s="21">
        <f>IF(AND(ISNUMBER(H109),ISNUMBER(C109)),IF(OR(C109&gt;0,AND(C109&lt;0,H109&lt;0)),H109/C109-1,"n/m"),"n/a")</f>
        <v>0.10033650222222712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20" t="s">
        <v>99</v>
      </c>
      <c r="C111" s="18">
        <f>IF(AND(ISNUMBER(C109),ISNUMBER(M109)),IF(OR(M109&gt;0,AND(M109&lt;0,C109&lt;0)),C109/M109-1,"n/m"),"n/a")</f>
        <v>-0.13461538461538458</v>
      </c>
      <c r="D111" s="18">
        <f>IF(AND(ISNUMBER(D109),ISNUMBER(C109)),IF(OR(C109&gt;0,AND(C109&lt;0,D109&lt;0)),D109/C109-1,"n/m"),"n/a")</f>
        <v>0.0888888888888888</v>
      </c>
      <c r="E111" s="18">
        <f>IF(AND(ISNUMBER(E109),ISNUMBER(D109)),IF(OR(D109&gt;0,AND(D109&lt;0,E109&lt;0)),E109/D109-1,"n/m"),"n/a")</f>
        <v>0.020408163265306145</v>
      </c>
      <c r="F111" s="18">
        <f>IF(AND(ISNUMBER(F109),ISNUMBER(E109)),IF(OR(E109&gt;0,AND(E109&lt;0,F109&lt;0)),F109/E109-1,"n/m"),"n/a")</f>
        <v>-0.040000000000000036</v>
      </c>
      <c r="G111" s="18" t="s">
        <v>100</v>
      </c>
      <c r="H111" s="21">
        <f>IF(AND(ISNUMBER(H109),ISNUMBER(F109)),IF(OR(F109&gt;0,AND(F109&lt;0,H109&lt;0)),H109/F109-1,"n/m"),"n/a")</f>
        <v>0.03156547083333794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8" t="s">
        <v>101</v>
      </c>
      <c r="C112" s="2">
        <f>IF(AND(ISNUMBER(C109),ISNUMBER(M109)),C109-M109,"n/a")</f>
        <v>-7</v>
      </c>
      <c r="D112" s="2">
        <f>IF(AND(ISNUMBER(D109),ISNUMBER(C109)),D109-C109,"n/a")</f>
        <v>4</v>
      </c>
      <c r="E112" s="2">
        <f>IF(AND(ISNUMBER(E109),ISNUMBER(D109)),E109-D109,"n/a")</f>
        <v>1</v>
      </c>
      <c r="F112" s="2">
        <f>IF(AND(ISNUMBER(F109),ISNUMBER(E109)),F109-E109,"n/a")</f>
        <v>-2</v>
      </c>
      <c r="G112" s="2" t="s">
        <v>100</v>
      </c>
      <c r="H112" s="7">
        <f>IF(AND(ISNUMBER(H109),ISNUMBER(F109)),H109-F109,"n/a")</f>
        <v>1.5151426000002175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20" t="s">
        <v>180</v>
      </c>
      <c r="C113" s="18">
        <f>IF(AND(ISNUMBER(C109),ISNUMBER(C56)),C109/C56,"n/a")</f>
        <v>0.010290418477018065</v>
      </c>
      <c r="D113" s="18">
        <f>IF(AND(ISNUMBER(D109),ISNUMBER(D56)),D109/D56,"n/a")</f>
        <v>0.01061525129982669</v>
      </c>
      <c r="E113" s="18">
        <f>IF(AND(ISNUMBER(E109),ISNUMBER(E56)),E109/E56,"n/a")</f>
        <v>0.012528188423953895</v>
      </c>
      <c r="F113" s="18">
        <f>IF(AND(ISNUMBER(F109),ISNUMBER(F56)),F109/F56,"n/a")</f>
        <v>0.011024345429490124</v>
      </c>
      <c r="G113" s="18">
        <f>IF(AND(ISNUMBER(G109),ISNUMBER(G56)),G109/G56,"n/a")</f>
        <v>0.01265018484288355</v>
      </c>
      <c r="H113" s="21">
        <f>IF(AND(ISNUMBER(H109),ISNUMBER(H56)),H109/H56,"n/a")</f>
        <v>0.01100000000000005</v>
      </c>
      <c r="I113" s="1"/>
      <c r="J113" s="18">
        <f>IF(AND(ISNUMBER(J109),ISNUMBER(J56)),J109/J56,"n/a")</f>
        <v>0.02221204488207007</v>
      </c>
      <c r="K113" s="18">
        <f>IF(AND(ISNUMBER(K109),ISNUMBER(K56)),K109/K56,"n/a")</f>
        <v>0.016428068528514434</v>
      </c>
      <c r="L113" s="18">
        <f>IF(AND(ISNUMBER(L109),ISNUMBER(L56)),L109/L56,"n/a")</f>
        <v>0.01686691312384473</v>
      </c>
      <c r="M113" s="18">
        <f>IF(AND(ISNUMBER(M109),ISNUMBER(M56)),M109/M56,"n/a")</f>
        <v>0.013016270337922404</v>
      </c>
      <c r="N113" s="18">
        <f>IF(AND(ISNUMBER(N109),ISNUMBER(N56)),N109/N56,"n/a")</f>
        <v>0.019230769230769232</v>
      </c>
      <c r="O113" s="18">
        <f>IF(AND(ISNUMBER(O109),ISNUMBER(O56)),O109/O56,"n/a")</f>
        <v>0.020149196339306313</v>
      </c>
      <c r="P113" s="18">
        <f>IF(AND(ISNUMBER(P109),ISNUMBER(P56)),P109/P56,"n/a")</f>
        <v>0.013390044108380593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37" t="s">
        <v>103</v>
      </c>
      <c r="C114" s="5">
        <f>IF(AND(ISNUMBER(C113),ISNUMBER(J113)),(C113-J113)*10000,"n/a")</f>
        <v>-119.21626405052005</v>
      </c>
      <c r="D114" s="5">
        <f>IF(AND(ISNUMBER(D113),ISNUMBER(K113)),(D113-K113)*10000,"n/a")</f>
        <v>-58.12817228687744</v>
      </c>
      <c r="E114" s="5">
        <f>IF(AND(ISNUMBER(E113),ISNUMBER(L113)),(E113-L113)*10000,"n/a")</f>
        <v>-43.38724699890835</v>
      </c>
      <c r="F114" s="5">
        <f>IF(AND(ISNUMBER(F113),ISNUMBER(M113)),(F113-M113)*10000,"n/a")</f>
        <v>-19.9192490843228</v>
      </c>
      <c r="G114" s="5">
        <f>IF(AND(ISNUMBER(G113),ISNUMBER(N113)),(G113-N113)*10000,"n/a")</f>
        <v>-65.80584387885682</v>
      </c>
      <c r="H114" s="30">
        <f>IF(AND(ISNUMBER(H113),ISNUMBER(C113)),(H113-C113)*10000,"n/a")</f>
        <v>7.095815229819849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37" t="s">
        <v>104</v>
      </c>
      <c r="C115" s="5">
        <f>IF(AND(ISNUMBER(C113),ISNUMBER(M113)),(C113-M113)*10000,"n/a")</f>
        <v>-27.25851860904339</v>
      </c>
      <c r="D115" s="5">
        <f>IF(AND(ISNUMBER(D113),ISNUMBER(C113)),(D113-C113)*10000,"n/a")</f>
        <v>3.2483282280862564</v>
      </c>
      <c r="E115" s="5">
        <f>IF(AND(ISNUMBER(E113),ISNUMBER(D113)),(E113-D113)*10000,"n/a")</f>
        <v>19.12937124127205</v>
      </c>
      <c r="F115" s="5">
        <f>IF(AND(ISNUMBER(F113),ISNUMBER(E113)),(F113-E113)*10000,"n/a")</f>
        <v>-15.038429944637718</v>
      </c>
      <c r="G115" s="5" t="s">
        <v>100</v>
      </c>
      <c r="H115" s="30">
        <f>IF(AND(ISNUMBER(H113),ISNUMBER(F113)),(H113-F113)*10000,"n/a")</f>
        <v>-0.24345429490073983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20" t="s">
        <v>105</v>
      </c>
      <c r="C116" s="18" t="s">
        <v>106</v>
      </c>
      <c r="D116" s="18" t="s">
        <v>106</v>
      </c>
      <c r="E116" s="18" t="s">
        <v>106</v>
      </c>
      <c r="F116" s="18" t="s">
        <v>106</v>
      </c>
      <c r="G116" s="18" t="s">
        <v>106</v>
      </c>
      <c r="H116" s="21" t="s">
        <v>106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20" t="s">
        <v>107</v>
      </c>
      <c r="C117" s="18" t="s">
        <v>106</v>
      </c>
      <c r="D117" s="18" t="s">
        <v>106</v>
      </c>
      <c r="E117" s="18" t="s">
        <v>106</v>
      </c>
      <c r="F117" s="18" t="s">
        <v>106</v>
      </c>
      <c r="G117" s="18" t="s">
        <v>106</v>
      </c>
      <c r="H117" s="21" t="s">
        <v>106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0" t="s">
        <v>108</v>
      </c>
      <c r="C118" s="18" t="str">
        <f>IF(AND(ISNUMBER(C110),ISNUMBER(C116),ISNUMBER(C117)),(1+C110)/((1+C116)*(1+C117))-1,"n/a")</f>
        <v>n/a</v>
      </c>
      <c r="D118" s="18" t="str">
        <f>IF(AND(ISNUMBER(D110),ISNUMBER(D116),ISNUMBER(D117)),(1+D110)/((1+D116)*(1+D117))-1,"n/a")</f>
        <v>n/a</v>
      </c>
      <c r="E118" s="18" t="str">
        <f>IF(AND(ISNUMBER(E110),ISNUMBER(E116),ISNUMBER(E117)),(1+E110)/((1+E116)*(1+E117))-1,"n/a")</f>
        <v>n/a</v>
      </c>
      <c r="F118" s="18" t="str">
        <f>IF(AND(ISNUMBER(F110),ISNUMBER(F116),ISNUMBER(F117)),(1+F110)/((1+F116)*(1+F117))-1,"n/a")</f>
        <v>n/a</v>
      </c>
      <c r="G118" s="18" t="str">
        <f>IF(AND(ISNUMBER(G110),ISNUMBER(G116),ISNUMBER(G117)),(1+G110)/((1+G116)*(1+G117))-1,"n/a")</f>
        <v>n/a</v>
      </c>
      <c r="H118" s="21" t="str">
        <f>IF(AND(ISNUMBER(H110),ISNUMBER(H116),ISNUMBER(H117)),(1+H110)/((1+H116)*(1+H117))-1,"n/a")</f>
        <v>n/a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46" t="s">
        <v>181</v>
      </c>
      <c r="C119" s="14">
        <f>C89+C99+C109</f>
        <v>4373</v>
      </c>
      <c r="D119" s="14">
        <f>D89+D99+D109</f>
        <v>4616</v>
      </c>
      <c r="E119" s="14">
        <f>E89+E99+E109</f>
        <v>3991</v>
      </c>
      <c r="F119" s="14">
        <f>F89+F99+F109</f>
        <v>4354</v>
      </c>
      <c r="G119" s="14">
        <f>G89+G99+G109</f>
        <v>17312</v>
      </c>
      <c r="H119" s="48">
        <f>H89+H99+H109</f>
        <v>4501.3766</v>
      </c>
      <c r="I119" s="1"/>
      <c r="J119" s="14">
        <f>J89+J99+J109</f>
        <v>4367</v>
      </c>
      <c r="K119" s="14">
        <f>K89+K99+K109</f>
        <v>4261</v>
      </c>
      <c r="L119" s="14">
        <f>L89+L99+L109</f>
        <v>4328</v>
      </c>
      <c r="M119" s="14">
        <f>M89+M99+M109</f>
        <v>3995</v>
      </c>
      <c r="N119" s="14">
        <f>N89+N99+N109</f>
        <v>17264</v>
      </c>
      <c r="O119" s="14">
        <f>O89+O99+O109</f>
        <v>13003</v>
      </c>
      <c r="P119" s="14">
        <f>P89+P99+P109</f>
        <v>12696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1" t="s">
        <v>182</v>
      </c>
      <c r="C120" s="19">
        <f>C119-C56</f>
        <v>0</v>
      </c>
      <c r="D120" s="19">
        <f>D119-D56</f>
        <v>0</v>
      </c>
      <c r="E120" s="19">
        <f>E119-E56</f>
        <v>0</v>
      </c>
      <c r="F120" s="19">
        <f>F119-F56</f>
        <v>0</v>
      </c>
      <c r="G120" s="19">
        <f>G119-G56</f>
        <v>0</v>
      </c>
      <c r="H120" s="49">
        <f>H119-H56</f>
        <v>0</v>
      </c>
      <c r="I120" s="1"/>
      <c r="J120" s="19">
        <f>J119-J56</f>
        <v>0</v>
      </c>
      <c r="K120" s="19">
        <f>K119-K56</f>
        <v>0</v>
      </c>
      <c r="L120" s="19">
        <f>L119-L56</f>
        <v>0</v>
      </c>
      <c r="M120" s="19">
        <f>M119-M56</f>
        <v>0</v>
      </c>
      <c r="N120" s="19">
        <f>N119-N56</f>
        <v>0</v>
      </c>
      <c r="O120" s="19">
        <f>O119-O56</f>
        <v>0</v>
      </c>
      <c r="P120" s="19">
        <f>P119-P56</f>
        <v>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3" t="s">
        <v>183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4" t="s">
        <v>184</v>
      </c>
      <c r="C123" s="3">
        <v>2809</v>
      </c>
      <c r="D123" s="2">
        <f>G123-P123</f>
        <v>2766</v>
      </c>
      <c r="E123" s="3">
        <v>2518</v>
      </c>
      <c r="F123" s="3">
        <v>2787</v>
      </c>
      <c r="G123" s="3">
        <v>11345</v>
      </c>
      <c r="H123" s="7">
        <f>H56*H127</f>
        <v>2826.8645048</v>
      </c>
      <c r="I123" s="1"/>
      <c r="J123" s="3">
        <v>2964</v>
      </c>
      <c r="K123" s="2">
        <f>N123-O123</f>
        <v>2833</v>
      </c>
      <c r="L123" s="3">
        <v>2860</v>
      </c>
      <c r="M123" s="3">
        <v>2910</v>
      </c>
      <c r="N123" s="3">
        <v>11801</v>
      </c>
      <c r="O123" s="3">
        <v>8968</v>
      </c>
      <c r="P123" s="3">
        <v>8579</v>
      </c>
      <c r="Q123" s="1"/>
      <c r="R123" s="9" t="s">
        <v>161</v>
      </c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20" t="s">
        <v>98</v>
      </c>
      <c r="C124" s="18">
        <f>IF(AND(ISNUMBER(C123),ISNUMBER(J123)),IF(OR(J123&gt;0,AND(J123&lt;0,C123&lt;0)),C123/J123-1,"n/m"),"n/a")</f>
        <v>-0.0522941970310391</v>
      </c>
      <c r="D124" s="18">
        <f>IF(AND(ISNUMBER(D123),ISNUMBER(K123)),IF(OR(K123&gt;0,AND(K123&lt;0,D123&lt;0)),D123/K123-1,"n/m"),"n/a")</f>
        <v>-0.023649841157783236</v>
      </c>
      <c r="E124" s="18">
        <f>IF(AND(ISNUMBER(E123),ISNUMBER(L123)),IF(OR(L123&gt;0,AND(L123&lt;0,E123&lt;0)),E123/L123-1,"n/m"),"n/a")</f>
        <v>-0.11958041958041954</v>
      </c>
      <c r="F124" s="18">
        <f>IF(AND(ISNUMBER(F123),ISNUMBER(M123)),IF(OR(M123&gt;0,AND(M123&lt;0,F123&lt;0)),F123/M123-1,"n/m"),"n/a")</f>
        <v>-0.04226804123711336</v>
      </c>
      <c r="G124" s="18">
        <f>IF(AND(ISNUMBER(G123),ISNUMBER(N123)),IF(OR(N123&gt;0,AND(N123&lt;0,G123&lt;0)),G123/N123-1,"n/m"),"n/a")</f>
        <v>-0.03864079315312263</v>
      </c>
      <c r="H124" s="21">
        <f>IF(AND(ISNUMBER(H123),ISNUMBER(C123)),IF(OR(C123&gt;0,AND(C123&lt;0,H123&lt;0)),H123/C123-1,"n/m"),"n/a")</f>
        <v>0.006359738269846815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20" t="s">
        <v>99</v>
      </c>
      <c r="C125" s="18">
        <f>IF(AND(ISNUMBER(C123),ISNUMBER(M123)),IF(OR(M123&gt;0,AND(M123&lt;0,C123&lt;0)),C123/M123-1,"n/m"),"n/a")</f>
        <v>-0.034707903780068716</v>
      </c>
      <c r="D125" s="18">
        <f>IF(AND(ISNUMBER(D123),ISNUMBER(C123)),IF(OR(C123&gt;0,AND(C123&lt;0,D123&lt;0)),D123/C123-1,"n/m"),"n/a")</f>
        <v>-0.015307938768244878</v>
      </c>
      <c r="E125" s="18">
        <f>IF(AND(ISNUMBER(E123),ISNUMBER(D123)),IF(OR(D123&gt;0,AND(D123&lt;0,E123&lt;0)),E123/D123-1,"n/m"),"n/a")</f>
        <v>-0.08966015907447578</v>
      </c>
      <c r="F125" s="18">
        <f>IF(AND(ISNUMBER(F123),ISNUMBER(E123)),IF(OR(E123&gt;0,AND(E123&lt;0,F123&lt;0)),F123/E123-1,"n/m"),"n/a")</f>
        <v>0.1068308181096107</v>
      </c>
      <c r="G125" s="18" t="s">
        <v>100</v>
      </c>
      <c r="H125" s="21">
        <f>IF(AND(ISNUMBER(H123),ISNUMBER(F123)),IF(OR(F123&gt;0,AND(F123&lt;0,H123&lt;0)),H123/F123-1,"n/m"),"n/a")</f>
        <v>0.014303733333333346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8" t="s">
        <v>101</v>
      </c>
      <c r="C126" s="2">
        <f>IF(AND(ISNUMBER(C123),ISNUMBER(M123)),C123-M123,"n/a")</f>
        <v>-101</v>
      </c>
      <c r="D126" s="2">
        <f>IF(AND(ISNUMBER(D123),ISNUMBER(C123)),D123-C123,"n/a")</f>
        <v>-43</v>
      </c>
      <c r="E126" s="2">
        <f>IF(AND(ISNUMBER(E123),ISNUMBER(D123)),E123-D123,"n/a")</f>
        <v>-248</v>
      </c>
      <c r="F126" s="2">
        <f>IF(AND(ISNUMBER(F123),ISNUMBER(E123)),F123-E123,"n/a")</f>
        <v>269</v>
      </c>
      <c r="G126" s="2" t="s">
        <v>100</v>
      </c>
      <c r="H126" s="7">
        <f>IF(AND(ISNUMBER(H123),ISNUMBER(F123)),H123-F123,"n/a")</f>
        <v>39.86450479999985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20" t="s">
        <v>185</v>
      </c>
      <c r="C127" s="18">
        <f>IF(AND(ISNUMBER(C123),ISNUMBER(C56)),C123/C56,"n/a")</f>
        <v>0.6423507889320832</v>
      </c>
      <c r="D127" s="18">
        <f>IF(AND(ISNUMBER(D123),ISNUMBER(D56)),D123/D56,"n/a")</f>
        <v>0.5992201039861352</v>
      </c>
      <c r="E127" s="18">
        <f>IF(AND(ISNUMBER(E123),ISNUMBER(E56)),E123/E56,"n/a")</f>
        <v>0.6309195690303182</v>
      </c>
      <c r="F127" s="18">
        <f>IF(AND(ISNUMBER(F123),ISNUMBER(F56)),F123/F56,"n/a")</f>
        <v>0.6401010564997703</v>
      </c>
      <c r="G127" s="18">
        <f>IF(AND(ISNUMBER(G123),ISNUMBER(G56)),G123/G56,"n/a")</f>
        <v>0.6553257855822551</v>
      </c>
      <c r="H127" s="32">
        <v>0.628</v>
      </c>
      <c r="I127" s="1"/>
      <c r="J127" s="18">
        <f>IF(AND(ISNUMBER(J123),ISNUMBER(J56)),J123/J56,"n/a")</f>
        <v>0.6787268147469658</v>
      </c>
      <c r="K127" s="18">
        <f>IF(AND(ISNUMBER(K123),ISNUMBER(K56)),K123/K56,"n/a")</f>
        <v>0.6648674020183055</v>
      </c>
      <c r="L127" s="18">
        <f>IF(AND(ISNUMBER(L123),ISNUMBER(L56)),L123/L56,"n/a")</f>
        <v>0.6608133086876156</v>
      </c>
      <c r="M127" s="18">
        <f>IF(AND(ISNUMBER(M123),ISNUMBER(M56)),M123/M56,"n/a")</f>
        <v>0.7284105131414268</v>
      </c>
      <c r="N127" s="18">
        <f>IF(AND(ISNUMBER(N123),ISNUMBER(N56)),N123/N56,"n/a")</f>
        <v>0.6835611677479148</v>
      </c>
      <c r="O127" s="18">
        <f>IF(AND(ISNUMBER(O123),ISNUMBER(O56)),O123/O56,"n/a")</f>
        <v>0.6896869953087749</v>
      </c>
      <c r="P127" s="18">
        <f>IF(AND(ISNUMBER(P123),ISNUMBER(P56)),P123/P56,"n/a")</f>
        <v>0.6757246376811594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37" t="s">
        <v>103</v>
      </c>
      <c r="C128" s="5">
        <f>IF(AND(ISNUMBER(C127),ISNUMBER(J127)),(C127-J127)*10000,"n/a")</f>
        <v>-363.7602581488264</v>
      </c>
      <c r="D128" s="5">
        <f>IF(AND(ISNUMBER(D127),ISNUMBER(K127)),(D127-K127)*10000,"n/a")</f>
        <v>-656.4729803217028</v>
      </c>
      <c r="E128" s="5">
        <f>IF(AND(ISNUMBER(E127),ISNUMBER(L127)),(E127-L127)*10000,"n/a")</f>
        <v>-298.93739657297357</v>
      </c>
      <c r="F128" s="5">
        <f>IF(AND(ISNUMBER(F127),ISNUMBER(M127)),(F127-M127)*10000,"n/a")</f>
        <v>-883.0945664165646</v>
      </c>
      <c r="G128" s="5">
        <f>IF(AND(ISNUMBER(G127),ISNUMBER(N127)),(G127-N127)*10000,"n/a")</f>
        <v>-282.35382165659684</v>
      </c>
      <c r="H128" s="30">
        <f>IF(AND(ISNUMBER(H127),ISNUMBER(C127)),(H127-C127)*10000,"n/a")</f>
        <v>-143.5078893208319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37" t="s">
        <v>104</v>
      </c>
      <c r="C129" s="5">
        <f>IF(AND(ISNUMBER(C127),ISNUMBER(M127)),(C127-M127)*10000,"n/a")</f>
        <v>-860.597242093436</v>
      </c>
      <c r="D129" s="5">
        <f>IF(AND(ISNUMBER(D127),ISNUMBER(C127)),(D127-C127)*10000,"n/a")</f>
        <v>-431.3068494594796</v>
      </c>
      <c r="E129" s="5">
        <f>IF(AND(ISNUMBER(E127),ISNUMBER(D127)),(E127-D127)*10000,"n/a")</f>
        <v>316.9946504418297</v>
      </c>
      <c r="F129" s="5">
        <f>IF(AND(ISNUMBER(F127),ISNUMBER(E127)),(F127-E127)*10000,"n/a")</f>
        <v>91.81487469452132</v>
      </c>
      <c r="G129" s="5" t="s">
        <v>100</v>
      </c>
      <c r="H129" s="30">
        <f>IF(AND(ISNUMBER(H127),ISNUMBER(F127)),(H127-F127)*10000,"n/a")</f>
        <v>-121.01056499770336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20" t="s">
        <v>105</v>
      </c>
      <c r="C130" s="18" t="s">
        <v>106</v>
      </c>
      <c r="D130" s="18" t="s">
        <v>106</v>
      </c>
      <c r="E130" s="18" t="s">
        <v>106</v>
      </c>
      <c r="F130" s="18" t="s">
        <v>106</v>
      </c>
      <c r="G130" s="18" t="s">
        <v>106</v>
      </c>
      <c r="H130" s="21" t="s">
        <v>106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20" t="s">
        <v>107</v>
      </c>
      <c r="C131" s="18" t="s">
        <v>106</v>
      </c>
      <c r="D131" s="18" t="s">
        <v>106</v>
      </c>
      <c r="E131" s="18" t="s">
        <v>106</v>
      </c>
      <c r="F131" s="18" t="s">
        <v>106</v>
      </c>
      <c r="G131" s="18" t="s">
        <v>106</v>
      </c>
      <c r="H131" s="21" t="s">
        <v>106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20" t="s">
        <v>108</v>
      </c>
      <c r="C132" s="18" t="str">
        <f>IF(AND(ISNUMBER(C124),ISNUMBER(C130),ISNUMBER(C131)),(1+C124)/((1+C130)*(1+C131))-1,"n/a")</f>
        <v>n/a</v>
      </c>
      <c r="D132" s="18" t="str">
        <f>IF(AND(ISNUMBER(D124),ISNUMBER(D130),ISNUMBER(D131)),(1+D124)/((1+D130)*(1+D131))-1,"n/a")</f>
        <v>n/a</v>
      </c>
      <c r="E132" s="18" t="str">
        <f>IF(AND(ISNUMBER(E124),ISNUMBER(E130),ISNUMBER(E131)),(1+E124)/((1+E130)*(1+E131))-1,"n/a")</f>
        <v>n/a</v>
      </c>
      <c r="F132" s="18" t="str">
        <f>IF(AND(ISNUMBER(F124),ISNUMBER(F130),ISNUMBER(F131)),(1+F124)/((1+F130)*(1+F131))-1,"n/a")</f>
        <v>n/a</v>
      </c>
      <c r="G132" s="18" t="str">
        <f>IF(AND(ISNUMBER(G124),ISNUMBER(G130),ISNUMBER(G131)),(1+G124)/((1+G130)*(1+G131))-1,"n/a")</f>
        <v>n/a</v>
      </c>
      <c r="H132" s="21" t="str">
        <f>IF(AND(ISNUMBER(H124),ISNUMBER(H130),ISNUMBER(H131)),(1+H124)/((1+H130)*(1+H131))-1,"n/a")</f>
        <v>n/a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4" t="s">
        <v>186</v>
      </c>
      <c r="C133" s="3">
        <v>343</v>
      </c>
      <c r="D133" s="2">
        <f>G133-P133</f>
        <v>485</v>
      </c>
      <c r="E133" s="3">
        <v>571</v>
      </c>
      <c r="F133" s="3">
        <v>539</v>
      </c>
      <c r="G133" s="3">
        <v>1411</v>
      </c>
      <c r="H133" s="7">
        <f>H56*H137</f>
        <v>508.65555579999995</v>
      </c>
      <c r="I133" s="1"/>
      <c r="J133" s="3">
        <v>309</v>
      </c>
      <c r="K133" s="2">
        <f>N133-O133</f>
        <v>383</v>
      </c>
      <c r="L133" s="3">
        <v>304</v>
      </c>
      <c r="M133" s="3">
        <v>279</v>
      </c>
      <c r="N133" s="3">
        <v>1243</v>
      </c>
      <c r="O133" s="3">
        <v>860</v>
      </c>
      <c r="P133" s="3">
        <v>926</v>
      </c>
      <c r="Q133" s="1"/>
      <c r="R133" s="9" t="s">
        <v>161</v>
      </c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20" t="s">
        <v>98</v>
      </c>
      <c r="C134" s="18">
        <f>IF(AND(ISNUMBER(C133),ISNUMBER(J133)),IF(OR(J133&gt;0,AND(J133&lt;0,C133&lt;0)),C133/J133-1,"n/m"),"n/a")</f>
        <v>0.11003236245954695</v>
      </c>
      <c r="D134" s="18">
        <f>IF(AND(ISNUMBER(D133),ISNUMBER(K133)),IF(OR(K133&gt;0,AND(K133&lt;0,D133&lt;0)),D133/K133-1,"n/m"),"n/a")</f>
        <v>0.26631853785900783</v>
      </c>
      <c r="E134" s="18">
        <f>IF(AND(ISNUMBER(E133),ISNUMBER(L133)),IF(OR(L133&gt;0,AND(L133&lt;0,E133&lt;0)),E133/L133-1,"n/m"),"n/a")</f>
        <v>0.8782894736842106</v>
      </c>
      <c r="F134" s="18">
        <f>IF(AND(ISNUMBER(F133),ISNUMBER(M133)),IF(OR(M133&gt;0,AND(M133&lt;0,F133&lt;0)),F133/M133-1,"n/m"),"n/a")</f>
        <v>0.9318996415770608</v>
      </c>
      <c r="G134" s="18">
        <f>IF(AND(ISNUMBER(G133),ISNUMBER(N133)),IF(OR(N133&gt;0,AND(N133&lt;0,G133&lt;0)),G133/N133-1,"n/m"),"n/a")</f>
        <v>0.13515687851971037</v>
      </c>
      <c r="H134" s="21">
        <f>IF(AND(ISNUMBER(H133),ISNUMBER(C133)),IF(OR(C133&gt;0,AND(C133&lt;0,H133&lt;0)),H133/C133-1,"n/m"),"n/a")</f>
        <v>0.48296080408163244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20" t="s">
        <v>99</v>
      </c>
      <c r="C135" s="18">
        <f>IF(AND(ISNUMBER(C133),ISNUMBER(M133)),IF(OR(M133&gt;0,AND(M133&lt;0,C133&lt;0)),C133/M133-1,"n/m"),"n/a")</f>
        <v>0.22939068100358417</v>
      </c>
      <c r="D135" s="18">
        <f>IF(AND(ISNUMBER(D133),ISNUMBER(C133)),IF(OR(C133&gt;0,AND(C133&lt;0,D133&lt;0)),D133/C133-1,"n/m"),"n/a")</f>
        <v>0.4139941690962099</v>
      </c>
      <c r="E135" s="18">
        <f>IF(AND(ISNUMBER(E133),ISNUMBER(D133)),IF(OR(D133&gt;0,AND(D133&lt;0,E133&lt;0)),E133/D133-1,"n/m"),"n/a")</f>
        <v>0.17731958762886602</v>
      </c>
      <c r="F135" s="18">
        <f>IF(AND(ISNUMBER(F133),ISNUMBER(E133)),IF(OR(E133&gt;0,AND(E133&lt;0,F133&lt;0)),F133/E133-1,"n/m"),"n/a")</f>
        <v>-0.05604203152364273</v>
      </c>
      <c r="G135" s="18" t="s">
        <v>100</v>
      </c>
      <c r="H135" s="21">
        <f>IF(AND(ISNUMBER(H133),ISNUMBER(F133)),IF(OR(F133&gt;0,AND(F133&lt;0,H133&lt;0)),H133/F133-1,"n/m"),"n/a")</f>
        <v>-0.05629767012987019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8" t="s">
        <v>101</v>
      </c>
      <c r="C136" s="2">
        <f>IF(AND(ISNUMBER(C133),ISNUMBER(M133)),C133-M133,"n/a")</f>
        <v>64</v>
      </c>
      <c r="D136" s="2">
        <f>IF(AND(ISNUMBER(D133),ISNUMBER(C133)),D133-C133,"n/a")</f>
        <v>142</v>
      </c>
      <c r="E136" s="2">
        <f>IF(AND(ISNUMBER(E133),ISNUMBER(D133)),E133-D133,"n/a")</f>
        <v>86</v>
      </c>
      <c r="F136" s="2">
        <f>IF(AND(ISNUMBER(F133),ISNUMBER(E133)),F133-E133,"n/a")</f>
        <v>-32</v>
      </c>
      <c r="G136" s="2" t="s">
        <v>100</v>
      </c>
      <c r="H136" s="7">
        <f>IF(AND(ISNUMBER(H133),ISNUMBER(F133)),H133-F133,"n/a")</f>
        <v>-30.344444200000055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20" t="s">
        <v>187</v>
      </c>
      <c r="C137" s="18">
        <f>IF(AND(ISNUMBER(C133),ISNUMBER(C56)),C133/C56,"n/a")</f>
        <v>0.07843585639149325</v>
      </c>
      <c r="D137" s="18">
        <f>IF(AND(ISNUMBER(D133),ISNUMBER(D56)),D133/D56,"n/a")</f>
        <v>0.10506932409012132</v>
      </c>
      <c r="E137" s="18">
        <f>IF(AND(ISNUMBER(E133),ISNUMBER(E56)),E133/E56,"n/a")</f>
        <v>0.1430719118015535</v>
      </c>
      <c r="F137" s="18">
        <f>IF(AND(ISNUMBER(F133),ISNUMBER(F56)),F133/F56,"n/a")</f>
        <v>0.12379421221864952</v>
      </c>
      <c r="G137" s="18">
        <f>IF(AND(ISNUMBER(G133),ISNUMBER(G56)),G133/G56,"n/a")</f>
        <v>0.08150415896487985</v>
      </c>
      <c r="H137" s="32">
        <v>0.113</v>
      </c>
      <c r="I137" s="1"/>
      <c r="J137" s="18">
        <f>IF(AND(ISNUMBER(J133),ISNUMBER(J56)),J133/J56,"n/a")</f>
        <v>0.07075795740783146</v>
      </c>
      <c r="K137" s="18">
        <f>IF(AND(ISNUMBER(K133),ISNUMBER(K56)),K133/K56,"n/a")</f>
        <v>0.0898850035203004</v>
      </c>
      <c r="L137" s="18">
        <f>IF(AND(ISNUMBER(L133),ISNUMBER(L56)),L133/L56,"n/a")</f>
        <v>0.07024029574861368</v>
      </c>
      <c r="M137" s="18">
        <f>IF(AND(ISNUMBER(M133),ISNUMBER(M56)),M133/M56,"n/a")</f>
        <v>0.06983729662077597</v>
      </c>
      <c r="N137" s="18">
        <f>IF(AND(ISNUMBER(N133),ISNUMBER(N56)),N133/N56,"n/a")</f>
        <v>0.07199953660797034</v>
      </c>
      <c r="O137" s="18">
        <f>IF(AND(ISNUMBER(O133),ISNUMBER(O56)),O133/O56,"n/a")</f>
        <v>0.06613858340382989</v>
      </c>
      <c r="P137" s="18">
        <f>IF(AND(ISNUMBER(P133),ISNUMBER(P56)),P133/P56,"n/a")</f>
        <v>0.07293635790800251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37" t="s">
        <v>103</v>
      </c>
      <c r="C138" s="5">
        <f>IF(AND(ISNUMBER(C137),ISNUMBER(J137)),(C137-J137)*10000,"n/a")</f>
        <v>76.77898983661794</v>
      </c>
      <c r="D138" s="5">
        <f>IF(AND(ISNUMBER(D137),ISNUMBER(K137)),(D137-K137)*10000,"n/a")</f>
        <v>151.84320569820915</v>
      </c>
      <c r="E138" s="5">
        <f>IF(AND(ISNUMBER(E137),ISNUMBER(L137)),(E137-L137)*10000,"n/a")</f>
        <v>728.3161605293981</v>
      </c>
      <c r="F138" s="5">
        <f>IF(AND(ISNUMBER(F137),ISNUMBER(M137)),(F137-M137)*10000,"n/a")</f>
        <v>539.5691559787355</v>
      </c>
      <c r="G138" s="5">
        <f>IF(AND(ISNUMBER(G137),ISNUMBER(N137)),(G137-N137)*10000,"n/a")</f>
        <v>95.04622356909506</v>
      </c>
      <c r="H138" s="30">
        <f>IF(AND(ISNUMBER(H137),ISNUMBER(C137)),(H137-C137)*10000,"n/a")</f>
        <v>345.6414360850675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37" t="s">
        <v>104</v>
      </c>
      <c r="C139" s="5">
        <f>IF(AND(ISNUMBER(C137),ISNUMBER(M137)),(C137-M137)*10000,"n/a")</f>
        <v>85.98559770717287</v>
      </c>
      <c r="D139" s="5">
        <f>IF(AND(ISNUMBER(D137),ISNUMBER(C137)),(D137-C137)*10000,"n/a")</f>
        <v>266.33467698628067</v>
      </c>
      <c r="E139" s="5">
        <f>IF(AND(ISNUMBER(E137),ISNUMBER(D137)),(E137-D137)*10000,"n/a")</f>
        <v>380.0258771143217</v>
      </c>
      <c r="F139" s="5">
        <f>IF(AND(ISNUMBER(F137),ISNUMBER(E137)),(F137-E137)*10000,"n/a")</f>
        <v>-192.7769958290397</v>
      </c>
      <c r="G139" s="5" t="s">
        <v>100</v>
      </c>
      <c r="H139" s="30">
        <f>IF(AND(ISNUMBER(H137),ISNUMBER(F137)),(H137-F137)*10000,"n/a")</f>
        <v>-107.94212218649513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20" t="s">
        <v>105</v>
      </c>
      <c r="C140" s="18" t="s">
        <v>106</v>
      </c>
      <c r="D140" s="18" t="s">
        <v>106</v>
      </c>
      <c r="E140" s="18" t="s">
        <v>106</v>
      </c>
      <c r="F140" s="18" t="s">
        <v>106</v>
      </c>
      <c r="G140" s="18" t="s">
        <v>106</v>
      </c>
      <c r="H140" s="21" t="s">
        <v>106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20" t="s">
        <v>107</v>
      </c>
      <c r="C141" s="18" t="s">
        <v>106</v>
      </c>
      <c r="D141" s="18" t="s">
        <v>106</v>
      </c>
      <c r="E141" s="18" t="s">
        <v>106</v>
      </c>
      <c r="F141" s="18" t="s">
        <v>106</v>
      </c>
      <c r="G141" s="18" t="s">
        <v>106</v>
      </c>
      <c r="H141" s="21" t="s">
        <v>106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20" t="s">
        <v>108</v>
      </c>
      <c r="C142" s="18" t="str">
        <f>IF(AND(ISNUMBER(C134),ISNUMBER(C140),ISNUMBER(C141)),(1+C134)/((1+C140)*(1+C141))-1,"n/a")</f>
        <v>n/a</v>
      </c>
      <c r="D142" s="18" t="str">
        <f>IF(AND(ISNUMBER(D134),ISNUMBER(D140),ISNUMBER(D141)),(1+D134)/((1+D140)*(1+D141))-1,"n/a")</f>
        <v>n/a</v>
      </c>
      <c r="E142" s="18" t="str">
        <f>IF(AND(ISNUMBER(E134),ISNUMBER(E140),ISNUMBER(E141)),(1+E134)/((1+E140)*(1+E141))-1,"n/a")</f>
        <v>n/a</v>
      </c>
      <c r="F142" s="18" t="str">
        <f>IF(AND(ISNUMBER(F134),ISNUMBER(F140),ISNUMBER(F141)),(1+F134)/((1+F140)*(1+F141))-1,"n/a")</f>
        <v>n/a</v>
      </c>
      <c r="G142" s="18" t="str">
        <f>IF(AND(ISNUMBER(G134),ISNUMBER(G140),ISNUMBER(G141)),(1+G134)/((1+G140)*(1+G141))-1,"n/a")</f>
        <v>n/a</v>
      </c>
      <c r="H142" s="21" t="str">
        <f>IF(AND(ISNUMBER(H134),ISNUMBER(H140),ISNUMBER(H141)),(1+H134)/((1+H140)*(1+H141))-1,"n/a")</f>
        <v>n/a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4" t="s">
        <v>188</v>
      </c>
      <c r="C143" s="3">
        <v>764</v>
      </c>
      <c r="D143" s="2">
        <f>G143-P143</f>
        <v>818</v>
      </c>
      <c r="E143" s="3">
        <v>442</v>
      </c>
      <c r="F143" s="3">
        <v>587</v>
      </c>
      <c r="G143" s="3">
        <v>2816</v>
      </c>
      <c r="H143" s="7">
        <f>H56*H147</f>
        <v>670.7051134</v>
      </c>
      <c r="I143" s="1"/>
      <c r="J143" s="3">
        <v>632</v>
      </c>
      <c r="K143" s="2">
        <f>N143-O143</f>
        <v>634</v>
      </c>
      <c r="L143" s="3">
        <v>633</v>
      </c>
      <c r="M143" s="3">
        <v>601</v>
      </c>
      <c r="N143" s="3">
        <v>2556</v>
      </c>
      <c r="O143" s="3">
        <v>1922</v>
      </c>
      <c r="P143" s="3">
        <v>1998</v>
      </c>
      <c r="Q143" s="1"/>
      <c r="R143" s="9" t="s">
        <v>161</v>
      </c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20" t="s">
        <v>98</v>
      </c>
      <c r="C144" s="18">
        <f>IF(AND(ISNUMBER(C143),ISNUMBER(J143)),IF(OR(J143&gt;0,AND(J143&lt;0,C143&lt;0)),C143/J143-1,"n/m"),"n/a")</f>
        <v>0.2088607594936709</v>
      </c>
      <c r="D144" s="18">
        <f>IF(AND(ISNUMBER(D143),ISNUMBER(K143)),IF(OR(K143&gt;0,AND(K143&lt;0,D143&lt;0)),D143/K143-1,"n/m"),"n/a")</f>
        <v>0.2902208201892744</v>
      </c>
      <c r="E144" s="18">
        <f>IF(AND(ISNUMBER(E143),ISNUMBER(L143)),IF(OR(L143&gt;0,AND(L143&lt;0,E143&lt;0)),E143/L143-1,"n/m"),"n/a")</f>
        <v>-0.30173775671406</v>
      </c>
      <c r="F144" s="18">
        <f>IF(AND(ISNUMBER(F143),ISNUMBER(M143)),IF(OR(M143&gt;0,AND(M143&lt;0,F143&lt;0)),F143/M143-1,"n/m"),"n/a")</f>
        <v>-0.02329450915141429</v>
      </c>
      <c r="G144" s="18">
        <f>IF(AND(ISNUMBER(G143),ISNUMBER(N143)),IF(OR(N143&gt;0,AND(N143&lt;0,G143&lt;0)),G143/N143-1,"n/m"),"n/a")</f>
        <v>0.10172143974960868</v>
      </c>
      <c r="H144" s="21">
        <f>IF(AND(ISNUMBER(H143),ISNUMBER(C143)),IF(OR(C143&gt;0,AND(C143&lt;0,H143&lt;0)),H143/C143-1,"n/m"),"n/a")</f>
        <v>-0.12211372591623038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0" t="s">
        <v>99</v>
      </c>
      <c r="C145" s="18">
        <f>IF(AND(ISNUMBER(C143),ISNUMBER(M143)),IF(OR(M143&gt;0,AND(M143&lt;0,C143&lt;0)),C143/M143-1,"n/m"),"n/a")</f>
        <v>0.27121464226289516</v>
      </c>
      <c r="D145" s="18">
        <f>IF(AND(ISNUMBER(D143),ISNUMBER(C143)),IF(OR(C143&gt;0,AND(C143&lt;0,D143&lt;0)),D143/C143-1,"n/m"),"n/a")</f>
        <v>0.07068062827225141</v>
      </c>
      <c r="E145" s="18">
        <f>IF(AND(ISNUMBER(E143),ISNUMBER(D143)),IF(OR(D143&gt;0,AND(D143&lt;0,E143&lt;0)),E143/D143-1,"n/m"),"n/a")</f>
        <v>-0.45965770171149145</v>
      </c>
      <c r="F145" s="18">
        <f>IF(AND(ISNUMBER(F143),ISNUMBER(E143)),IF(OR(E143&gt;0,AND(E143&lt;0,F143&lt;0)),F143/E143-1,"n/m"),"n/a")</f>
        <v>0.3280542986425339</v>
      </c>
      <c r="G145" s="18" t="s">
        <v>100</v>
      </c>
      <c r="H145" s="21">
        <f>IF(AND(ISNUMBER(H143),ISNUMBER(F143)),IF(OR(F143&gt;0,AND(F143&lt;0,H143&lt;0)),H143/F143-1,"n/m"),"n/a")</f>
        <v>0.14259814889267464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8" t="s">
        <v>101</v>
      </c>
      <c r="C146" s="2">
        <f>IF(AND(ISNUMBER(C143),ISNUMBER(M143)),C143-M143,"n/a")</f>
        <v>163</v>
      </c>
      <c r="D146" s="2">
        <f>IF(AND(ISNUMBER(D143),ISNUMBER(C143)),D143-C143,"n/a")</f>
        <v>54</v>
      </c>
      <c r="E146" s="2">
        <f>IF(AND(ISNUMBER(E143),ISNUMBER(D143)),E143-D143,"n/a")</f>
        <v>-376</v>
      </c>
      <c r="F146" s="2">
        <f>IF(AND(ISNUMBER(F143),ISNUMBER(E143)),F143-E143,"n/a")</f>
        <v>145</v>
      </c>
      <c r="G146" s="2" t="s">
        <v>100</v>
      </c>
      <c r="H146" s="7">
        <f>IF(AND(ISNUMBER(H143),ISNUMBER(F143)),H143-F143,"n/a")</f>
        <v>83.70511339999996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20" t="s">
        <v>189</v>
      </c>
      <c r="C147" s="18">
        <f>IF(AND(ISNUMBER(C143),ISNUMBER(C56)),C143/C56,"n/a")</f>
        <v>0.17470843814315115</v>
      </c>
      <c r="D147" s="18">
        <f>IF(AND(ISNUMBER(D143),ISNUMBER(D56)),D143/D56,"n/a")</f>
        <v>0.177209705372617</v>
      </c>
      <c r="E147" s="18">
        <f>IF(AND(ISNUMBER(E143),ISNUMBER(E56)),E143/E56,"n/a")</f>
        <v>0.11074918566775244</v>
      </c>
      <c r="F147" s="18">
        <f>IF(AND(ISNUMBER(F143),ISNUMBER(F56)),F143/F56,"n/a")</f>
        <v>0.13481855764813963</v>
      </c>
      <c r="G147" s="18">
        <f>IF(AND(ISNUMBER(G143),ISNUMBER(G56)),G143/G56,"n/a")</f>
        <v>0.16266173752310537</v>
      </c>
      <c r="H147" s="32">
        <v>0.149</v>
      </c>
      <c r="I147" s="1"/>
      <c r="J147" s="18">
        <f>IF(AND(ISNUMBER(J143),ISNUMBER(J56)),J143/J56,"n/a")</f>
        <v>0.14472177696359056</v>
      </c>
      <c r="K147" s="18">
        <f>IF(AND(ISNUMBER(K143),ISNUMBER(K56)),K143/K56,"n/a")</f>
        <v>0.14879136352968786</v>
      </c>
      <c r="L147" s="18">
        <f>IF(AND(ISNUMBER(L143),ISNUMBER(L56)),L143/L56,"n/a")</f>
        <v>0.14625693160813308</v>
      </c>
      <c r="M147" s="18">
        <f>IF(AND(ISNUMBER(M143),ISNUMBER(M56)),M143/M56,"n/a")</f>
        <v>0.1504380475594493</v>
      </c>
      <c r="N147" s="18">
        <f>IF(AND(ISNUMBER(N143),ISNUMBER(N56)),N143/N56,"n/a")</f>
        <v>0.14805375347544023</v>
      </c>
      <c r="O147" s="18">
        <f>IF(AND(ISNUMBER(O143),ISNUMBER(O56)),O143/O56,"n/a")</f>
        <v>0.14781204337460585</v>
      </c>
      <c r="P147" s="18">
        <f>IF(AND(ISNUMBER(P143),ISNUMBER(P56)),P143/P56,"n/a")</f>
        <v>0.15737240075614367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37" t="s">
        <v>103</v>
      </c>
      <c r="C148" s="5">
        <f>IF(AND(ISNUMBER(C147),ISNUMBER(J147)),(C147-J147)*10000,"n/a")</f>
        <v>299.8666117956059</v>
      </c>
      <c r="D148" s="5">
        <f>IF(AND(ISNUMBER(D147),ISNUMBER(K147)),(D147-K147)*10000,"n/a")</f>
        <v>284.1834184292913</v>
      </c>
      <c r="E148" s="5">
        <f>IF(AND(ISNUMBER(E147),ISNUMBER(L147)),(E147-L147)*10000,"n/a")</f>
        <v>-355.0774594038064</v>
      </c>
      <c r="F148" s="5">
        <f>IF(AND(ISNUMBER(F147),ISNUMBER(M147)),(F147-M147)*10000,"n/a")</f>
        <v>-156.1948991130968</v>
      </c>
      <c r="G148" s="5">
        <f>IF(AND(ISNUMBER(G147),ISNUMBER(N147)),(G147-N147)*10000,"n/a")</f>
        <v>146.0798404766514</v>
      </c>
      <c r="H148" s="30">
        <f>IF(AND(ISNUMBER(H147),ISNUMBER(C147)),(H147-C147)*10000,"n/a")</f>
        <v>-257.0843814315116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37" t="s">
        <v>104</v>
      </c>
      <c r="C149" s="5">
        <f>IF(AND(ISNUMBER(C147),ISNUMBER(M147)),(C147-M147)*10000,"n/a")</f>
        <v>242.7039058370184</v>
      </c>
      <c r="D149" s="5">
        <f>IF(AND(ISNUMBER(D147),ISNUMBER(C147)),(D147-C147)*10000,"n/a")</f>
        <v>25.012672294658366</v>
      </c>
      <c r="E149" s="5">
        <f>IF(AND(ISNUMBER(E147),ISNUMBER(D147)),(E147-D147)*10000,"n/a")</f>
        <v>-664.6051970486456</v>
      </c>
      <c r="F149" s="5">
        <f>IF(AND(ISNUMBER(F147),ISNUMBER(E147)),(F147-E147)*10000,"n/a")</f>
        <v>240.69371980387194</v>
      </c>
      <c r="G149" s="5" t="s">
        <v>100</v>
      </c>
      <c r="H149" s="30">
        <f>IF(AND(ISNUMBER(H147),ISNUMBER(F147)),(H147-F147)*10000,"n/a")</f>
        <v>141.81442351860363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20" t="s">
        <v>105</v>
      </c>
      <c r="C150" s="18" t="s">
        <v>106</v>
      </c>
      <c r="D150" s="18" t="s">
        <v>106</v>
      </c>
      <c r="E150" s="18" t="s">
        <v>106</v>
      </c>
      <c r="F150" s="18" t="s">
        <v>106</v>
      </c>
      <c r="G150" s="18" t="s">
        <v>106</v>
      </c>
      <c r="H150" s="21" t="s">
        <v>106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20" t="s">
        <v>107</v>
      </c>
      <c r="C151" s="18" t="s">
        <v>106</v>
      </c>
      <c r="D151" s="18" t="s">
        <v>106</v>
      </c>
      <c r="E151" s="18" t="s">
        <v>106</v>
      </c>
      <c r="F151" s="18" t="s">
        <v>106</v>
      </c>
      <c r="G151" s="18" t="s">
        <v>106</v>
      </c>
      <c r="H151" s="21" t="s">
        <v>106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20" t="s">
        <v>108</v>
      </c>
      <c r="C152" s="18" t="str">
        <f>IF(AND(ISNUMBER(C144),ISNUMBER(C150),ISNUMBER(C151)),(1+C144)/((1+C150)*(1+C151))-1,"n/a")</f>
        <v>n/a</v>
      </c>
      <c r="D152" s="18" t="str">
        <f>IF(AND(ISNUMBER(D144),ISNUMBER(D150),ISNUMBER(D151)),(1+D144)/((1+D150)*(1+D151))-1,"n/a")</f>
        <v>n/a</v>
      </c>
      <c r="E152" s="18" t="str">
        <f>IF(AND(ISNUMBER(E144),ISNUMBER(E150),ISNUMBER(E151)),(1+E144)/((1+E150)*(1+E151))-1,"n/a")</f>
        <v>n/a</v>
      </c>
      <c r="F152" s="18" t="str">
        <f>IF(AND(ISNUMBER(F144),ISNUMBER(F150),ISNUMBER(F151)),(1+F144)/((1+F150)*(1+F151))-1,"n/a")</f>
        <v>n/a</v>
      </c>
      <c r="G152" s="18" t="str">
        <f>IF(AND(ISNUMBER(G144),ISNUMBER(G150),ISNUMBER(G151)),(1+G144)/((1+G150)*(1+G151))-1,"n/a")</f>
        <v>n/a</v>
      </c>
      <c r="H152" s="21" t="str">
        <f>IF(AND(ISNUMBER(H144),ISNUMBER(H150),ISNUMBER(H151)),(1+H144)/((1+H150)*(1+H151))-1,"n/a")</f>
        <v>n/a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4" t="s">
        <v>190</v>
      </c>
      <c r="C153" s="3">
        <v>199</v>
      </c>
      <c r="D153" s="2">
        <f>G153-P153</f>
        <v>255</v>
      </c>
      <c r="E153" s="3">
        <v>170</v>
      </c>
      <c r="F153" s="3">
        <v>131</v>
      </c>
      <c r="G153" s="3">
        <v>885</v>
      </c>
      <c r="H153" s="7">
        <f>H56*H157</f>
        <v>193.55919379999997</v>
      </c>
      <c r="I153" s="1"/>
      <c r="J153" s="3">
        <v>190</v>
      </c>
      <c r="K153" s="2">
        <f>N153-O153</f>
        <v>235</v>
      </c>
      <c r="L153" s="3">
        <v>212</v>
      </c>
      <c r="M153" s="3">
        <v>219</v>
      </c>
      <c r="N153" s="3">
        <v>787</v>
      </c>
      <c r="O153" s="3">
        <v>552</v>
      </c>
      <c r="P153" s="3">
        <v>630</v>
      </c>
      <c r="Q153" s="1"/>
      <c r="R153" s="9" t="s">
        <v>161</v>
      </c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20" t="s">
        <v>98</v>
      </c>
      <c r="C154" s="18">
        <f>IF(AND(ISNUMBER(C153),ISNUMBER(J153)),IF(OR(J153&gt;0,AND(J153&lt;0,C153&lt;0)),C153/J153-1,"n/m"),"n/a")</f>
        <v>0.047368421052631504</v>
      </c>
      <c r="D154" s="18">
        <f>IF(AND(ISNUMBER(D153),ISNUMBER(K153)),IF(OR(K153&gt;0,AND(K153&lt;0,D153&lt;0)),D153/K153-1,"n/m"),"n/a")</f>
        <v>0.0851063829787233</v>
      </c>
      <c r="E154" s="18">
        <f>IF(AND(ISNUMBER(E153),ISNUMBER(L153)),IF(OR(L153&gt;0,AND(L153&lt;0,E153&lt;0)),E153/L153-1,"n/m"),"n/a")</f>
        <v>-0.19811320754716977</v>
      </c>
      <c r="F154" s="18">
        <f>IF(AND(ISNUMBER(F153),ISNUMBER(M153)),IF(OR(M153&gt;0,AND(M153&lt;0,F153&lt;0)),F153/M153-1,"n/m"),"n/a")</f>
        <v>-0.4018264840182648</v>
      </c>
      <c r="G154" s="18">
        <f>IF(AND(ISNUMBER(G153),ISNUMBER(N153)),IF(OR(N153&gt;0,AND(N153&lt;0,G153&lt;0)),G153/N153-1,"n/m"),"n/a")</f>
        <v>0.12452350698856418</v>
      </c>
      <c r="H154" s="21">
        <f>IF(AND(ISNUMBER(H153),ISNUMBER(C153)),IF(OR(C153&gt;0,AND(C153&lt;0,H153&lt;0)),H153/C153-1,"n/m"),"n/a")</f>
        <v>-0.02734073467336695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20" t="s">
        <v>99</v>
      </c>
      <c r="C155" s="18">
        <f>IF(AND(ISNUMBER(C153),ISNUMBER(M153)),IF(OR(M153&gt;0,AND(M153&lt;0,C153&lt;0)),C153/M153-1,"n/m"),"n/a")</f>
        <v>-0.091324200913242</v>
      </c>
      <c r="D155" s="18">
        <f>IF(AND(ISNUMBER(D153),ISNUMBER(C153)),IF(OR(C153&gt;0,AND(C153&lt;0,D153&lt;0)),D153/C153-1,"n/m"),"n/a")</f>
        <v>0.2814070351758795</v>
      </c>
      <c r="E155" s="18">
        <f>IF(AND(ISNUMBER(E153),ISNUMBER(D153)),IF(OR(D153&gt;0,AND(D153&lt;0,E153&lt;0)),E153/D153-1,"n/m"),"n/a")</f>
        <v>-0.33333333333333337</v>
      </c>
      <c r="F155" s="18">
        <f>IF(AND(ISNUMBER(F153),ISNUMBER(E153)),IF(OR(E153&gt;0,AND(E153&lt;0,F153&lt;0)),F153/E153-1,"n/m"),"n/a")</f>
        <v>-0.22941176470588232</v>
      </c>
      <c r="G155" s="18" t="s">
        <v>100</v>
      </c>
      <c r="H155" s="21">
        <f>IF(AND(ISNUMBER(H153),ISNUMBER(F153)),IF(OR(F153&gt;0,AND(F153&lt;0,H153&lt;0)),H153/F153-1,"n/m"),"n/a")</f>
        <v>0.47755109770992354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8" t="s">
        <v>101</v>
      </c>
      <c r="C156" s="2">
        <f>IF(AND(ISNUMBER(C153),ISNUMBER(M153)),C153-M153,"n/a")</f>
        <v>-20</v>
      </c>
      <c r="D156" s="2">
        <f>IF(AND(ISNUMBER(D153),ISNUMBER(C153)),D153-C153,"n/a")</f>
        <v>56</v>
      </c>
      <c r="E156" s="2">
        <f>IF(AND(ISNUMBER(E153),ISNUMBER(D153)),E153-D153,"n/a")</f>
        <v>-85</v>
      </c>
      <c r="F156" s="2">
        <f>IF(AND(ISNUMBER(F153),ISNUMBER(E153)),F153-E153,"n/a")</f>
        <v>-39</v>
      </c>
      <c r="G156" s="2" t="s">
        <v>100</v>
      </c>
      <c r="H156" s="7">
        <f>IF(AND(ISNUMBER(H153),ISNUMBER(F153)),H153-F153,"n/a")</f>
        <v>62.559193799999974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20" t="s">
        <v>191</v>
      </c>
      <c r="C157" s="18">
        <f>IF(AND(ISNUMBER(C153),ISNUMBER(C56)),C153/C56,"n/a")</f>
        <v>0.04550651726503544</v>
      </c>
      <c r="D157" s="18">
        <f>IF(AND(ISNUMBER(D153),ISNUMBER(D56)),D153/D56,"n/a")</f>
        <v>0.05524263431542461</v>
      </c>
      <c r="E157" s="18">
        <f>IF(AND(ISNUMBER(E153),ISNUMBER(E56)),E153/E56,"n/a")</f>
        <v>0.04259584064144325</v>
      </c>
      <c r="F157" s="18">
        <f>IF(AND(ISNUMBER(F153),ISNUMBER(F56)),F153/F56,"n/a")</f>
        <v>0.030087276067983462</v>
      </c>
      <c r="G157" s="18">
        <f>IF(AND(ISNUMBER(G153),ISNUMBER(G56)),G153/G56,"n/a")</f>
        <v>0.05112060998151571</v>
      </c>
      <c r="H157" s="32">
        <v>0.043</v>
      </c>
      <c r="I157" s="1"/>
      <c r="J157" s="18">
        <f>IF(AND(ISNUMBER(J153),ISNUMBER(J56)),J153/J56,"n/a")</f>
        <v>0.04350812915044653</v>
      </c>
      <c r="K157" s="18">
        <f>IF(AND(ISNUMBER(K153),ISNUMBER(K56)),K153/K56,"n/a")</f>
        <v>0.0551513729171556</v>
      </c>
      <c r="L157" s="18">
        <f>IF(AND(ISNUMBER(L153),ISNUMBER(L56)),L153/L56,"n/a")</f>
        <v>0.048983364140480594</v>
      </c>
      <c r="M157" s="18">
        <f>IF(AND(ISNUMBER(M153),ISNUMBER(M56)),M153/M56,"n/a")</f>
        <v>0.05481852315394243</v>
      </c>
      <c r="N157" s="18">
        <f>IF(AND(ISNUMBER(N153),ISNUMBER(N56)),N153/N56,"n/a")</f>
        <v>0.04558619091751622</v>
      </c>
      <c r="O157" s="18">
        <f>IF(AND(ISNUMBER(O153),ISNUMBER(O56)),O153/O56,"n/a")</f>
        <v>0.04245174190571407</v>
      </c>
      <c r="P157" s="18">
        <f>IF(AND(ISNUMBER(P153),ISNUMBER(P56)),P153/P56,"n/a")</f>
        <v>0.04962192816635161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37" t="s">
        <v>103</v>
      </c>
      <c r="C158" s="5">
        <f>IF(AND(ISNUMBER(C157),ISNUMBER(J157)),(C157-J157)*10000,"n/a")</f>
        <v>19.983881145889114</v>
      </c>
      <c r="D158" s="5">
        <f>IF(AND(ISNUMBER(D157),ISNUMBER(K157)),(D157-K157)*10000,"n/a")</f>
        <v>0.9126139826901025</v>
      </c>
      <c r="E158" s="5">
        <f>IF(AND(ISNUMBER(E157),ISNUMBER(L157)),(E157-L157)*10000,"n/a")</f>
        <v>-63.87523499037345</v>
      </c>
      <c r="F158" s="5">
        <f>IF(AND(ISNUMBER(F157),ISNUMBER(M157)),(F157-M157)*10000,"n/a")</f>
        <v>-247.31247085958967</v>
      </c>
      <c r="G158" s="5">
        <f>IF(AND(ISNUMBER(G157),ISNUMBER(N157)),(G157-N157)*10000,"n/a")</f>
        <v>55.34419063999492</v>
      </c>
      <c r="H158" s="30">
        <f>IF(AND(ISNUMBER(H157),ISNUMBER(C157)),(H157-C157)*10000,"n/a")</f>
        <v>-25.065172650354448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37" t="s">
        <v>104</v>
      </c>
      <c r="C159" s="5">
        <f>IF(AND(ISNUMBER(C157),ISNUMBER(M157)),(C157-M157)*10000,"n/a")</f>
        <v>-93.12005888906988</v>
      </c>
      <c r="D159" s="5">
        <f>IF(AND(ISNUMBER(D157),ISNUMBER(C157)),(D157-C157)*10000,"n/a")</f>
        <v>97.36117050389167</v>
      </c>
      <c r="E159" s="5">
        <f>IF(AND(ISNUMBER(E157),ISNUMBER(D157)),(E157-D157)*10000,"n/a")</f>
        <v>-126.46793673981361</v>
      </c>
      <c r="F159" s="5">
        <f>IF(AND(ISNUMBER(F157),ISNUMBER(E157)),(F157-E157)*10000,"n/a")</f>
        <v>-125.08564573459786</v>
      </c>
      <c r="G159" s="5" t="s">
        <v>100</v>
      </c>
      <c r="H159" s="30">
        <f>IF(AND(ISNUMBER(H157),ISNUMBER(F157)),(H157-F157)*10000,"n/a")</f>
        <v>129.12723932016533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20" t="s">
        <v>105</v>
      </c>
      <c r="C160" s="18" t="s">
        <v>106</v>
      </c>
      <c r="D160" s="18" t="s">
        <v>106</v>
      </c>
      <c r="E160" s="18" t="s">
        <v>106</v>
      </c>
      <c r="F160" s="18" t="s">
        <v>106</v>
      </c>
      <c r="G160" s="18" t="s">
        <v>106</v>
      </c>
      <c r="H160" s="21" t="s">
        <v>106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20" t="s">
        <v>107</v>
      </c>
      <c r="C161" s="18" t="s">
        <v>106</v>
      </c>
      <c r="D161" s="18" t="s">
        <v>106</v>
      </c>
      <c r="E161" s="18" t="s">
        <v>106</v>
      </c>
      <c r="F161" s="18" t="s">
        <v>106</v>
      </c>
      <c r="G161" s="18" t="s">
        <v>106</v>
      </c>
      <c r="H161" s="21" t="s">
        <v>106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20" t="s">
        <v>108</v>
      </c>
      <c r="C162" s="18" t="str">
        <f>IF(AND(ISNUMBER(C154),ISNUMBER(C160),ISNUMBER(C161)),(1+C154)/((1+C160)*(1+C161))-1,"n/a")</f>
        <v>n/a</v>
      </c>
      <c r="D162" s="18" t="str">
        <f>IF(AND(ISNUMBER(D154),ISNUMBER(D160),ISNUMBER(D161)),(1+D154)/((1+D160)*(1+D161))-1,"n/a")</f>
        <v>n/a</v>
      </c>
      <c r="E162" s="18" t="str">
        <f>IF(AND(ISNUMBER(E154),ISNUMBER(E160),ISNUMBER(E161)),(1+E154)/((1+E160)*(1+E161))-1,"n/a")</f>
        <v>n/a</v>
      </c>
      <c r="F162" s="18" t="str">
        <f>IF(AND(ISNUMBER(F154),ISNUMBER(F160),ISNUMBER(F161)),(1+F154)/((1+F160)*(1+F161))-1,"n/a")</f>
        <v>n/a</v>
      </c>
      <c r="G162" s="18" t="str">
        <f>IF(AND(ISNUMBER(G154),ISNUMBER(G160),ISNUMBER(G161)),(1+G154)/((1+G160)*(1+G161))-1,"n/a")</f>
        <v>n/a</v>
      </c>
      <c r="H162" s="21" t="str">
        <f>IF(AND(ISNUMBER(H154),ISNUMBER(H160),ISNUMBER(H161)),(1+H154)/((1+H160)*(1+H161))-1,"n/a")</f>
        <v>n/a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4" t="s">
        <v>192</v>
      </c>
      <c r="C163" s="3">
        <v>258</v>
      </c>
      <c r="D163" s="2">
        <f>G163-P163</f>
        <v>292</v>
      </c>
      <c r="E163" s="3">
        <v>290</v>
      </c>
      <c r="F163" s="3">
        <v>310</v>
      </c>
      <c r="G163" s="3">
        <v>855</v>
      </c>
      <c r="H163" s="7">
        <f>H56-H123-H133-H143-H153</f>
        <v>301.5922321999998</v>
      </c>
      <c r="I163" s="1"/>
      <c r="J163" s="3">
        <v>272</v>
      </c>
      <c r="K163" s="2">
        <f>N163-O163</f>
        <v>176</v>
      </c>
      <c r="L163" s="3">
        <v>319</v>
      </c>
      <c r="M163" s="3">
        <v>-14</v>
      </c>
      <c r="N163" s="3">
        <v>877</v>
      </c>
      <c r="O163" s="3">
        <v>701</v>
      </c>
      <c r="P163" s="3">
        <v>563</v>
      </c>
      <c r="Q163" s="1"/>
      <c r="R163" s="9" t="s">
        <v>161</v>
      </c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20" t="s">
        <v>98</v>
      </c>
      <c r="C164" s="18">
        <f>IF(AND(ISNUMBER(C163),ISNUMBER(J163)),IF(OR(J163&gt;0,AND(J163&lt;0,C163&lt;0)),C163/J163-1,"n/m"),"n/a")</f>
        <v>-0.05147058823529416</v>
      </c>
      <c r="D164" s="18">
        <f>IF(AND(ISNUMBER(D163),ISNUMBER(K163)),IF(OR(K163&gt;0,AND(K163&lt;0,D163&lt;0)),D163/K163-1,"n/m"),"n/a")</f>
        <v>0.6590909090909092</v>
      </c>
      <c r="E164" s="18">
        <f>IF(AND(ISNUMBER(E163),ISNUMBER(L163)),IF(OR(L163&gt;0,AND(L163&lt;0,E163&lt;0)),E163/L163-1,"n/m"),"n/a")</f>
        <v>-0.09090909090909094</v>
      </c>
      <c r="F164" s="18" t="str">
        <f>IF(AND(ISNUMBER(F163),ISNUMBER(M163)),IF(OR(M163&gt;0,AND(M163&lt;0,F163&lt;0)),F163/M163-1,"n/m"),"n/a")</f>
        <v>n/m</v>
      </c>
      <c r="G164" s="18">
        <f>IF(AND(ISNUMBER(G163),ISNUMBER(N163)),IF(OR(N163&gt;0,AND(N163&lt;0,G163&lt;0)),G163/N163-1,"n/m"),"n/a")</f>
        <v>-0.02508551881413912</v>
      </c>
      <c r="H164" s="21">
        <f>IF(AND(ISNUMBER(H163),ISNUMBER(C163)),IF(OR(C163&gt;0,AND(C163&lt;0,H163&lt;0)),H163/C163-1,"n/m"),"n/a")</f>
        <v>0.16896214031007672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20" t="s">
        <v>99</v>
      </c>
      <c r="C165" s="18" t="str">
        <f>IF(AND(ISNUMBER(C163),ISNUMBER(M163)),IF(OR(M163&gt;0,AND(M163&lt;0,C163&lt;0)),C163/M163-1,"n/m"),"n/a")</f>
        <v>n/m</v>
      </c>
      <c r="D165" s="18">
        <f>IF(AND(ISNUMBER(D163),ISNUMBER(C163)),IF(OR(C163&gt;0,AND(C163&lt;0,D163&lt;0)),D163/C163-1,"n/m"),"n/a")</f>
        <v>0.13178294573643412</v>
      </c>
      <c r="E165" s="18">
        <f>IF(AND(ISNUMBER(E163),ISNUMBER(D163)),IF(OR(D163&gt;0,AND(D163&lt;0,E163&lt;0)),E163/D163-1,"n/m"),"n/a")</f>
        <v>-0.006849315068493178</v>
      </c>
      <c r="F165" s="18">
        <f>IF(AND(ISNUMBER(F163),ISNUMBER(E163)),IF(OR(E163&gt;0,AND(E163&lt;0,F163&lt;0)),F163/E163-1,"n/m"),"n/a")</f>
        <v>0.06896551724137923</v>
      </c>
      <c r="G165" s="18" t="s">
        <v>100</v>
      </c>
      <c r="H165" s="21">
        <f>IF(AND(ISNUMBER(H163),ISNUMBER(F163)),IF(OR(F163&gt;0,AND(F163&lt;0,H163&lt;0)),H163/F163-1,"n/m"),"n/a")</f>
        <v>-0.027121831612903935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8" t="s">
        <v>101</v>
      </c>
      <c r="C166" s="2">
        <f>IF(AND(ISNUMBER(C163),ISNUMBER(M163)),C163-M163,"n/a")</f>
        <v>272</v>
      </c>
      <c r="D166" s="2">
        <f>IF(AND(ISNUMBER(D163),ISNUMBER(C163)),D163-C163,"n/a")</f>
        <v>34</v>
      </c>
      <c r="E166" s="2">
        <f>IF(AND(ISNUMBER(E163),ISNUMBER(D163)),E163-D163,"n/a")</f>
        <v>-2</v>
      </c>
      <c r="F166" s="2">
        <f>IF(AND(ISNUMBER(F163),ISNUMBER(E163)),F163-E163,"n/a")</f>
        <v>20</v>
      </c>
      <c r="G166" s="2" t="s">
        <v>100</v>
      </c>
      <c r="H166" s="7">
        <f>IF(AND(ISNUMBER(H163),ISNUMBER(F163)),H163-F163,"n/a")</f>
        <v>-8.407767800000215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20" t="s">
        <v>193</v>
      </c>
      <c r="C167" s="18">
        <f>IF(AND(ISNUMBER(C163),ISNUMBER(C56)),C163/C56,"n/a")</f>
        <v>0.058998399268236905</v>
      </c>
      <c r="D167" s="18">
        <f>IF(AND(ISNUMBER(D163),ISNUMBER(D56)),D163/D56,"n/a")</f>
        <v>0.0632582322357019</v>
      </c>
      <c r="E167" s="18">
        <f>IF(AND(ISNUMBER(E163),ISNUMBER(E56)),E163/E56,"n/a")</f>
        <v>0.0726634928589326</v>
      </c>
      <c r="F167" s="18">
        <f>IF(AND(ISNUMBER(F163),ISNUMBER(F56)),F163/F56,"n/a")</f>
        <v>0.07119889756545705</v>
      </c>
      <c r="G167" s="18">
        <f>IF(AND(ISNUMBER(G163),ISNUMBER(G56)),G163/G56,"n/a")</f>
        <v>0.04938770794824399</v>
      </c>
      <c r="H167" s="21">
        <f>IF(AND(ISNUMBER(H163),ISNUMBER(H56)),H163/H56,"n/a")</f>
        <v>0.06699999999999996</v>
      </c>
      <c r="I167" s="1"/>
      <c r="J167" s="18">
        <f>IF(AND(ISNUMBER(J163),ISNUMBER(J56)),J163/J56,"n/a")</f>
        <v>0.06228532173116556</v>
      </c>
      <c r="K167" s="18">
        <f>IF(AND(ISNUMBER(K163),ISNUMBER(K56)),K163/K56,"n/a")</f>
        <v>0.041304858014550576</v>
      </c>
      <c r="L167" s="18">
        <f>IF(AND(ISNUMBER(L163),ISNUMBER(L56)),L163/L56,"n/a")</f>
        <v>0.07370609981515712</v>
      </c>
      <c r="M167" s="18">
        <f>IF(AND(ISNUMBER(M163),ISNUMBER(M56)),M163/M56,"n/a")</f>
        <v>-0.003504380475594493</v>
      </c>
      <c r="N167" s="18">
        <f>IF(AND(ISNUMBER(N163),ISNUMBER(N56)),N163/N56,"n/a")</f>
        <v>0.05079935125115848</v>
      </c>
      <c r="O167" s="18">
        <f>IF(AND(ISNUMBER(O163),ISNUMBER(O56)),O163/O56,"n/a")</f>
        <v>0.05391063600707529</v>
      </c>
      <c r="P167" s="18">
        <f>IF(AND(ISNUMBER(P163),ISNUMBER(P56)),P163/P56,"n/a")</f>
        <v>0.04434467548834278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37" t="s">
        <v>103</v>
      </c>
      <c r="C168" s="5">
        <f>IF(AND(ISNUMBER(C167),ISNUMBER(J167)),(C167-J167)*10000,"n/a")</f>
        <v>-32.869224629286585</v>
      </c>
      <c r="D168" s="5">
        <f>IF(AND(ISNUMBER(D167),ISNUMBER(K167)),(D167-K167)*10000,"n/a")</f>
        <v>219.53374221151324</v>
      </c>
      <c r="E168" s="5">
        <f>IF(AND(ISNUMBER(E167),ISNUMBER(L167)),(E167-L167)*10000,"n/a")</f>
        <v>-10.426069562245177</v>
      </c>
      <c r="F168" s="5">
        <f>IF(AND(ISNUMBER(F167),ISNUMBER(M167)),(F167-M167)*10000,"n/a")</f>
        <v>747.0327804105154</v>
      </c>
      <c r="G168" s="5">
        <f>IF(AND(ISNUMBER(G167),ISNUMBER(N167)),(G167-N167)*10000,"n/a")</f>
        <v>-14.116433029144893</v>
      </c>
      <c r="H168" s="30">
        <f>IF(AND(ISNUMBER(H167),ISNUMBER(C167)),(H167-C167)*10000,"n/a")</f>
        <v>80.01600731763058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37" t="s">
        <v>104</v>
      </c>
      <c r="C169" s="5">
        <f>IF(AND(ISNUMBER(C167),ISNUMBER(M167)),(C167-M167)*10000,"n/a")</f>
        <v>625.0277974383139</v>
      </c>
      <c r="D169" s="5">
        <f>IF(AND(ISNUMBER(D167),ISNUMBER(C167)),(D167-C167)*10000,"n/a")</f>
        <v>42.59832967464995</v>
      </c>
      <c r="E169" s="5">
        <f>IF(AND(ISNUMBER(E167),ISNUMBER(D167)),(E167-D167)*10000,"n/a")</f>
        <v>94.05260623230701</v>
      </c>
      <c r="F169" s="5">
        <f>IF(AND(ISNUMBER(F167),ISNUMBER(E167)),(F167-E167)*10000,"n/a")</f>
        <v>-14.645952934755485</v>
      </c>
      <c r="G169" s="5" t="s">
        <v>100</v>
      </c>
      <c r="H169" s="30">
        <f>IF(AND(ISNUMBER(H167),ISNUMBER(F167)),(H167-F167)*10000,"n/a")</f>
        <v>-41.98897565457091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20" t="s">
        <v>105</v>
      </c>
      <c r="C170" s="18" t="s">
        <v>106</v>
      </c>
      <c r="D170" s="18" t="s">
        <v>106</v>
      </c>
      <c r="E170" s="18" t="s">
        <v>106</v>
      </c>
      <c r="F170" s="18" t="s">
        <v>106</v>
      </c>
      <c r="G170" s="18" t="s">
        <v>106</v>
      </c>
      <c r="H170" s="21" t="s">
        <v>106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20" t="s">
        <v>107</v>
      </c>
      <c r="C171" s="18" t="s">
        <v>106</v>
      </c>
      <c r="D171" s="18" t="s">
        <v>106</v>
      </c>
      <c r="E171" s="18" t="s">
        <v>106</v>
      </c>
      <c r="F171" s="18" t="s">
        <v>106</v>
      </c>
      <c r="G171" s="18" t="s">
        <v>106</v>
      </c>
      <c r="H171" s="21" t="s">
        <v>106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20" t="s">
        <v>108</v>
      </c>
      <c r="C172" s="18" t="str">
        <f>IF(AND(ISNUMBER(C164),ISNUMBER(C170),ISNUMBER(C171)),(1+C164)/((1+C170)*(1+C171))-1,"n/a")</f>
        <v>n/a</v>
      </c>
      <c r="D172" s="18" t="str">
        <f>IF(AND(ISNUMBER(D164),ISNUMBER(D170),ISNUMBER(D171)),(1+D164)/((1+D170)*(1+D171))-1,"n/a")</f>
        <v>n/a</v>
      </c>
      <c r="E172" s="18" t="str">
        <f>IF(AND(ISNUMBER(E164),ISNUMBER(E170),ISNUMBER(E171)),(1+E164)/((1+E170)*(1+E171))-1,"n/a")</f>
        <v>n/a</v>
      </c>
      <c r="F172" s="18" t="str">
        <f>IF(AND(ISNUMBER(F164),ISNUMBER(F170),ISNUMBER(F171)),(1+F164)/((1+F170)*(1+F171))-1,"n/a")</f>
        <v>n/a</v>
      </c>
      <c r="G172" s="18" t="str">
        <f>IF(AND(ISNUMBER(G164),ISNUMBER(G170),ISNUMBER(G171)),(1+G164)/((1+G170)*(1+G171))-1,"n/a")</f>
        <v>n/a</v>
      </c>
      <c r="H172" s="21" t="str">
        <f>IF(AND(ISNUMBER(H164),ISNUMBER(H170),ISNUMBER(H171)),(1+H164)/((1+H170)*(1+H171))-1,"n/a")</f>
        <v>n/a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46" t="s">
        <v>194</v>
      </c>
      <c r="C173" s="14">
        <f>C123+C133+C143+C153+C163</f>
        <v>4373</v>
      </c>
      <c r="D173" s="14">
        <f>D123+D133+D143+D153+D163</f>
        <v>4616</v>
      </c>
      <c r="E173" s="14">
        <f>E123+E133+E143+E153+E163</f>
        <v>3991</v>
      </c>
      <c r="F173" s="14">
        <f>F123+F133+F143+F153+F163</f>
        <v>4354</v>
      </c>
      <c r="G173" s="14">
        <f>G123+G133+G143+G153+G163</f>
        <v>17312</v>
      </c>
      <c r="H173" s="48">
        <f>H123+H133+H143+H153+H163</f>
        <v>4501.3766</v>
      </c>
      <c r="I173" s="1"/>
      <c r="J173" s="14">
        <f>J123+J133+J143+J153+J163</f>
        <v>4367</v>
      </c>
      <c r="K173" s="14">
        <f>K123+K133+K143+K153+K163</f>
        <v>4261</v>
      </c>
      <c r="L173" s="14">
        <f>L123+L133+L143+L153+L163</f>
        <v>4328</v>
      </c>
      <c r="M173" s="14">
        <f>M123+M133+M143+M153+M163</f>
        <v>3995</v>
      </c>
      <c r="N173" s="14">
        <f>N123+N133+N143+N153+N163</f>
        <v>17264</v>
      </c>
      <c r="O173" s="14">
        <f>O123+O133+O143+O153+O163</f>
        <v>13003</v>
      </c>
      <c r="P173" s="14">
        <f>P123+P133+P143+P153+P163</f>
        <v>12696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1" t="s">
        <v>195</v>
      </c>
      <c r="C174" s="19">
        <f>C173-C56</f>
        <v>0</v>
      </c>
      <c r="D174" s="19">
        <f>D173-D56</f>
        <v>0</v>
      </c>
      <c r="E174" s="19">
        <f>E173-E56</f>
        <v>0</v>
      </c>
      <c r="F174" s="19">
        <f>F173-F56</f>
        <v>0</v>
      </c>
      <c r="G174" s="19">
        <f>G173-G56</f>
        <v>0</v>
      </c>
      <c r="H174" s="49">
        <f>H173-H56</f>
        <v>0</v>
      </c>
      <c r="I174" s="1"/>
      <c r="J174" s="19">
        <f>J173-J56</f>
        <v>0</v>
      </c>
      <c r="K174" s="19">
        <f>K173-K56</f>
        <v>0</v>
      </c>
      <c r="L174" s="19">
        <f>L173-L56</f>
        <v>0</v>
      </c>
      <c r="M174" s="19">
        <f>M173-M56</f>
        <v>0</v>
      </c>
      <c r="N174" s="19">
        <f>N173-N56</f>
        <v>0</v>
      </c>
      <c r="O174" s="19">
        <f>O173-O56</f>
        <v>0</v>
      </c>
      <c r="P174" s="19">
        <f>P173-P56</f>
        <v>0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3" t="s">
        <v>118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46" t="s">
        <v>118</v>
      </c>
      <c r="C177" s="36">
        <v>506</v>
      </c>
      <c r="D177" s="36">
        <v>468</v>
      </c>
      <c r="E177" s="36">
        <v>423</v>
      </c>
      <c r="F177" s="36">
        <v>437</v>
      </c>
      <c r="G177" s="39">
        <f>P177+D177</f>
        <v>1323</v>
      </c>
      <c r="H177" s="65">
        <f>H56*H180</f>
        <v>463.6417897999999</v>
      </c>
      <c r="I177" s="1"/>
      <c r="J177" s="36">
        <v>483</v>
      </c>
      <c r="K177" s="36">
        <v>513</v>
      </c>
      <c r="L177" s="36">
        <v>521</v>
      </c>
      <c r="M177" s="36">
        <v>-172</v>
      </c>
      <c r="N177" s="39">
        <f>O177+K177</f>
        <v>1921</v>
      </c>
      <c r="O177" s="36">
        <v>1408</v>
      </c>
      <c r="P177" s="36">
        <v>855</v>
      </c>
      <c r="Q177" s="1"/>
      <c r="R177" s="9" t="s">
        <v>196</v>
      </c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25" t="s">
        <v>98</v>
      </c>
      <c r="C178" s="18">
        <f>IF(AND(ISNUMBER(C177),ISNUMBER(J177)),IF(OR(J177&gt;0,AND(J177&lt;0,C177&lt;0)),C177/J177-1,"n/m"),"n/a")</f>
        <v>0.04761904761904767</v>
      </c>
      <c r="D178" s="18">
        <f>IF(AND(ISNUMBER(D177),ISNUMBER(K177)),IF(OR(K177&gt;0,AND(K177&lt;0,D177&lt;0)),D177/K177-1,"n/m"),"n/a")</f>
        <v>-0.08771929824561409</v>
      </c>
      <c r="E178" s="18">
        <f>IF(AND(ISNUMBER(E177),ISNUMBER(L177)),IF(OR(L177&gt;0,AND(L177&lt;0,E177&lt;0)),E177/L177-1,"n/m"),"n/a")</f>
        <v>-0.18809980806142035</v>
      </c>
      <c r="F178" s="18" t="str">
        <f>IF(AND(ISNUMBER(F177),ISNUMBER(M177)),IF(OR(M177&gt;0,AND(M177&lt;0,F177&lt;0)),F177/M177-1,"n/m"),"n/a")</f>
        <v>n/m</v>
      </c>
      <c r="G178" s="18">
        <f>IF(AND(ISNUMBER(G177),ISNUMBER(N177)),IF(OR(N177&gt;0,AND(N177&lt;0,G177&lt;0)),G177/N177-1,"n/m"),"n/a")</f>
        <v>-0.3112961998958875</v>
      </c>
      <c r="H178" s="21">
        <f>IF(AND(ISNUMBER(H177),ISNUMBER(C177)),IF(OR(C177&gt;0,AND(C177&lt;0,H177&lt;0)),H177/C177-1,"n/m"),"n/a")</f>
        <v>-0.08371187786561285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4" t="s">
        <v>101</v>
      </c>
      <c r="C179" s="2">
        <f>IF(AND(ISNUMBER(C177),ISNUMBER(M177)),C177-M177,"n/a")</f>
        <v>678</v>
      </c>
      <c r="D179" s="2">
        <f>IF(AND(ISNUMBER(D177),ISNUMBER(C177)),D177-C177,"n/a")</f>
        <v>-38</v>
      </c>
      <c r="E179" s="2">
        <f>IF(AND(ISNUMBER(E177),ISNUMBER(D177)),E177-D177,"n/a")</f>
        <v>-45</v>
      </c>
      <c r="F179" s="2">
        <f>IF(AND(ISNUMBER(F177),ISNUMBER(E177)),F177-E177,"n/a")</f>
        <v>14</v>
      </c>
      <c r="G179" s="2" t="s">
        <v>100</v>
      </c>
      <c r="H179" s="7">
        <f>IF(AND(ISNUMBER(H177),ISNUMBER(F177)),H177-F177,"n/a")</f>
        <v>26.641789799999913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25" t="s">
        <v>125</v>
      </c>
      <c r="C180" s="18">
        <f>C177/C56</f>
        <v>0.11571003887491425</v>
      </c>
      <c r="D180" s="18">
        <f>D177/D56</f>
        <v>0.10138648180242635</v>
      </c>
      <c r="E180" s="18">
        <f>E177/E56</f>
        <v>0.10598847406664996</v>
      </c>
      <c r="F180" s="18">
        <f>F177/F56</f>
        <v>0.100367478180983</v>
      </c>
      <c r="G180" s="18">
        <f>G177/G56</f>
        <v>0.07642097966728281</v>
      </c>
      <c r="H180" s="32">
        <v>0.103</v>
      </c>
      <c r="I180" s="1"/>
      <c r="J180" s="18">
        <f>J177/J56</f>
        <v>0.11060224410350356</v>
      </c>
      <c r="K180" s="18">
        <f>K177/K56</f>
        <v>0.12039427364468434</v>
      </c>
      <c r="L180" s="18">
        <f>L177/L56</f>
        <v>0.12037892791127541</v>
      </c>
      <c r="M180" s="18">
        <f>M177/M56</f>
        <v>-0.04305381727158949</v>
      </c>
      <c r="N180" s="18">
        <f>N177/N56</f>
        <v>0.1112720111214087</v>
      </c>
      <c r="O180" s="18">
        <f>O177/O56</f>
        <v>0.1082827039913866</v>
      </c>
      <c r="P180" s="18">
        <f>P177/P56</f>
        <v>0.06734404536862004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20" t="s">
        <v>103</v>
      </c>
      <c r="C181" s="5">
        <f>IF(AND(ISNUMBER(C180),ISNUMBER(J180)),(C180-J180)*10000,"n/a")</f>
        <v>51.07794771410698</v>
      </c>
      <c r="D181" s="5">
        <f>IF(AND(ISNUMBER(D180),ISNUMBER(K180)),(D180-K180)*10000,"n/a")</f>
        <v>-190.07791842257996</v>
      </c>
      <c r="E181" s="5">
        <f>IF(AND(ISNUMBER(E180),ISNUMBER(L180)),(E180-L180)*10000,"n/a")</f>
        <v>-143.9045384462545</v>
      </c>
      <c r="F181" s="5">
        <f>IF(AND(ISNUMBER(F180),ISNUMBER(M180)),(F180-M180)*10000,"n/a")</f>
        <v>1434.2129545257249</v>
      </c>
      <c r="G181" s="5">
        <f>IF(AND(ISNUMBER(G180),ISNUMBER(N180)),(G180-N180)*10000,"n/a")</f>
        <v>-348.51031454125894</v>
      </c>
      <c r="H181" s="30">
        <f>IF(AND(ISNUMBER(H180),ISNUMBER(C180)),(H180-C180)*10000,"n/a")</f>
        <v>-127.1003887491426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20" t="s">
        <v>104</v>
      </c>
      <c r="C182" s="5">
        <f>IF(AND(ISNUMBER(C180),ISNUMBER(M180)),(C180-M180)*10000,"n/a")</f>
        <v>1587.6385614650374</v>
      </c>
      <c r="D182" s="5">
        <f>IF(AND(ISNUMBER(D180),ISNUMBER(C180)),(D180-C180)*10000,"n/a")</f>
        <v>-143.23557072487904</v>
      </c>
      <c r="E182" s="5">
        <f>IF(AND(ISNUMBER(E180),ISNUMBER(D180)),(E180-D180)*10000,"n/a")</f>
        <v>46.019922642236146</v>
      </c>
      <c r="F182" s="5">
        <f>IF(AND(ISNUMBER(F180),ISNUMBER(E180)),(F180-E180)*10000,"n/a")</f>
        <v>-56.2099588566696</v>
      </c>
      <c r="G182" s="5" t="s">
        <v>100</v>
      </c>
      <c r="H182" s="30">
        <f>IF(AND(ISNUMBER(H180),ISNUMBER(F180)),(H180-F180)*10000,"n/a")</f>
        <v>26.32521819016992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4" t="s">
        <v>197</v>
      </c>
      <c r="C183" s="2">
        <f>C56-C177</f>
        <v>3867</v>
      </c>
      <c r="D183" s="2">
        <f>D56-D177</f>
        <v>4148</v>
      </c>
      <c r="E183" s="2">
        <f>E56-E177</f>
        <v>3568</v>
      </c>
      <c r="F183" s="2">
        <f>F56-F177</f>
        <v>3917</v>
      </c>
      <c r="G183" s="2">
        <f>G56-G177</f>
        <v>15989</v>
      </c>
      <c r="H183" s="7">
        <f>H56-H177</f>
        <v>4037.7348101999996</v>
      </c>
      <c r="I183" s="1"/>
      <c r="J183" s="2">
        <f>J56-J177</f>
        <v>3884</v>
      </c>
      <c r="K183" s="2">
        <f>K56-K177</f>
        <v>3748</v>
      </c>
      <c r="L183" s="2">
        <f>L56-L177</f>
        <v>3807</v>
      </c>
      <c r="M183" s="2">
        <f>M56-M177</f>
        <v>4167</v>
      </c>
      <c r="N183" s="2">
        <f>N56-N177</f>
        <v>15343</v>
      </c>
      <c r="O183" s="2">
        <f>O56-O177</f>
        <v>11595</v>
      </c>
      <c r="P183" s="2">
        <f>P56-P177</f>
        <v>11841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20" t="s">
        <v>98</v>
      </c>
      <c r="C184" s="18">
        <f>IF(AND(ISNUMBER(C183),ISNUMBER(J183)),IF(OR(J183&gt;0,AND(J183&lt;0,C183&lt;0)),C183/J183-1,"n/m"),"n/a")</f>
        <v>-0.0043769309989701854</v>
      </c>
      <c r="D184" s="18">
        <f>IF(AND(ISNUMBER(D183),ISNUMBER(K183)),IF(OR(K183&gt;0,AND(K183&lt;0,D183&lt;0)),D183/K183-1,"n/m"),"n/a")</f>
        <v>0.10672358591248665</v>
      </c>
      <c r="E184" s="18">
        <f>IF(AND(ISNUMBER(E183),ISNUMBER(L183)),IF(OR(L183&gt;0,AND(L183&lt;0,E183&lt;0)),E183/L183-1,"n/m"),"n/a")</f>
        <v>-0.06277909114788549</v>
      </c>
      <c r="F184" s="18">
        <f>IF(AND(ISNUMBER(F183),ISNUMBER(M183)),IF(OR(M183&gt;0,AND(M183&lt;0,F183&lt;0)),F183/M183-1,"n/m"),"n/a")</f>
        <v>-0.05999520038396933</v>
      </c>
      <c r="G184" s="18">
        <f>IF(AND(ISNUMBER(G183),ISNUMBER(N183)),IF(OR(N183&gt;0,AND(N183&lt;0,G183&lt;0)),G183/N183-1,"n/m"),"n/a")</f>
        <v>0.04210389102522316</v>
      </c>
      <c r="H184" s="21">
        <f>IF(AND(ISNUMBER(H183),ISNUMBER(C183)),IF(OR(C183&gt;0,AND(C183&lt;0,H183&lt;0)),H183/C183-1,"n/m"),"n/a")</f>
        <v>0.04415174817688117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8" t="s">
        <v>101</v>
      </c>
      <c r="C185" s="2">
        <f>IF(AND(ISNUMBER(C183),ISNUMBER(M183)),C183-M183,"n/a")</f>
        <v>-300</v>
      </c>
      <c r="D185" s="2">
        <f>IF(AND(ISNUMBER(D183),ISNUMBER(C183)),D183-C183,"n/a")</f>
        <v>281</v>
      </c>
      <c r="E185" s="2">
        <f>IF(AND(ISNUMBER(E183),ISNUMBER(D183)),E183-D183,"n/a")</f>
        <v>-580</v>
      </c>
      <c r="F185" s="2">
        <f>IF(AND(ISNUMBER(F183),ISNUMBER(E183)),F183-E183,"n/a")</f>
        <v>349</v>
      </c>
      <c r="G185" s="2" t="s">
        <v>100</v>
      </c>
      <c r="H185" s="7">
        <f>IF(AND(ISNUMBER(H183),ISNUMBER(F183)),H183-F183,"n/a")</f>
        <v>120.73481019999963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3" t="s">
        <v>198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4" t="s">
        <v>199</v>
      </c>
      <c r="C188" s="3">
        <v>580</v>
      </c>
      <c r="D188" s="2">
        <f>G188-P188</f>
        <v>593</v>
      </c>
      <c r="E188" s="3">
        <v>595</v>
      </c>
      <c r="F188" s="3">
        <v>662</v>
      </c>
      <c r="G188" s="3">
        <v>2371</v>
      </c>
      <c r="H188" s="7">
        <f>F188</f>
        <v>662</v>
      </c>
      <c r="I188" s="1"/>
      <c r="J188" s="3">
        <v>569</v>
      </c>
      <c r="K188" s="2">
        <f>N188-O188</f>
        <v>591</v>
      </c>
      <c r="L188" s="3">
        <v>564</v>
      </c>
      <c r="M188" s="3">
        <v>632</v>
      </c>
      <c r="N188" s="3">
        <v>2320</v>
      </c>
      <c r="O188" s="3">
        <v>1729</v>
      </c>
      <c r="P188" s="3">
        <v>1778</v>
      </c>
      <c r="Q188" s="1"/>
      <c r="R188" s="9" t="s">
        <v>217</v>
      </c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20" t="s">
        <v>98</v>
      </c>
      <c r="C189" s="18">
        <f>IF(AND(ISNUMBER(C188),ISNUMBER(J188)),IF(OR(J188&gt;0,AND(J188&lt;0,C188&lt;0)),C188/J188-1,"n/m"),"n/a")</f>
        <v>0.019332161687170446</v>
      </c>
      <c r="D189" s="18">
        <f>IF(AND(ISNUMBER(D188),ISNUMBER(K188)),IF(OR(K188&gt;0,AND(K188&lt;0,D188&lt;0)),D188/K188-1,"n/m"),"n/a")</f>
        <v>0.0033840947546530664</v>
      </c>
      <c r="E189" s="18">
        <f>IF(AND(ISNUMBER(E188),ISNUMBER(L188)),IF(OR(L188&gt;0,AND(L188&lt;0,E188&lt;0)),E188/L188-1,"n/m"),"n/a")</f>
        <v>0.054964539007092306</v>
      </c>
      <c r="F189" s="18">
        <f>IF(AND(ISNUMBER(F188),ISNUMBER(M188)),IF(OR(M188&gt;0,AND(M188&lt;0,F188&lt;0)),F188/M188-1,"n/m"),"n/a")</f>
        <v>0.04746835443037978</v>
      </c>
      <c r="G189" s="18">
        <f>IF(AND(ISNUMBER(G188),ISNUMBER(N188)),IF(OR(N188&gt;0,AND(N188&lt;0,G188&lt;0)),G188/N188-1,"n/m"),"n/a")</f>
        <v>0.021982758620689546</v>
      </c>
      <c r="H189" s="21">
        <f>IF(AND(ISNUMBER(H188),ISNUMBER(C188)),IF(OR(C188&gt;0,AND(C188&lt;0,H188&lt;0)),H188/C188-1,"n/m"),"n/a")</f>
        <v>0.14137931034482754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8" t="s">
        <v>101</v>
      </c>
      <c r="C190" s="2">
        <f>IF(AND(ISNUMBER(C188),ISNUMBER(M188)),C188-M188,"n/a")</f>
        <v>-52</v>
      </c>
      <c r="D190" s="2">
        <f>IF(AND(ISNUMBER(D188),ISNUMBER(C188)),D188-C188,"n/a")</f>
        <v>13</v>
      </c>
      <c r="E190" s="2">
        <f>IF(AND(ISNUMBER(E188),ISNUMBER(D188)),E188-D188,"n/a")</f>
        <v>2</v>
      </c>
      <c r="F190" s="2">
        <f>IF(AND(ISNUMBER(F188),ISNUMBER(E188)),F188-E188,"n/a")</f>
        <v>67</v>
      </c>
      <c r="G190" s="2" t="s">
        <v>100</v>
      </c>
      <c r="H190" s="7">
        <f>IF(AND(ISNUMBER(H188),ISNUMBER(F188)),H188-F188,"n/a")</f>
        <v>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3" t="s">
        <v>201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4" t="s">
        <v>218</v>
      </c>
      <c r="C193" s="47">
        <v>22</v>
      </c>
      <c r="D193" s="47">
        <v>35</v>
      </c>
      <c r="E193" s="47">
        <v>19</v>
      </c>
      <c r="F193" s="47">
        <v>16</v>
      </c>
      <c r="G193" s="58">
        <f>IF(AND(ISNUMBER(P193),ISNUMBER(D193)),P193+D193,"n/a")</f>
        <v>90</v>
      </c>
      <c r="H193" s="53" t="s">
        <v>203</v>
      </c>
      <c r="I193" s="1"/>
      <c r="J193" s="47">
        <v>24</v>
      </c>
      <c r="K193" s="47">
        <v>25</v>
      </c>
      <c r="L193" s="47">
        <v>9</v>
      </c>
      <c r="M193" s="47">
        <v>24</v>
      </c>
      <c r="N193" s="58">
        <f>IF(AND(ISNUMBER(O193),ISNUMBER(K193)),O193+K193,"n/a")</f>
        <v>72</v>
      </c>
      <c r="O193" s="47">
        <v>47</v>
      </c>
      <c r="P193" s="47">
        <v>55</v>
      </c>
      <c r="Q193" s="1"/>
      <c r="R193" s="9" t="s">
        <v>204</v>
      </c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20" t="s">
        <v>98</v>
      </c>
      <c r="C194" s="18">
        <f>IF(AND(ISNUMBER(C193),ISNUMBER(J193)),IF(OR(J193&gt;0,AND(J193&lt;0,C193&lt;0)),C193/J193-1,"n/m"),"n/a")</f>
        <v>-0.08333333333333337</v>
      </c>
      <c r="D194" s="18">
        <f>IF(AND(ISNUMBER(D193),ISNUMBER(K193)),IF(OR(K193&gt;0,AND(K193&lt;0,D193&lt;0)),D193/K193-1,"n/m"),"n/a")</f>
        <v>0.3999999999999999</v>
      </c>
      <c r="E194" s="18">
        <f>IF(AND(ISNUMBER(E193),ISNUMBER(L193)),IF(OR(L193&gt;0,AND(L193&lt;0,E193&lt;0)),E193/L193-1,"n/m"),"n/a")</f>
        <v>1.1111111111111112</v>
      </c>
      <c r="F194" s="18">
        <f>IF(AND(ISNUMBER(F193),ISNUMBER(M193)),IF(OR(M193&gt;0,AND(M193&lt;0,F193&lt;0)),F193/M193-1,"n/m"),"n/a")</f>
        <v>-0.33333333333333337</v>
      </c>
      <c r="G194" s="18">
        <f>IF(AND(ISNUMBER(G193),ISNUMBER(N193)),IF(OR(N193&gt;0,AND(N193&lt;0,G193&lt;0)),G193/N193-1,"n/m"),"n/a")</f>
        <v>0.25</v>
      </c>
      <c r="H194" s="21" t="str">
        <f>IF(AND(ISNUMBER(H193),ISNUMBER(C193)),IF(OR(C193&gt;0,AND(C193&lt;0,H193&lt;0)),H193/C193-1,"n/m"),"n/a")</f>
        <v>n/a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8" t="s">
        <v>101</v>
      </c>
      <c r="C195" s="58">
        <f>IF(AND(ISNUMBER(C193),ISNUMBER(M193)),C193-M193,"n/a")</f>
        <v>-2</v>
      </c>
      <c r="D195" s="58">
        <f>IF(AND(ISNUMBER(D193),ISNUMBER(C193)),D193-C193,"n/a")</f>
        <v>13</v>
      </c>
      <c r="E195" s="58">
        <f>IF(AND(ISNUMBER(E193),ISNUMBER(D193)),E193-D193,"n/a")</f>
        <v>-16</v>
      </c>
      <c r="F195" s="58">
        <f>IF(AND(ISNUMBER(F193),ISNUMBER(E193)),F193-E193,"n/a")</f>
        <v>-3</v>
      </c>
      <c r="G195" s="58" t="s">
        <v>100</v>
      </c>
      <c r="H195" s="53" t="str">
        <f>IF(AND(ISNUMBER(H193),ISNUMBER(F193)),H193-F193,"n/a")</f>
        <v>n/a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4" t="s">
        <v>219</v>
      </c>
      <c r="C196" s="47">
        <v>1</v>
      </c>
      <c r="D196" s="47">
        <v>0</v>
      </c>
      <c r="E196" s="47">
        <v>0</v>
      </c>
      <c r="F196" s="47">
        <v>0</v>
      </c>
      <c r="G196" s="58">
        <f>IF(AND(ISNUMBER(P196),ISNUMBER(D196)),P196+D196,"n/a")</f>
        <v>2</v>
      </c>
      <c r="H196" s="53" t="s">
        <v>203</v>
      </c>
      <c r="I196" s="1"/>
      <c r="J196" s="47">
        <v>0</v>
      </c>
      <c r="K196" s="47">
        <v>1</v>
      </c>
      <c r="L196" s="47">
        <v>1</v>
      </c>
      <c r="M196" s="47">
        <v>0</v>
      </c>
      <c r="N196" s="58">
        <f>IF(AND(ISNUMBER(O196),ISNUMBER(K196)),O196+K196,"n/a")</f>
        <v>1</v>
      </c>
      <c r="O196" s="47">
        <v>0</v>
      </c>
      <c r="P196" s="47">
        <v>2</v>
      </c>
      <c r="Q196" s="1"/>
      <c r="R196" s="9" t="s">
        <v>204</v>
      </c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20" t="s">
        <v>98</v>
      </c>
      <c r="C197" s="18" t="str">
        <f>IF(AND(ISNUMBER(C196),ISNUMBER(J196)),IF(OR(J196&gt;0,AND(J196&lt;0,C196&lt;0)),C196/J196-1,"n/m"),"n/a")</f>
        <v>n/m</v>
      </c>
      <c r="D197" s="18">
        <f>IF(AND(ISNUMBER(D196),ISNUMBER(K196)),IF(OR(K196&gt;0,AND(K196&lt;0,D196&lt;0)),D196/K196-1,"n/m"),"n/a")</f>
        <v>-1</v>
      </c>
      <c r="E197" s="18">
        <f>IF(AND(ISNUMBER(E196),ISNUMBER(L196)),IF(OR(L196&gt;0,AND(L196&lt;0,E196&lt;0)),E196/L196-1,"n/m"),"n/a")</f>
        <v>-1</v>
      </c>
      <c r="F197" s="18" t="str">
        <f>IF(AND(ISNUMBER(F196),ISNUMBER(M196)),IF(OR(M196&gt;0,AND(M196&lt;0,F196&lt;0)),F196/M196-1,"n/m"),"n/a")</f>
        <v>n/m</v>
      </c>
      <c r="G197" s="18">
        <f>IF(AND(ISNUMBER(G196),ISNUMBER(N196)),IF(OR(N196&gt;0,AND(N196&lt;0,G196&lt;0)),G196/N196-1,"n/m"),"n/a")</f>
        <v>1</v>
      </c>
      <c r="H197" s="21" t="str">
        <f>IF(AND(ISNUMBER(H196),ISNUMBER(C196)),IF(OR(C196&gt;0,AND(C196&lt;0,H196&lt;0)),H196/C196-1,"n/m"),"n/a")</f>
        <v>n/a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8" t="s">
        <v>101</v>
      </c>
      <c r="C198" s="58">
        <f>IF(AND(ISNUMBER(C196),ISNUMBER(M196)),C196-M196,"n/a")</f>
        <v>1</v>
      </c>
      <c r="D198" s="58">
        <f>IF(AND(ISNUMBER(D196),ISNUMBER(C196)),D196-C196,"n/a")</f>
        <v>-1</v>
      </c>
      <c r="E198" s="58">
        <f>IF(AND(ISNUMBER(E196),ISNUMBER(D196)),E196-D196,"n/a")</f>
        <v>0</v>
      </c>
      <c r="F198" s="58">
        <f>IF(AND(ISNUMBER(F196),ISNUMBER(E196)),F196-E196,"n/a")</f>
        <v>0</v>
      </c>
      <c r="G198" s="58" t="s">
        <v>100</v>
      </c>
      <c r="H198" s="53" t="str">
        <f>IF(AND(ISNUMBER(H196),ISNUMBER(F196)),H196-F196,"n/a")</f>
        <v>n/a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4" t="s">
        <v>220</v>
      </c>
      <c r="C199" s="47">
        <v>6</v>
      </c>
      <c r="D199" s="47">
        <v>11</v>
      </c>
      <c r="E199" s="58" t="s">
        <v>106</v>
      </c>
      <c r="F199" s="58" t="s">
        <v>106</v>
      </c>
      <c r="G199" s="58">
        <f>IF(AND(ISNUMBER(P199),ISNUMBER(D199)),P199+D199,"n/a")</f>
        <v>17</v>
      </c>
      <c r="H199" s="53" t="s">
        <v>203</v>
      </c>
      <c r="I199" s="1"/>
      <c r="J199" s="47">
        <v>4</v>
      </c>
      <c r="K199" s="47">
        <v>8</v>
      </c>
      <c r="L199" s="58" t="s">
        <v>106</v>
      </c>
      <c r="M199" s="47">
        <v>0</v>
      </c>
      <c r="N199" s="58">
        <f>IF(AND(ISNUMBER(O199),ISNUMBER(K199)),O199+K199,"n/a")</f>
        <v>17</v>
      </c>
      <c r="O199" s="47">
        <v>9</v>
      </c>
      <c r="P199" s="47">
        <v>6</v>
      </c>
      <c r="Q199" s="1"/>
      <c r="R199" s="9" t="s">
        <v>204</v>
      </c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20" t="s">
        <v>98</v>
      </c>
      <c r="C200" s="18">
        <f>IF(AND(ISNUMBER(C199),ISNUMBER(J199)),IF(OR(J199&gt;0,AND(J199&lt;0,C199&lt;0)),C199/J199-1,"n/m"),"n/a")</f>
        <v>0.5</v>
      </c>
      <c r="D200" s="18">
        <f>IF(AND(ISNUMBER(D199),ISNUMBER(K199)),IF(OR(K199&gt;0,AND(K199&lt;0,D199&lt;0)),D199/K199-1,"n/m"),"n/a")</f>
        <v>0.375</v>
      </c>
      <c r="E200" s="18" t="str">
        <f>IF(AND(ISNUMBER(E199),ISNUMBER(L199)),IF(OR(L199&gt;0,AND(L199&lt;0,E199&lt;0)),E199/L199-1,"n/m"),"n/a")</f>
        <v>n/a</v>
      </c>
      <c r="F200" s="18" t="str">
        <f>IF(AND(ISNUMBER(F199),ISNUMBER(M199)),IF(OR(M199&gt;0,AND(M199&lt;0,F199&lt;0)),F199/M199-1,"n/m"),"n/a")</f>
        <v>n/a</v>
      </c>
      <c r="G200" s="18">
        <f>IF(AND(ISNUMBER(G199),ISNUMBER(N199)),IF(OR(N199&gt;0,AND(N199&lt;0,G199&lt;0)),G199/N199-1,"n/m"),"n/a")</f>
        <v>0</v>
      </c>
      <c r="H200" s="21" t="str">
        <f>IF(AND(ISNUMBER(H199),ISNUMBER(C199)),IF(OR(C199&gt;0,AND(C199&lt;0,H199&lt;0)),H199/C199-1,"n/m"),"n/a")</f>
        <v>n/a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8" t="s">
        <v>101</v>
      </c>
      <c r="C201" s="58">
        <f>IF(AND(ISNUMBER(C199),ISNUMBER(M199)),C199-M199,"n/a")</f>
        <v>6</v>
      </c>
      <c r="D201" s="58">
        <f>IF(AND(ISNUMBER(D199),ISNUMBER(C199)),D199-C199,"n/a")</f>
        <v>5</v>
      </c>
      <c r="E201" s="58" t="str">
        <f>IF(AND(ISNUMBER(E199),ISNUMBER(D199)),E199-D199,"n/a")</f>
        <v>n/a</v>
      </c>
      <c r="F201" s="58" t="str">
        <f>IF(AND(ISNUMBER(F199),ISNUMBER(E199)),F199-E199,"n/a")</f>
        <v>n/a</v>
      </c>
      <c r="G201" s="58" t="s">
        <v>100</v>
      </c>
      <c r="H201" s="53" t="str">
        <f>IF(AND(ISNUMBER(H199),ISNUMBER(F199)),H199-F199,"n/a")</f>
        <v>n/a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46" t="s">
        <v>210</v>
      </c>
      <c r="C203" s="26" t="b">
        <f>AND(ABS(C86)&lt;0.5,ABS(C120)&lt;0.5,ABS(C174)&lt;0.5)</f>
        <v>1</v>
      </c>
      <c r="D203" s="26" t="b">
        <f>AND(ABS(D86)&lt;0.5,ABS(D120)&lt;0.5,ABS(D174)&lt;0.5)</f>
        <v>1</v>
      </c>
      <c r="E203" s="26" t="b">
        <f>AND(ABS(E86)&lt;0.5,ABS(E120)&lt;0.5,ABS(E174)&lt;0.5)</f>
        <v>1</v>
      </c>
      <c r="F203" s="26" t="b">
        <f>AND(ABS(F86)&lt;0.5,ABS(F120)&lt;0.5,ABS(F174)&lt;0.5)</f>
        <v>1</v>
      </c>
      <c r="G203" s="26" t="b">
        <f>AND(ABS(G86)&lt;0.5,ABS(G120)&lt;0.5,ABS(G174)&lt;0.5)</f>
        <v>1</v>
      </c>
      <c r="H203" s="22" t="b">
        <f>AND(ABS(H86)&lt;0.5,ABS(H120)&lt;0.5,ABS(H174)&lt;0.5)</f>
        <v>1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221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148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149</v>
      </c>
      <c r="C10" s="2">
        <f>M19</f>
        <v>35531</v>
      </c>
      <c r="D10" s="2">
        <f>C19</f>
        <v>38390</v>
      </c>
      <c r="E10" s="2">
        <f>D19</f>
        <v>39822</v>
      </c>
      <c r="F10" s="2">
        <f>E19</f>
        <v>38990</v>
      </c>
      <c r="G10" s="2">
        <f>N19</f>
        <v>36377</v>
      </c>
      <c r="H10" s="7">
        <f>F19</f>
        <v>39724</v>
      </c>
      <c r="I10" s="1"/>
      <c r="J10" s="1"/>
      <c r="K10" s="2">
        <f>J19</f>
        <v>36412</v>
      </c>
      <c r="L10" s="2">
        <f>K19</f>
        <v>36377</v>
      </c>
      <c r="M10" s="2">
        <f>L19</f>
        <v>35748</v>
      </c>
      <c r="N10" s="3">
        <v>30456</v>
      </c>
      <c r="O10" s="1"/>
      <c r="P10" s="1"/>
      <c r="Q10" s="1"/>
      <c r="R10" s="9" t="s">
        <v>150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0" t="s">
        <v>98</v>
      </c>
      <c r="C11" s="18" t="str">
        <f>IF(AND(ISNUMBER(C10),ISNUMBER(J10)),IF(OR(J10&gt;0,AND(J10&lt;0,C10&lt;0)),C10/J10-1,"n/m"),"n/a")</f>
        <v>n/a</v>
      </c>
      <c r="D11" s="18">
        <f>IF(AND(ISNUMBER(D10),ISNUMBER(K10)),IF(OR(K10&gt;0,AND(K10&lt;0,D10&lt;0)),D10/K10-1,"n/m"),"n/a")</f>
        <v>0.054322750741513826</v>
      </c>
      <c r="E11" s="18">
        <f>IF(AND(ISNUMBER(E10),ISNUMBER(L10)),IF(OR(L10&gt;0,AND(L10&lt;0,E10&lt;0)),E10/L10-1,"n/m"),"n/a")</f>
        <v>0.09470269675894105</v>
      </c>
      <c r="F11" s="18">
        <f>IF(AND(ISNUMBER(F10),ISNUMBER(M10)),IF(OR(M10&gt;0,AND(M10&lt;0,F10&lt;0)),F10/M10-1,"n/m"),"n/a")</f>
        <v>0.09069038827346976</v>
      </c>
      <c r="G11" s="18">
        <f>IF(AND(ISNUMBER(G10),ISNUMBER(N10)),IF(OR(N10&gt;0,AND(N10&lt;0,G10&lt;0)),G10/N10-1,"n/m"),"n/a")</f>
        <v>0.19441161019175213</v>
      </c>
      <c r="H11" s="21">
        <f>IF(AND(ISNUMBER(H10),ISNUMBER(C10)),IF(OR(C10&gt;0,AND(C10&lt;0,H10&lt;0)),H10/C10-1,"n/m"),"n/a")</f>
        <v>0.11800962539754023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101</v>
      </c>
      <c r="C12" s="2">
        <f>IF(AND(ISNUMBER(C10),ISNUMBER(M10)),C10-M10,"n/a")</f>
        <v>-217</v>
      </c>
      <c r="D12" s="2">
        <f>IF(AND(ISNUMBER(D10),ISNUMBER(C10)),D10-C10,"n/a")</f>
        <v>2859</v>
      </c>
      <c r="E12" s="2">
        <f>IF(AND(ISNUMBER(E10),ISNUMBER(D10)),E10-D10,"n/a")</f>
        <v>1432</v>
      </c>
      <c r="F12" s="2">
        <f>IF(AND(ISNUMBER(F10),ISNUMBER(E10)),F10-E10,"n/a")</f>
        <v>-832</v>
      </c>
      <c r="G12" s="2" t="s">
        <v>100</v>
      </c>
      <c r="H12" s="7">
        <f>IF(AND(ISNUMBER(H10),ISNUMBER(F10)),H10-F10,"n/a")</f>
        <v>734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151</v>
      </c>
      <c r="C13" s="2">
        <f>C56</f>
        <v>3356</v>
      </c>
      <c r="D13" s="2">
        <f>D56</f>
        <v>3161</v>
      </c>
      <c r="E13" s="2">
        <f>E56</f>
        <v>3428</v>
      </c>
      <c r="F13" s="2">
        <f>F56</f>
        <v>3496</v>
      </c>
      <c r="G13" s="2">
        <f>G56</f>
        <v>13029</v>
      </c>
      <c r="H13" s="7">
        <f>H56</f>
        <v>3551.3255999999997</v>
      </c>
      <c r="I13" s="1"/>
      <c r="J13" s="2">
        <f>J56</f>
        <v>3075</v>
      </c>
      <c r="K13" s="2">
        <f>K56</f>
        <v>2940</v>
      </c>
      <c r="L13" s="2">
        <f>L56</f>
        <v>3205</v>
      </c>
      <c r="M13" s="2">
        <f>M56</f>
        <v>3307</v>
      </c>
      <c r="N13" s="2">
        <f>N56</f>
        <v>12479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0" t="s">
        <v>98</v>
      </c>
      <c r="C14" s="18">
        <f>IF(AND(ISNUMBER(C13),ISNUMBER(J13)),IF(OR(J13&gt;0,AND(J13&lt;0,C13&lt;0)),C13/J13-1,"n/m"),"n/a")</f>
        <v>0.09138211382113814</v>
      </c>
      <c r="D14" s="18">
        <f>IF(AND(ISNUMBER(D13),ISNUMBER(K13)),IF(OR(K13&gt;0,AND(K13&lt;0,D13&lt;0)),D13/K13-1,"n/m"),"n/a")</f>
        <v>0.07517006802721093</v>
      </c>
      <c r="E14" s="18">
        <f>IF(AND(ISNUMBER(E13),ISNUMBER(L13)),IF(OR(L13&gt;0,AND(L13&lt;0,E13&lt;0)),E13/L13-1,"n/m"),"n/a")</f>
        <v>0.06957878315132615</v>
      </c>
      <c r="F14" s="18">
        <f>IF(AND(ISNUMBER(F13),ISNUMBER(M13)),IF(OR(M13&gt;0,AND(M13&lt;0,F13&lt;0)),F13/M13-1,"n/m"),"n/a")</f>
        <v>0.057151496824916936</v>
      </c>
      <c r="G14" s="18">
        <f>IF(AND(ISNUMBER(G13),ISNUMBER(N13)),IF(OR(N13&gt;0,AND(N13&lt;0,G13&lt;0)),G13/N13-1,"n/m"),"n/a")</f>
        <v>0.044074044394582845</v>
      </c>
      <c r="H14" s="21">
        <f>IF(AND(ISNUMBER(H13),ISNUMBER(C13)),IF(OR(C13&gt;0,AND(C13&lt;0,H13&lt;0)),H13/C13-1,"n/m"),"n/a")</f>
        <v>0.05820190703218109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8" t="s">
        <v>101</v>
      </c>
      <c r="C15" s="2">
        <f>IF(AND(ISNUMBER(C13),ISNUMBER(M13)),C13-M13,"n/a")</f>
        <v>49</v>
      </c>
      <c r="D15" s="2">
        <f>IF(AND(ISNUMBER(D13),ISNUMBER(C13)),D13-C13,"n/a")</f>
        <v>-195</v>
      </c>
      <c r="E15" s="2">
        <f>IF(AND(ISNUMBER(E13),ISNUMBER(D13)),E13-D13,"n/a")</f>
        <v>267</v>
      </c>
      <c r="F15" s="2">
        <f>IF(AND(ISNUMBER(F13),ISNUMBER(E13)),F13-E13,"n/a")</f>
        <v>68</v>
      </c>
      <c r="G15" s="2" t="s">
        <v>100</v>
      </c>
      <c r="H15" s="7">
        <f>IF(AND(ISNUMBER(H13),ISNUMBER(F13)),H13-F13,"n/a")</f>
        <v>55.32559999999967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152</v>
      </c>
      <c r="C16" s="2">
        <f>C19-C10+C13</f>
        <v>6215</v>
      </c>
      <c r="D16" s="2">
        <f>D19-D10+D13</f>
        <v>4593</v>
      </c>
      <c r="E16" s="2">
        <f>E19-E10+E13</f>
        <v>2596</v>
      </c>
      <c r="F16" s="2">
        <f>F19-F10+F13</f>
        <v>4230</v>
      </c>
      <c r="G16" s="2">
        <f>G19-G10+G13</f>
        <v>16474</v>
      </c>
      <c r="H16" s="7">
        <f>H25*H13</f>
        <v>3551.3255999999997</v>
      </c>
      <c r="I16" s="1"/>
      <c r="J16" s="2" t="s">
        <v>106</v>
      </c>
      <c r="K16" s="2">
        <f>K19-K10+K13</f>
        <v>2905</v>
      </c>
      <c r="L16" s="2">
        <f>L19-L10+L13</f>
        <v>2576</v>
      </c>
      <c r="M16" s="2">
        <f>M19-M10+M13</f>
        <v>3090</v>
      </c>
      <c r="N16" s="2">
        <f>N19-N10+N13</f>
        <v>18400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0" t="s">
        <v>98</v>
      </c>
      <c r="C17" s="18" t="str">
        <f>IF(AND(ISNUMBER(C16),ISNUMBER(J16)),IF(OR(J16&gt;0,AND(J16&lt;0,C16&lt;0)),C16/J16-1,"n/m"),"n/a")</f>
        <v>n/a</v>
      </c>
      <c r="D17" s="18">
        <f>IF(AND(ISNUMBER(D16),ISNUMBER(K16)),IF(OR(K16&gt;0,AND(K16&lt;0,D16&lt;0)),D16/K16-1,"n/m"),"n/a")</f>
        <v>0.5810671256454389</v>
      </c>
      <c r="E17" s="18">
        <f>IF(AND(ISNUMBER(E16),ISNUMBER(L16)),IF(OR(L16&gt;0,AND(L16&lt;0,E16&lt;0)),E16/L16-1,"n/m"),"n/a")</f>
        <v>0.007763975155279601</v>
      </c>
      <c r="F17" s="18">
        <f>IF(AND(ISNUMBER(F16),ISNUMBER(M16)),IF(OR(M16&gt;0,AND(M16&lt;0,F16&lt;0)),F16/M16-1,"n/m"),"n/a")</f>
        <v>0.3689320388349515</v>
      </c>
      <c r="G17" s="18">
        <f>IF(AND(ISNUMBER(G16),ISNUMBER(N16)),IF(OR(N16&gt;0,AND(N16&lt;0,G16&lt;0)),G16/N16-1,"n/m"),"n/a")</f>
        <v>-0.10467391304347828</v>
      </c>
      <c r="H17" s="21">
        <f>IF(AND(ISNUMBER(H16),ISNUMBER(C16)),IF(OR(C16&gt;0,AND(C16&lt;0,H16&lt;0)),H16/C16-1,"n/m"),"n/a")</f>
        <v>-0.4285879967819791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101</v>
      </c>
      <c r="C18" s="2">
        <f>IF(AND(ISNUMBER(C16),ISNUMBER(M16)),C16-M16,"n/a")</f>
        <v>3125</v>
      </c>
      <c r="D18" s="2">
        <f>IF(AND(ISNUMBER(D16),ISNUMBER(C16)),D16-C16,"n/a")</f>
        <v>-1622</v>
      </c>
      <c r="E18" s="2">
        <f>IF(AND(ISNUMBER(E16),ISNUMBER(D16)),E16-D16,"n/a")</f>
        <v>-1997</v>
      </c>
      <c r="F18" s="2">
        <f>IF(AND(ISNUMBER(F16),ISNUMBER(E16)),F16-E16,"n/a")</f>
        <v>1634</v>
      </c>
      <c r="G18" s="2" t="s">
        <v>100</v>
      </c>
      <c r="H18" s="7">
        <f>IF(AND(ISNUMBER(H16),ISNUMBER(F16)),H16-F16,"n/a")</f>
        <v>-678.6744000000003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3" t="s">
        <v>153</v>
      </c>
      <c r="C19" s="29">
        <v>38390</v>
      </c>
      <c r="D19" s="29">
        <v>39822</v>
      </c>
      <c r="E19" s="29">
        <v>38990</v>
      </c>
      <c r="F19" s="29">
        <v>39724</v>
      </c>
      <c r="G19" s="14">
        <f>D19</f>
        <v>39822</v>
      </c>
      <c r="H19" s="48">
        <f>H10+H16-H13</f>
        <v>39724</v>
      </c>
      <c r="I19" s="1"/>
      <c r="J19" s="29">
        <v>36412</v>
      </c>
      <c r="K19" s="29">
        <v>36377</v>
      </c>
      <c r="L19" s="29">
        <v>35748</v>
      </c>
      <c r="M19" s="29">
        <v>35531</v>
      </c>
      <c r="N19" s="14">
        <f>K19</f>
        <v>36377</v>
      </c>
      <c r="O19" s="1"/>
      <c r="P19" s="1"/>
      <c r="Q19" s="1"/>
      <c r="R19" s="9" t="s">
        <v>154</v>
      </c>
      <c r="S19" s="1"/>
      <c r="T19" s="1"/>
      <c r="U19" s="1"/>
      <c r="V19" s="1"/>
      <c r="W19" s="1"/>
      <c r="X19" s="1"/>
      <c r="Y19" s="1"/>
      <c r="Z19" s="1"/>
    </row>
    <row r="20">
      <c r="A20" s="1"/>
      <c r="B20" s="20" t="s">
        <v>98</v>
      </c>
      <c r="C20" s="18">
        <f>IF(AND(ISNUMBER(C19),ISNUMBER(J19)),IF(OR(J19&gt;0,AND(J19&lt;0,C19&lt;0)),C19/J19-1,"n/m"),"n/a")</f>
        <v>0.054322750741513826</v>
      </c>
      <c r="D20" s="18">
        <f>IF(AND(ISNUMBER(D19),ISNUMBER(K19)),IF(OR(K19&gt;0,AND(K19&lt;0,D19&lt;0)),D19/K19-1,"n/m"),"n/a")</f>
        <v>0.09470269675894105</v>
      </c>
      <c r="E20" s="18">
        <f>IF(AND(ISNUMBER(E19),ISNUMBER(L19)),IF(OR(L19&gt;0,AND(L19&lt;0,E19&lt;0)),E19/L19-1,"n/m"),"n/a")</f>
        <v>0.09069038827346976</v>
      </c>
      <c r="F20" s="18">
        <f>IF(AND(ISNUMBER(F19),ISNUMBER(M19)),IF(OR(M19&gt;0,AND(M19&lt;0,F19&lt;0)),F19/M19-1,"n/m"),"n/a")</f>
        <v>0.11800962539754023</v>
      </c>
      <c r="G20" s="18">
        <f>IF(AND(ISNUMBER(G19),ISNUMBER(N19)),IF(OR(N19&gt;0,AND(N19&lt;0,G19&lt;0)),G19/N19-1,"n/m"),"n/a")</f>
        <v>0.09470269675894105</v>
      </c>
      <c r="H20" s="21">
        <f>IF(AND(ISNUMBER(H19),ISNUMBER(C19)),IF(OR(C19&gt;0,AND(C19&lt;0,H19&lt;0)),H19/C19-1,"n/m"),"n/a")</f>
        <v>0.03474863245636883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8" t="s">
        <v>101</v>
      </c>
      <c r="C21" s="2">
        <f>IF(AND(ISNUMBER(C19),ISNUMBER(M19)),C19-M19,"n/a")</f>
        <v>2859</v>
      </c>
      <c r="D21" s="2">
        <f>IF(AND(ISNUMBER(D19),ISNUMBER(C19)),D19-C19,"n/a")</f>
        <v>1432</v>
      </c>
      <c r="E21" s="2">
        <f>IF(AND(ISNUMBER(E19),ISNUMBER(D19)),E19-D19,"n/a")</f>
        <v>-832</v>
      </c>
      <c r="F21" s="2">
        <f>IF(AND(ISNUMBER(F19),ISNUMBER(E19)),F19-E19,"n/a")</f>
        <v>734</v>
      </c>
      <c r="G21" s="2" t="s">
        <v>100</v>
      </c>
      <c r="H21" s="7">
        <f>IF(AND(ISNUMBER(H19),ISNUMBER(F19)),H19-F19,"n/a")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" t="s">
        <v>155</v>
      </c>
      <c r="C22" s="2">
        <f>IF(AND(ISNUMBER(C10),ISNUMBER(C19)),(C10+C19)/2,"n/a")</f>
        <v>36960.5</v>
      </c>
      <c r="D22" s="2">
        <f>IF(AND(ISNUMBER(D10),ISNUMBER(D19)),(D10+D19)/2,"n/a")</f>
        <v>39106</v>
      </c>
      <c r="E22" s="2">
        <f>IF(AND(ISNUMBER(E10),ISNUMBER(E19)),(E10+E19)/2,"n/a")</f>
        <v>39406</v>
      </c>
      <c r="F22" s="2">
        <f>IF(AND(ISNUMBER(F10),ISNUMBER(F19)),(F10+F19)/2,"n/a")</f>
        <v>39357</v>
      </c>
      <c r="G22" s="2">
        <f>IF(AND(ISNUMBER(G10),ISNUMBER(G19)),(G10+G19)/2,"n/a")</f>
        <v>38099.5</v>
      </c>
      <c r="H22" s="7">
        <f>IF(AND(ISNUMBER(H10),ISNUMBER(H19)),(H10+H19)/2,"n/a")</f>
        <v>39724</v>
      </c>
      <c r="I22" s="1"/>
      <c r="J22" s="1"/>
      <c r="K22" s="2">
        <f>IF(AND(ISNUMBER(K10),ISNUMBER(K19)),(K10+K19)/2,"n/a")</f>
        <v>36394.5</v>
      </c>
      <c r="L22" s="2">
        <f>IF(AND(ISNUMBER(L10),ISNUMBER(L19)),(L10+L19)/2,"n/a")</f>
        <v>36062.5</v>
      </c>
      <c r="M22" s="2">
        <f>IF(AND(ISNUMBER(M10),ISNUMBER(M19)),(M10+M19)/2,"n/a")</f>
        <v>35639.5</v>
      </c>
      <c r="N22" s="2">
        <f>IF(AND(ISNUMBER(N10),ISNUMBER(N19)),(N10+N19)/2,"n/a")</f>
        <v>33416.5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20" t="s">
        <v>98</v>
      </c>
      <c r="C23" s="18" t="str">
        <f>IF(AND(ISNUMBER(C22),ISNUMBER(J22)),IF(OR(J22&gt;0,AND(J22&lt;0,C22&lt;0)),C22/J22-1,"n/m"),"n/a")</f>
        <v>n/a</v>
      </c>
      <c r="D23" s="18">
        <f>IF(AND(ISNUMBER(D22),ISNUMBER(K22)),IF(OR(K22&gt;0,AND(K22&lt;0,D22&lt;0)),D22/K22-1,"n/m"),"n/a")</f>
        <v>0.07450301556553884</v>
      </c>
      <c r="E23" s="18">
        <f>IF(AND(ISNUMBER(E22),ISNUMBER(L22)),IF(OR(L22&gt;0,AND(L22&lt;0,E22&lt;0)),E22/L22-1,"n/m"),"n/a")</f>
        <v>0.09271403812824963</v>
      </c>
      <c r="F23" s="18">
        <f>IF(AND(ISNUMBER(F22),ISNUMBER(M22)),IF(OR(M22&gt;0,AND(M22&lt;0,F22&lt;0)),F22/M22-1,"n/m"),"n/a")</f>
        <v>0.10430842183532318</v>
      </c>
      <c r="G23" s="18">
        <f>IF(AND(ISNUMBER(G22),ISNUMBER(N22)),IF(OR(N22&gt;0,AND(N22&lt;0,G22&lt;0)),G22/N22-1,"n/m"),"n/a")</f>
        <v>0.14014034982718115</v>
      </c>
      <c r="H23" s="21">
        <f>IF(AND(ISNUMBER(H22),ISNUMBER(C22)),IF(OR(C22&gt;0,AND(C22&lt;0,H22&lt;0)),H22/C22-1,"n/m"),"n/a")</f>
        <v>0.07476901015949466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101</v>
      </c>
      <c r="C24" s="2">
        <f>IF(AND(ISNUMBER(C22),ISNUMBER(M22)),C22-M22,"n/a")</f>
        <v>1321</v>
      </c>
      <c r="D24" s="2">
        <f>IF(AND(ISNUMBER(D22),ISNUMBER(C22)),D22-C22,"n/a")</f>
        <v>2145.5</v>
      </c>
      <c r="E24" s="2">
        <f>IF(AND(ISNUMBER(E22),ISNUMBER(D22)),E22-D22,"n/a")</f>
        <v>300</v>
      </c>
      <c r="F24" s="2">
        <f>IF(AND(ISNUMBER(F22),ISNUMBER(E22)),F22-E22,"n/a")</f>
        <v>-49</v>
      </c>
      <c r="G24" s="2" t="s">
        <v>100</v>
      </c>
      <c r="H24" s="7">
        <f>IF(AND(ISNUMBER(H22),ISNUMBER(F22)),H22-F22,"n/a")</f>
        <v>367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" t="s">
        <v>156</v>
      </c>
      <c r="C25" s="28">
        <f>IF(AND(ISNUMBER(C16)),C16/C13,"n/a")</f>
        <v>1.8519070321811681</v>
      </c>
      <c r="D25" s="28">
        <f>IF(AND(ISNUMBER(D16)),D16/D13,"n/a")</f>
        <v>1.4530211958241064</v>
      </c>
      <c r="E25" s="28">
        <f>IF(AND(ISNUMBER(E16)),E16/E13,"n/a")</f>
        <v>0.7572928821470245</v>
      </c>
      <c r="F25" s="28">
        <f>IF(AND(ISNUMBER(F16)),F16/F13,"n/a")</f>
        <v>1.209954233409611</v>
      </c>
      <c r="G25" s="28">
        <f>IF(AND(ISNUMBER(G16)),G16/G13,"n/a")</f>
        <v>1.2644101619464272</v>
      </c>
      <c r="H25" s="67">
        <v>1</v>
      </c>
      <c r="I25" s="1"/>
      <c r="J25" s="1"/>
      <c r="K25" s="28">
        <f>IF(AND(ISNUMBER(K16)),K16/K13,"n/a")</f>
        <v>0.9880952380952381</v>
      </c>
      <c r="L25" s="28">
        <f>IF(AND(ISNUMBER(L16)),L16/L13,"n/a")</f>
        <v>0.8037441497659906</v>
      </c>
      <c r="M25" s="28">
        <f>IF(AND(ISNUMBER(M16)),M16/M13,"n/a")</f>
        <v>0.934381614756577</v>
      </c>
      <c r="N25" s="28">
        <f>IF(AND(ISNUMBER(N16)),N16/N13,"n/a")</f>
        <v>1.4744771215642278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8" t="s">
        <v>136</v>
      </c>
      <c r="C26" s="100" t="str">
        <f>IF(AND(ISNUMBER(C25),ISNUMBER(J25)),C25-J25,"n/a")</f>
        <v>n/a</v>
      </c>
      <c r="D26" s="100">
        <f>IF(AND(ISNUMBER(D25),ISNUMBER(K25)),D25-K25,"n/a")</f>
        <v>0.46492595772886824</v>
      </c>
      <c r="E26" s="100">
        <f>IF(AND(ISNUMBER(E25),ISNUMBER(L25)),E25-L25,"n/a")</f>
        <v>-0.04645126761896612</v>
      </c>
      <c r="F26" s="100">
        <f>IF(AND(ISNUMBER(F25),ISNUMBER(M25)),F25-M25,"n/a")</f>
        <v>0.27557261865303395</v>
      </c>
      <c r="G26" s="100">
        <f>IF(AND(ISNUMBER(G25),ISNUMBER(N25)),G25-N25,"n/a")</f>
        <v>-0.21006695961780064</v>
      </c>
      <c r="H26" s="101">
        <f>IF(AND(ISNUMBER(H25),ISNUMBER(C25)),H25-C25,"n/a")</f>
        <v>-0.8519070321811681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8" t="s">
        <v>137</v>
      </c>
      <c r="C27" s="100">
        <f>IF(AND(ISNUMBER(C25),ISNUMBER(M25)),C25-M25,"n/a")</f>
        <v>0.9175254174245911</v>
      </c>
      <c r="D27" s="100">
        <f>IF(AND(ISNUMBER(D25),ISNUMBER(C25)),D25-C25,"n/a")</f>
        <v>-0.39888583635706176</v>
      </c>
      <c r="E27" s="100">
        <f>IF(AND(ISNUMBER(E25),ISNUMBER(D25)),E25-D25,"n/a")</f>
        <v>-0.6957283136770819</v>
      </c>
      <c r="F27" s="100">
        <f>IF(AND(ISNUMBER(F25),ISNUMBER(E25)),F25-E25,"n/a")</f>
        <v>0.45266135126258644</v>
      </c>
      <c r="G27" s="100" t="s">
        <v>100</v>
      </c>
      <c r="H27" s="101">
        <f>IF(AND(ISNUMBER(H25),ISNUMBER(F25)),H25-F25,"n/a")</f>
        <v>-0.20995423340961095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157</v>
      </c>
      <c r="C28" s="18">
        <f>C13/C10</f>
        <v>0.0944527314176353</v>
      </c>
      <c r="D28" s="18">
        <f>D13/D10</f>
        <v>0.08233915082052617</v>
      </c>
      <c r="E28" s="18">
        <f>E13/E10</f>
        <v>0.08608306965998694</v>
      </c>
      <c r="F28" s="18">
        <f>F13/F10</f>
        <v>0.08966401641446525</v>
      </c>
      <c r="G28" s="18">
        <f>G13/G10</f>
        <v>0.3581658740412898</v>
      </c>
      <c r="H28" s="32">
        <v>0.0894</v>
      </c>
      <c r="I28" s="1"/>
      <c r="J28" s="1"/>
      <c r="K28" s="18">
        <f>K13/K10</f>
        <v>0.08074261232560695</v>
      </c>
      <c r="L28" s="18">
        <f>L13/L10</f>
        <v>0.0881051213678973</v>
      </c>
      <c r="M28" s="18">
        <f>M13/M10</f>
        <v>0.09250867181380777</v>
      </c>
      <c r="N28" s="18">
        <f>N13/N10</f>
        <v>0.4097386393485684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0" t="s">
        <v>103</v>
      </c>
      <c r="C29" s="5" t="str">
        <f>IF(AND(ISNUMBER(C28),ISNUMBER(J28)),(C28-J28)*10000,"n/a")</f>
        <v>n/a</v>
      </c>
      <c r="D29" s="5">
        <f>IF(AND(ISNUMBER(D28),ISNUMBER(K28)),(D28-K28)*10000,"n/a")</f>
        <v>15.965384949192252</v>
      </c>
      <c r="E29" s="5">
        <f>IF(AND(ISNUMBER(E28),ISNUMBER(L28)),(E28-L28)*10000,"n/a")</f>
        <v>-20.22051707910366</v>
      </c>
      <c r="F29" s="5">
        <f>IF(AND(ISNUMBER(F28),ISNUMBER(M28)),(F28-M28)*10000,"n/a")</f>
        <v>-28.446553993425187</v>
      </c>
      <c r="G29" s="5">
        <f>IF(AND(ISNUMBER(G28),ISNUMBER(N28)),(G28-N28)*10000,"n/a")</f>
        <v>-515.7276530727861</v>
      </c>
      <c r="H29" s="30">
        <f>IF(AND(ISNUMBER(H28),ISNUMBER(C28)),(H28-C28)*10000,"n/a")</f>
        <v>-50.52731417635306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20" t="s">
        <v>104</v>
      </c>
      <c r="C30" s="5">
        <f>IF(AND(ISNUMBER(C28),ISNUMBER(M28)),(C28-M28)*10000,"n/a")</f>
        <v>19.440596038275277</v>
      </c>
      <c r="D30" s="5">
        <f>IF(AND(ISNUMBER(D28),ISNUMBER(C28)),(D28-C28)*10000,"n/a")</f>
        <v>-121.13580597109124</v>
      </c>
      <c r="E30" s="5">
        <f>IF(AND(ISNUMBER(E28),ISNUMBER(D28)),(E28-D28)*10000,"n/a")</f>
        <v>37.43918839460763</v>
      </c>
      <c r="F30" s="5">
        <f>IF(AND(ISNUMBER(F28),ISNUMBER(E28)),(F28-E28)*10000,"n/a")</f>
        <v>35.809467544783146</v>
      </c>
      <c r="G30" s="5" t="s">
        <v>100</v>
      </c>
      <c r="H30" s="30">
        <f>IF(AND(ISNUMBER(H28),ISNUMBER(F28)),(H28-F28)*10000,"n/a")</f>
        <v>-2.640164144652596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4" t="s">
        <v>158</v>
      </c>
      <c r="C31" s="2">
        <f>IF(AND(ISNUMBER(C19),ISNUMBER(C10)),C19-C10,"n/a")</f>
        <v>2859</v>
      </c>
      <c r="D31" s="2">
        <f>IF(AND(ISNUMBER(D19),ISNUMBER(D10)),D19-D10,"n/a")</f>
        <v>1432</v>
      </c>
      <c r="E31" s="2">
        <f>IF(AND(ISNUMBER(E19),ISNUMBER(E10)),E19-E10,"n/a")</f>
        <v>-832</v>
      </c>
      <c r="F31" s="2">
        <f>IF(AND(ISNUMBER(F19),ISNUMBER(F10)),F19-F10,"n/a")</f>
        <v>734</v>
      </c>
      <c r="G31" s="2">
        <f>IF(AND(ISNUMBER(G19),ISNUMBER(G10)),G19-G10,"n/a")</f>
        <v>3445</v>
      </c>
      <c r="H31" s="7">
        <f>IF(AND(ISNUMBER(H19),ISNUMBER(H10)),H19-H10,"n/a")</f>
        <v>0</v>
      </c>
      <c r="I31" s="1"/>
      <c r="J31" s="1"/>
      <c r="K31" s="2">
        <f>IF(AND(ISNUMBER(K19),ISNUMBER(K10)),K19-K10,"n/a")</f>
        <v>-35</v>
      </c>
      <c r="L31" s="2">
        <f>IF(AND(ISNUMBER(L19),ISNUMBER(L10)),L19-L10,"n/a")</f>
        <v>-629</v>
      </c>
      <c r="M31" s="2">
        <f>IF(AND(ISNUMBER(M19),ISNUMBER(M10)),M19-M10,"n/a")</f>
        <v>-217</v>
      </c>
      <c r="N31" s="2">
        <f>IF(AND(ISNUMBER(N19),ISNUMBER(N10)),N19-N10,"n/a")</f>
        <v>5921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8" t="s">
        <v>129</v>
      </c>
      <c r="C32" s="2" t="str">
        <f>IF(AND(ISNUMBER(C31),ISNUMBER(J31)),C31-J31,"n/a")</f>
        <v>n/a</v>
      </c>
      <c r="D32" s="2">
        <f>IF(AND(ISNUMBER(D31),ISNUMBER(K31)),D31-K31,"n/a")</f>
        <v>1467</v>
      </c>
      <c r="E32" s="2">
        <f>IF(AND(ISNUMBER(E31),ISNUMBER(L31)),E31-L31,"n/a")</f>
        <v>-203</v>
      </c>
      <c r="F32" s="2">
        <f>IF(AND(ISNUMBER(F31),ISNUMBER(M31)),F31-M31,"n/a")</f>
        <v>951</v>
      </c>
      <c r="G32" s="2">
        <f>IF(AND(ISNUMBER(G31),ISNUMBER(N31)),G31-N31,"n/a")</f>
        <v>-2476</v>
      </c>
      <c r="H32" s="7">
        <f>IF(AND(ISNUMBER(H31),ISNUMBER(C31)),H31-C31,"n/a")</f>
        <v>-2859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8" t="s">
        <v>101</v>
      </c>
      <c r="C33" s="2">
        <f>IF(AND(ISNUMBER(C31),ISNUMBER(M31)),C31-M31,"n/a")</f>
        <v>3076</v>
      </c>
      <c r="D33" s="2">
        <f>IF(AND(ISNUMBER(D31),ISNUMBER(C31)),D31-C31,"n/a")</f>
        <v>-1427</v>
      </c>
      <c r="E33" s="2">
        <f>IF(AND(ISNUMBER(E31),ISNUMBER(D31)),E31-D31,"n/a")</f>
        <v>-2264</v>
      </c>
      <c r="F33" s="2">
        <f>IF(AND(ISNUMBER(F31),ISNUMBER(E31)),F31-E31,"n/a")</f>
        <v>1566</v>
      </c>
      <c r="G33" s="2" t="s">
        <v>100</v>
      </c>
      <c r="H33" s="7">
        <f>IF(AND(ISNUMBER(H31),ISNUMBER(F31)),H31-F31,"n/a")</f>
        <v>-734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3" t="s">
        <v>159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"/>
      <c r="T35" s="1"/>
      <c r="U35" s="1"/>
      <c r="V35" s="1"/>
      <c r="W35" s="1"/>
      <c r="X35" s="1"/>
      <c r="Y35" s="1"/>
      <c r="Z35" s="1"/>
    </row>
    <row r="36">
      <c r="A36" s="1"/>
      <c r="B36" s="4" t="s">
        <v>160</v>
      </c>
      <c r="C36" s="3">
        <v>2739</v>
      </c>
      <c r="D36" s="2">
        <f>G36-P36</f>
        <v>2664</v>
      </c>
      <c r="E36" s="3">
        <v>2831</v>
      </c>
      <c r="F36" s="3">
        <v>2959</v>
      </c>
      <c r="G36" s="3">
        <v>10872</v>
      </c>
      <c r="H36" s="7">
        <f>H10*H28*H40</f>
        <v>2958.2542247999995</v>
      </c>
      <c r="I36" s="1"/>
      <c r="J36" s="3">
        <v>2557</v>
      </c>
      <c r="K36" s="2">
        <f>N36-O36</f>
        <v>2452</v>
      </c>
      <c r="L36" s="3">
        <v>2677</v>
      </c>
      <c r="M36" s="3">
        <v>2792</v>
      </c>
      <c r="N36" s="3">
        <v>10399</v>
      </c>
      <c r="O36" s="3">
        <v>7947</v>
      </c>
      <c r="P36" s="3">
        <v>8208</v>
      </c>
      <c r="Q36" s="1"/>
      <c r="R36" s="9" t="s">
        <v>161</v>
      </c>
      <c r="S36" s="1"/>
      <c r="T36" s="1"/>
      <c r="U36" s="1"/>
      <c r="V36" s="1"/>
      <c r="W36" s="1"/>
      <c r="X36" s="1"/>
      <c r="Y36" s="1"/>
      <c r="Z36" s="1"/>
    </row>
    <row r="37">
      <c r="A37" s="1"/>
      <c r="B37" s="20" t="s">
        <v>98</v>
      </c>
      <c r="C37" s="18">
        <f>IF(AND(ISNUMBER(C36),ISNUMBER(J36)),IF(OR(J36&gt;0,AND(J36&lt;0,C36&lt;0)),C36/J36-1,"n/m"),"n/a")</f>
        <v>0.0711771607352365</v>
      </c>
      <c r="D37" s="18">
        <f>IF(AND(ISNUMBER(D36),ISNUMBER(K36)),IF(OR(K36&gt;0,AND(K36&lt;0,D36&lt;0)),D36/K36-1,"n/m"),"n/a")</f>
        <v>0.08646003262642732</v>
      </c>
      <c r="E37" s="18">
        <f>IF(AND(ISNUMBER(E36),ISNUMBER(L36)),IF(OR(L36&gt;0,AND(L36&lt;0,E36&lt;0)),E36/L36-1,"n/m"),"n/a")</f>
        <v>0.057527082555099085</v>
      </c>
      <c r="F37" s="18">
        <f>IF(AND(ISNUMBER(F36),ISNUMBER(M36)),IF(OR(M36&gt;0,AND(M36&lt;0,F36&lt;0)),F36/M36-1,"n/m"),"n/a")</f>
        <v>0.059813753581661855</v>
      </c>
      <c r="G37" s="18">
        <f>IF(AND(ISNUMBER(G36),ISNUMBER(N36)),IF(OR(N36&gt;0,AND(N36&lt;0,G36&lt;0)),G36/N36-1,"n/m"),"n/a")</f>
        <v>0.04548514280219251</v>
      </c>
      <c r="H37" s="21">
        <f>IF(AND(ISNUMBER(H36),ISNUMBER(C36)),IF(OR(C36&gt;0,AND(C36&lt;0,H36&lt;0)),H36/C36-1,"n/m"),"n/a")</f>
        <v>0.0800490050383349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0" t="s">
        <v>99</v>
      </c>
      <c r="C38" s="18">
        <f>IF(AND(ISNUMBER(C36),ISNUMBER(M36)),IF(OR(M36&gt;0,AND(M36&lt;0,C36&lt;0)),C36/M36-1,"n/m"),"n/a")</f>
        <v>-0.018982808022922626</v>
      </c>
      <c r="D38" s="18">
        <f>IF(AND(ISNUMBER(D36),ISNUMBER(C36)),IF(OR(C36&gt;0,AND(C36&lt;0,D36&lt;0)),D36/C36-1,"n/m"),"n/a")</f>
        <v>-0.027382256297918905</v>
      </c>
      <c r="E38" s="18">
        <f>IF(AND(ISNUMBER(E36),ISNUMBER(D36)),IF(OR(D36&gt;0,AND(D36&lt;0,E36&lt;0)),E36/D36-1,"n/m"),"n/a")</f>
        <v>0.06268768768768762</v>
      </c>
      <c r="F38" s="18">
        <f>IF(AND(ISNUMBER(F36),ISNUMBER(E36)),IF(OR(E36&gt;0,AND(E36&lt;0,F36&lt;0)),F36/E36-1,"n/m"),"n/a")</f>
        <v>0.0452137054044508</v>
      </c>
      <c r="G38" s="18" t="s">
        <v>100</v>
      </c>
      <c r="H38" s="21">
        <f>IF(AND(ISNUMBER(H36),ISNUMBER(F36)),IF(OR(F36&gt;0,AND(F36&lt;0,H36&lt;0)),H36/F36-1,"n/m"),"n/a")</f>
        <v>-0.00025203622845570983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8" t="s">
        <v>101</v>
      </c>
      <c r="C39" s="2">
        <f>IF(AND(ISNUMBER(C36),ISNUMBER(M36)),C36-M36,"n/a")</f>
        <v>-53</v>
      </c>
      <c r="D39" s="2">
        <f>IF(AND(ISNUMBER(D36),ISNUMBER(C36)),D36-C36,"n/a")</f>
        <v>-75</v>
      </c>
      <c r="E39" s="2">
        <f>IF(AND(ISNUMBER(E36),ISNUMBER(D36)),E36-D36,"n/a")</f>
        <v>167</v>
      </c>
      <c r="F39" s="2">
        <f>IF(AND(ISNUMBER(F36),ISNUMBER(E36)),F36-E36,"n/a")</f>
        <v>128</v>
      </c>
      <c r="G39" s="2" t="s">
        <v>100</v>
      </c>
      <c r="H39" s="7">
        <f>IF(AND(ISNUMBER(H36),ISNUMBER(F36)),H36-F36,"n/a")</f>
        <v>-0.7457752000004803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20" t="s">
        <v>162</v>
      </c>
      <c r="C40" s="18">
        <f>IF(AND(ISNUMBER(C36),ISNUMBER(C56)),C36/C56,"n/a")</f>
        <v>0.816150178784267</v>
      </c>
      <c r="D40" s="18">
        <f>IF(AND(ISNUMBER(D36),ISNUMBER(D56)),D36/D56,"n/a")</f>
        <v>0.8427712749130022</v>
      </c>
      <c r="E40" s="18">
        <f>IF(AND(ISNUMBER(E36),ISNUMBER(E56)),E36/E56,"n/a")</f>
        <v>0.8258459743290548</v>
      </c>
      <c r="F40" s="18">
        <f>IF(AND(ISNUMBER(F36),ISNUMBER(F56)),F36/F56,"n/a")</f>
        <v>0.846395881006865</v>
      </c>
      <c r="G40" s="18">
        <f>IF(AND(ISNUMBER(G36),ISNUMBER(G56)),G36/G56,"n/a")</f>
        <v>0.8344462353212065</v>
      </c>
      <c r="H40" s="32">
        <v>0.833</v>
      </c>
      <c r="I40" s="1"/>
      <c r="J40" s="18">
        <f>IF(AND(ISNUMBER(J36),ISNUMBER(J56)),J36/J56,"n/a")</f>
        <v>0.8315447154471545</v>
      </c>
      <c r="K40" s="18">
        <f>IF(AND(ISNUMBER(K36),ISNUMBER(K56)),K36/K56,"n/a")</f>
        <v>0.8340136054421768</v>
      </c>
      <c r="L40" s="18">
        <f>IF(AND(ISNUMBER(L36),ISNUMBER(L56)),L36/L56,"n/a")</f>
        <v>0.8352574102964119</v>
      </c>
      <c r="M40" s="18">
        <f>IF(AND(ISNUMBER(M36),ISNUMBER(M56)),M36/M56,"n/a")</f>
        <v>0.8442697308739039</v>
      </c>
      <c r="N40" s="18">
        <f>IF(AND(ISNUMBER(N36),ISNUMBER(N56)),N36/N56,"n/a")</f>
        <v>0.8333199775623047</v>
      </c>
      <c r="O40" s="18">
        <f>IF(AND(ISNUMBER(O36),ISNUMBER(O56)),O36/O56,"n/a")</f>
        <v>0.8331061956179893</v>
      </c>
      <c r="P40" s="18">
        <f>IF(AND(ISNUMBER(P36),ISNUMBER(P56)),P36/P56,"n/a")</f>
        <v>0.8317794892582083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37" t="s">
        <v>103</v>
      </c>
      <c r="C41" s="5">
        <f>IF(AND(ISNUMBER(C40),ISNUMBER(J40)),(C40-J40)*10000,"n/a")</f>
        <v>-153.9453666288748</v>
      </c>
      <c r="D41" s="5">
        <f>IF(AND(ISNUMBER(D40),ISNUMBER(K40)),(D40-K40)*10000,"n/a")</f>
        <v>87.57669470825347</v>
      </c>
      <c r="E41" s="5">
        <f>IF(AND(ISNUMBER(E40),ISNUMBER(L40)),(E40-L40)*10000,"n/a")</f>
        <v>-94.11435967357052</v>
      </c>
      <c r="F41" s="5">
        <f>IF(AND(ISNUMBER(F40),ISNUMBER(M40)),(F40-M40)*10000,"n/a")</f>
        <v>21.261501329611356</v>
      </c>
      <c r="G41" s="5">
        <f>IF(AND(ISNUMBER(G40),ISNUMBER(N40)),(G40-N40)*10000,"n/a")</f>
        <v>11.262577589018496</v>
      </c>
      <c r="H41" s="30">
        <f>IF(AND(ISNUMBER(H40),ISNUMBER(C40)),(H40-C40)*10000,"n/a")</f>
        <v>168.49821215732973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37" t="s">
        <v>104</v>
      </c>
      <c r="C42" s="5">
        <f>IF(AND(ISNUMBER(C40),ISNUMBER(M40)),(C40-M40)*10000,"n/a")</f>
        <v>-281.19552089636903</v>
      </c>
      <c r="D42" s="5">
        <f>IF(AND(ISNUMBER(D40),ISNUMBER(C40)),(D40-C40)*10000,"n/a")</f>
        <v>266.210961287352</v>
      </c>
      <c r="E42" s="5">
        <f>IF(AND(ISNUMBER(E40),ISNUMBER(D40)),(E40-D40)*10000,"n/a")</f>
        <v>-169.25300583947367</v>
      </c>
      <c r="F42" s="5">
        <f>IF(AND(ISNUMBER(F40),ISNUMBER(E40)),(F40-E40)*10000,"n/a")</f>
        <v>205.49906677810205</v>
      </c>
      <c r="G42" s="5" t="s">
        <v>100</v>
      </c>
      <c r="H42" s="30">
        <f>IF(AND(ISNUMBER(H40),ISNUMBER(F40)),(H40-F40)*10000,"n/a")</f>
        <v>-133.95881006865062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20" t="s">
        <v>105</v>
      </c>
      <c r="C43" s="18" t="s">
        <v>106</v>
      </c>
      <c r="D43" s="18" t="s">
        <v>106</v>
      </c>
      <c r="E43" s="18" t="s">
        <v>106</v>
      </c>
      <c r="F43" s="18" t="s">
        <v>106</v>
      </c>
      <c r="G43" s="18" t="s">
        <v>106</v>
      </c>
      <c r="H43" s="21" t="s">
        <v>106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0" t="s">
        <v>107</v>
      </c>
      <c r="C44" s="18" t="s">
        <v>106</v>
      </c>
      <c r="D44" s="18" t="s">
        <v>106</v>
      </c>
      <c r="E44" s="18" t="s">
        <v>106</v>
      </c>
      <c r="F44" s="18" t="s">
        <v>106</v>
      </c>
      <c r="G44" s="18" t="s">
        <v>106</v>
      </c>
      <c r="H44" s="21" t="s">
        <v>106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0" t="s">
        <v>108</v>
      </c>
      <c r="C45" s="18" t="str">
        <f>IF(AND(ISNUMBER(C37),ISNUMBER(C43),ISNUMBER(C44)),(1+C37)/((1+C43)*(1+C44))-1,"n/a")</f>
        <v>n/a</v>
      </c>
      <c r="D45" s="18" t="str">
        <f>IF(AND(ISNUMBER(D37),ISNUMBER(D43),ISNUMBER(D44)),(1+D37)/((1+D43)*(1+D44))-1,"n/a")</f>
        <v>n/a</v>
      </c>
      <c r="E45" s="18" t="str">
        <f>IF(AND(ISNUMBER(E37),ISNUMBER(E43),ISNUMBER(E44)),(1+E37)/((1+E43)*(1+E44))-1,"n/a")</f>
        <v>n/a</v>
      </c>
      <c r="F45" s="18" t="str">
        <f>IF(AND(ISNUMBER(F37),ISNUMBER(F43),ISNUMBER(F44)),(1+F37)/((1+F43)*(1+F44))-1,"n/a")</f>
        <v>n/a</v>
      </c>
      <c r="G45" s="18" t="str">
        <f>IF(AND(ISNUMBER(G37),ISNUMBER(G43),ISNUMBER(G44)),(1+G37)/((1+G43)*(1+G44))-1,"n/a")</f>
        <v>n/a</v>
      </c>
      <c r="H45" s="21" t="str">
        <f>IF(AND(ISNUMBER(H37),ISNUMBER(H43),ISNUMBER(H44)),(1+H37)/((1+H43)*(1+H44))-1,"n/a")</f>
        <v>n/a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" t="s">
        <v>163</v>
      </c>
      <c r="C46" s="3">
        <v>617</v>
      </c>
      <c r="D46" s="2">
        <f>G46-P46</f>
        <v>497</v>
      </c>
      <c r="E46" s="3">
        <v>597</v>
      </c>
      <c r="F46" s="3">
        <v>537</v>
      </c>
      <c r="G46" s="3">
        <v>2157</v>
      </c>
      <c r="H46" s="7">
        <f>H10*H28-H36</f>
        <v>593.0713752000001</v>
      </c>
      <c r="I46" s="1"/>
      <c r="J46" s="3">
        <v>518</v>
      </c>
      <c r="K46" s="2">
        <f>N46-O46</f>
        <v>488</v>
      </c>
      <c r="L46" s="3">
        <v>528</v>
      </c>
      <c r="M46" s="3">
        <v>515</v>
      </c>
      <c r="N46" s="3">
        <v>2080</v>
      </c>
      <c r="O46" s="3">
        <v>1592</v>
      </c>
      <c r="P46" s="3">
        <v>1660</v>
      </c>
      <c r="Q46" s="1"/>
      <c r="R46" s="9" t="s">
        <v>161</v>
      </c>
      <c r="S46" s="1"/>
      <c r="T46" s="1"/>
      <c r="U46" s="1"/>
      <c r="V46" s="1"/>
      <c r="W46" s="1"/>
      <c r="X46" s="1"/>
      <c r="Y46" s="1"/>
      <c r="Z46" s="1"/>
    </row>
    <row r="47">
      <c r="A47" s="1"/>
      <c r="B47" s="20" t="s">
        <v>98</v>
      </c>
      <c r="C47" s="18">
        <f>IF(AND(ISNUMBER(C46),ISNUMBER(J46)),IF(OR(J46&gt;0,AND(J46&lt;0,C46&lt;0)),C46/J46-1,"n/m"),"n/a")</f>
        <v>0.19111969111969107</v>
      </c>
      <c r="D47" s="18">
        <f>IF(AND(ISNUMBER(D46),ISNUMBER(K46)),IF(OR(K46&gt;0,AND(K46&lt;0,D46&lt;0)),D46/K46-1,"n/m"),"n/a")</f>
        <v>0.018442622950819665</v>
      </c>
      <c r="E47" s="18">
        <f>IF(AND(ISNUMBER(E46),ISNUMBER(L46)),IF(OR(L46&gt;0,AND(L46&lt;0,E46&lt;0)),E46/L46-1,"n/m"),"n/a")</f>
        <v>0.13068181818181812</v>
      </c>
      <c r="F47" s="18">
        <f>IF(AND(ISNUMBER(F46),ISNUMBER(M46)),IF(OR(M46&gt;0,AND(M46&lt;0,F46&lt;0)),F46/M46-1,"n/m"),"n/a")</f>
        <v>0.042718446601941684</v>
      </c>
      <c r="G47" s="18">
        <f>IF(AND(ISNUMBER(G46),ISNUMBER(N46)),IF(OR(N46&gt;0,AND(N46&lt;0,G46&lt;0)),G46/N46-1,"n/m"),"n/a")</f>
        <v>0.03701923076923075</v>
      </c>
      <c r="H47" s="21">
        <f>IF(AND(ISNUMBER(H46),ISNUMBER(C46)),IF(OR(C46&gt;0,AND(C46&lt;0,H46&lt;0)),H46/C46-1,"n/m"),"n/a")</f>
        <v>-0.038782211993516724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0" t="s">
        <v>99</v>
      </c>
      <c r="C48" s="18">
        <f>IF(AND(ISNUMBER(C46),ISNUMBER(M46)),IF(OR(M46&gt;0,AND(M46&lt;0,C46&lt;0)),C46/M46-1,"n/m"),"n/a")</f>
        <v>0.19805825242718456</v>
      </c>
      <c r="D48" s="18">
        <f>IF(AND(ISNUMBER(D46),ISNUMBER(C46)),IF(OR(C46&gt;0,AND(C46&lt;0,D46&lt;0)),D46/C46-1,"n/m"),"n/a")</f>
        <v>-0.1944894651539708</v>
      </c>
      <c r="E48" s="18">
        <f>IF(AND(ISNUMBER(E46),ISNUMBER(D46)),IF(OR(D46&gt;0,AND(D46&lt;0,E46&lt;0)),E46/D46-1,"n/m"),"n/a")</f>
        <v>0.20120724346076457</v>
      </c>
      <c r="F48" s="18">
        <f>IF(AND(ISNUMBER(F46),ISNUMBER(E46)),IF(OR(E46&gt;0,AND(E46&lt;0,F46&lt;0)),F46/E46-1,"n/m"),"n/a")</f>
        <v>-0.10050251256281406</v>
      </c>
      <c r="G48" s="18" t="s">
        <v>100</v>
      </c>
      <c r="H48" s="21">
        <f>IF(AND(ISNUMBER(H46),ISNUMBER(F46)),IF(OR(F46&gt;0,AND(F46&lt;0,H46&lt;0)),H46/F46-1,"n/m"),"n/a")</f>
        <v>0.10441596871508407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8" t="s">
        <v>101</v>
      </c>
      <c r="C49" s="2">
        <f>IF(AND(ISNUMBER(C46),ISNUMBER(M46)),C46-M46,"n/a")</f>
        <v>102</v>
      </c>
      <c r="D49" s="2">
        <f>IF(AND(ISNUMBER(D46),ISNUMBER(C46)),D46-C46,"n/a")</f>
        <v>-120</v>
      </c>
      <c r="E49" s="2">
        <f>IF(AND(ISNUMBER(E46),ISNUMBER(D46)),E46-D46,"n/a")</f>
        <v>100</v>
      </c>
      <c r="F49" s="2">
        <f>IF(AND(ISNUMBER(F46),ISNUMBER(E46)),F46-E46,"n/a")</f>
        <v>-60</v>
      </c>
      <c r="G49" s="2" t="s">
        <v>100</v>
      </c>
      <c r="H49" s="7">
        <f>IF(AND(ISNUMBER(H46),ISNUMBER(F46)),H46-F46,"n/a")</f>
        <v>56.07137520000015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20" t="s">
        <v>164</v>
      </c>
      <c r="C50" s="18">
        <f>IF(AND(ISNUMBER(C46),ISNUMBER(C56)),C46/C56,"n/a")</f>
        <v>0.183849821215733</v>
      </c>
      <c r="D50" s="18">
        <f>IF(AND(ISNUMBER(D46),ISNUMBER(D56)),D46/D56,"n/a")</f>
        <v>0.15722872508699778</v>
      </c>
      <c r="E50" s="18">
        <f>IF(AND(ISNUMBER(E46),ISNUMBER(E56)),E46/E56,"n/a")</f>
        <v>0.17415402567094515</v>
      </c>
      <c r="F50" s="18">
        <f>IF(AND(ISNUMBER(F46),ISNUMBER(F56)),F46/F56,"n/a")</f>
        <v>0.153604118993135</v>
      </c>
      <c r="G50" s="18">
        <f>IF(AND(ISNUMBER(G46),ISNUMBER(G56)),G46/G56,"n/a")</f>
        <v>0.16555376467879346</v>
      </c>
      <c r="H50" s="21">
        <f>IF(AND(ISNUMBER(H46),ISNUMBER(H56)),H46/H56,"n/a")</f>
        <v>0.16700000000000007</v>
      </c>
      <c r="I50" s="1"/>
      <c r="J50" s="18">
        <f>IF(AND(ISNUMBER(J46),ISNUMBER(J56)),J46/J56,"n/a")</f>
        <v>0.16845528455284553</v>
      </c>
      <c r="K50" s="18">
        <f>IF(AND(ISNUMBER(K46),ISNUMBER(K56)),K46/K56,"n/a")</f>
        <v>0.16598639455782313</v>
      </c>
      <c r="L50" s="18">
        <f>IF(AND(ISNUMBER(L46),ISNUMBER(L56)),L46/L56,"n/a")</f>
        <v>0.16474258970358815</v>
      </c>
      <c r="M50" s="18">
        <f>IF(AND(ISNUMBER(M46),ISNUMBER(M56)),M46/M56,"n/a")</f>
        <v>0.15573026912609617</v>
      </c>
      <c r="N50" s="18">
        <f>IF(AND(ISNUMBER(N46),ISNUMBER(N56)),N46/N56,"n/a")</f>
        <v>0.16668002243769534</v>
      </c>
      <c r="O50" s="18">
        <f>IF(AND(ISNUMBER(O46),ISNUMBER(O56)),O46/O56,"n/a")</f>
        <v>0.16689380438201068</v>
      </c>
      <c r="P50" s="18">
        <f>IF(AND(ISNUMBER(P46),ISNUMBER(P56)),P46/P56,"n/a")</f>
        <v>0.16822051074179165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37" t="s">
        <v>103</v>
      </c>
      <c r="C51" s="5">
        <f>IF(AND(ISNUMBER(C50),ISNUMBER(J50)),(C50-J50)*10000,"n/a")</f>
        <v>153.9453666288748</v>
      </c>
      <c r="D51" s="5">
        <f>IF(AND(ISNUMBER(D50),ISNUMBER(K50)),(D50-K50)*10000,"n/a")</f>
        <v>-87.57669470825347</v>
      </c>
      <c r="E51" s="5">
        <f>IF(AND(ISNUMBER(E50),ISNUMBER(L50)),(E50-L50)*10000,"n/a")</f>
        <v>94.11435967356996</v>
      </c>
      <c r="F51" s="5">
        <f>IF(AND(ISNUMBER(F50),ISNUMBER(M50)),(F50-M50)*10000,"n/a")</f>
        <v>-21.261501329611633</v>
      </c>
      <c r="G51" s="5">
        <f>IF(AND(ISNUMBER(G50),ISNUMBER(N50)),(G50-N50)*10000,"n/a")</f>
        <v>-11.262577589018774</v>
      </c>
      <c r="H51" s="30">
        <f>IF(AND(ISNUMBER(H50),ISNUMBER(C50)),(H50-C50)*10000,"n/a")</f>
        <v>-168.49821215732948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37" t="s">
        <v>104</v>
      </c>
      <c r="C52" s="5">
        <f>IF(AND(ISNUMBER(C50),ISNUMBER(M50)),(C50-M50)*10000,"n/a")</f>
        <v>281.19552089636846</v>
      </c>
      <c r="D52" s="5">
        <f>IF(AND(ISNUMBER(D50),ISNUMBER(C50)),(D50-C50)*10000,"n/a")</f>
        <v>-266.2109612873523</v>
      </c>
      <c r="E52" s="5">
        <f>IF(AND(ISNUMBER(E50),ISNUMBER(D50)),(E50-D50)*10000,"n/a")</f>
        <v>169.25300583947367</v>
      </c>
      <c r="F52" s="5">
        <f>IF(AND(ISNUMBER(F50),ISNUMBER(E50)),(F50-E50)*10000,"n/a")</f>
        <v>-205.49906677810148</v>
      </c>
      <c r="G52" s="5" t="s">
        <v>100</v>
      </c>
      <c r="H52" s="30">
        <f>IF(AND(ISNUMBER(H50),ISNUMBER(F50)),(H50-F50)*10000,"n/a")</f>
        <v>133.95881006865062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20" t="s">
        <v>105</v>
      </c>
      <c r="C53" s="18" t="s">
        <v>106</v>
      </c>
      <c r="D53" s="18" t="s">
        <v>106</v>
      </c>
      <c r="E53" s="18" t="s">
        <v>106</v>
      </c>
      <c r="F53" s="18" t="s">
        <v>106</v>
      </c>
      <c r="G53" s="18" t="s">
        <v>106</v>
      </c>
      <c r="H53" s="21" t="s">
        <v>106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0" t="s">
        <v>107</v>
      </c>
      <c r="C54" s="18" t="s">
        <v>106</v>
      </c>
      <c r="D54" s="18" t="s">
        <v>106</v>
      </c>
      <c r="E54" s="18" t="s">
        <v>106</v>
      </c>
      <c r="F54" s="18" t="s">
        <v>106</v>
      </c>
      <c r="G54" s="18" t="s">
        <v>106</v>
      </c>
      <c r="H54" s="21" t="s">
        <v>106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0" t="s">
        <v>108</v>
      </c>
      <c r="C55" s="18" t="str">
        <f>IF(AND(ISNUMBER(C47),ISNUMBER(C53),ISNUMBER(C54)),(1+C47)/((1+C53)*(1+C54))-1,"n/a")</f>
        <v>n/a</v>
      </c>
      <c r="D55" s="18" t="str">
        <f>IF(AND(ISNUMBER(D47),ISNUMBER(D53),ISNUMBER(D54)),(1+D47)/((1+D53)*(1+D54))-1,"n/a")</f>
        <v>n/a</v>
      </c>
      <c r="E55" s="18" t="str">
        <f>IF(AND(ISNUMBER(E47),ISNUMBER(E53),ISNUMBER(E54)),(1+E47)/((1+E53)*(1+E54))-1,"n/a")</f>
        <v>n/a</v>
      </c>
      <c r="F55" s="18" t="str">
        <f>IF(AND(ISNUMBER(F47),ISNUMBER(F53),ISNUMBER(F54)),(1+F47)/((1+F53)*(1+F54))-1,"n/a")</f>
        <v>n/a</v>
      </c>
      <c r="G55" s="18" t="str">
        <f>IF(AND(ISNUMBER(G47),ISNUMBER(G53),ISNUMBER(G54)),(1+G47)/((1+G53)*(1+G54))-1,"n/a")</f>
        <v>n/a</v>
      </c>
      <c r="H55" s="21" t="str">
        <f>IF(AND(ISNUMBER(H47),ISNUMBER(H53),ISNUMBER(H54)),(1+H47)/((1+H53)*(1+H54))-1,"n/a")</f>
        <v>n/a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46" t="s">
        <v>222</v>
      </c>
      <c r="C56" s="14">
        <f>C36+C46</f>
        <v>3356</v>
      </c>
      <c r="D56" s="14">
        <f>D36+D46</f>
        <v>3161</v>
      </c>
      <c r="E56" s="14">
        <f>E36+E46</f>
        <v>3428</v>
      </c>
      <c r="F56" s="14">
        <f>F36+F46</f>
        <v>3496</v>
      </c>
      <c r="G56" s="14">
        <f>G36+G46</f>
        <v>13029</v>
      </c>
      <c r="H56" s="48">
        <f>H36+H46</f>
        <v>3551.3255999999997</v>
      </c>
      <c r="I56" s="1"/>
      <c r="J56" s="14">
        <f>J36+J46</f>
        <v>3075</v>
      </c>
      <c r="K56" s="14">
        <f>K36+K46</f>
        <v>2940</v>
      </c>
      <c r="L56" s="14">
        <f>L36+L46</f>
        <v>3205</v>
      </c>
      <c r="M56" s="14">
        <f>M36+M46</f>
        <v>3307</v>
      </c>
      <c r="N56" s="14">
        <f>N36+N46</f>
        <v>12479</v>
      </c>
      <c r="O56" s="14">
        <f>O36+O46</f>
        <v>9539</v>
      </c>
      <c r="P56" s="14">
        <f>P36+P46</f>
        <v>9868</v>
      </c>
      <c r="Q56" s="1"/>
      <c r="R56" s="9" t="s">
        <v>166</v>
      </c>
      <c r="S56" s="1"/>
      <c r="T56" s="1"/>
      <c r="U56" s="1"/>
      <c r="V56" s="1"/>
      <c r="W56" s="1"/>
      <c r="X56" s="1"/>
      <c r="Y56" s="1"/>
      <c r="Z56" s="1"/>
    </row>
    <row r="57">
      <c r="A57" s="1"/>
      <c r="B57" s="25" t="s">
        <v>98</v>
      </c>
      <c r="C57" s="18">
        <f>IF(AND(ISNUMBER(C56),ISNUMBER(J56)),IF(OR(J56&gt;0,AND(J56&lt;0,C56&lt;0)),C56/J56-1,"n/m"),"n/a")</f>
        <v>0.09138211382113814</v>
      </c>
      <c r="D57" s="18">
        <f>IF(AND(ISNUMBER(D56),ISNUMBER(K56)),IF(OR(K56&gt;0,AND(K56&lt;0,D56&lt;0)),D56/K56-1,"n/m"),"n/a")</f>
        <v>0.07517006802721093</v>
      </c>
      <c r="E57" s="18">
        <f>IF(AND(ISNUMBER(E56),ISNUMBER(L56)),IF(OR(L56&gt;0,AND(L56&lt;0,E56&lt;0)),E56/L56-1,"n/m"),"n/a")</f>
        <v>0.06957878315132615</v>
      </c>
      <c r="F57" s="18">
        <f>IF(AND(ISNUMBER(F56),ISNUMBER(M56)),IF(OR(M56&gt;0,AND(M56&lt;0,F56&lt;0)),F56/M56-1,"n/m"),"n/a")</f>
        <v>0.057151496824916936</v>
      </c>
      <c r="G57" s="18">
        <f>IF(AND(ISNUMBER(G56),ISNUMBER(N56)),IF(OR(N56&gt;0,AND(N56&lt;0,G56&lt;0)),G56/N56-1,"n/m"),"n/a")</f>
        <v>0.044074044394582845</v>
      </c>
      <c r="H57" s="21">
        <f>IF(AND(ISNUMBER(H56),ISNUMBER(C56)),IF(OR(C56&gt;0,AND(C56&lt;0,H56&lt;0)),H56/C56-1,"n/m"),"n/a")</f>
        <v>0.05820190703218109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25" t="s">
        <v>99</v>
      </c>
      <c r="C58" s="18">
        <f>IF(AND(ISNUMBER(C56),ISNUMBER(M56)),IF(OR(M56&gt;0,AND(M56&lt;0,C56&lt;0)),C56/M56-1,"n/m"),"n/a")</f>
        <v>0.014817054732385815</v>
      </c>
      <c r="D58" s="18">
        <f>IF(AND(ISNUMBER(D56),ISNUMBER(C56)),IF(OR(C56&gt;0,AND(C56&lt;0,D56&lt;0)),D56/C56-1,"n/m"),"n/a")</f>
        <v>-0.05810488676996428</v>
      </c>
      <c r="E58" s="18">
        <f>IF(AND(ISNUMBER(E56),ISNUMBER(D56)),IF(OR(D56&gt;0,AND(D56&lt;0,E56&lt;0)),E56/D56-1,"n/m"),"n/a")</f>
        <v>0.08446694084150574</v>
      </c>
      <c r="F58" s="18">
        <f>IF(AND(ISNUMBER(F56),ISNUMBER(E56)),IF(OR(E56&gt;0,AND(E56&lt;0,F56&lt;0)),F56/E56-1,"n/m"),"n/a")</f>
        <v>0.019836639439906545</v>
      </c>
      <c r="G58" s="18" t="s">
        <v>100</v>
      </c>
      <c r="H58" s="21">
        <f>IF(AND(ISNUMBER(H56),ISNUMBER(F56)),IF(OR(F56&gt;0,AND(F56&lt;0,H56&lt;0)),H56/F56-1,"n/m"),"n/a")</f>
        <v>0.015825400457665895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4" t="s">
        <v>101</v>
      </c>
      <c r="C59" s="2">
        <f>IF(AND(ISNUMBER(C56),ISNUMBER(M56)),C56-M56,"n/a")</f>
        <v>49</v>
      </c>
      <c r="D59" s="2">
        <f>IF(AND(ISNUMBER(D56),ISNUMBER(C56)),D56-C56,"n/a")</f>
        <v>-195</v>
      </c>
      <c r="E59" s="2">
        <f>IF(AND(ISNUMBER(E56),ISNUMBER(D56)),E56-D56,"n/a")</f>
        <v>267</v>
      </c>
      <c r="F59" s="2">
        <f>IF(AND(ISNUMBER(F56),ISNUMBER(E56)),F56-E56,"n/a")</f>
        <v>68</v>
      </c>
      <c r="G59" s="2" t="s">
        <v>100</v>
      </c>
      <c r="H59" s="7">
        <f>IF(AND(ISNUMBER(H56),ISNUMBER(F56)),H56-F56,"n/a")</f>
        <v>55.32559999999967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25" t="s">
        <v>105</v>
      </c>
      <c r="C60" s="18" t="s">
        <v>106</v>
      </c>
      <c r="D60" s="18" t="s">
        <v>106</v>
      </c>
      <c r="E60" s="18" t="s">
        <v>106</v>
      </c>
      <c r="F60" s="18" t="s">
        <v>106</v>
      </c>
      <c r="G60" s="18" t="s">
        <v>106</v>
      </c>
      <c r="H60" s="21" t="s">
        <v>106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107</v>
      </c>
      <c r="C61" s="18" t="s">
        <v>106</v>
      </c>
      <c r="D61" s="18" t="s">
        <v>106</v>
      </c>
      <c r="E61" s="18" t="s">
        <v>106</v>
      </c>
      <c r="F61" s="18" t="s">
        <v>106</v>
      </c>
      <c r="G61" s="18" t="s">
        <v>106</v>
      </c>
      <c r="H61" s="21" t="s">
        <v>106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5" t="s">
        <v>108</v>
      </c>
      <c r="C62" s="18" t="str">
        <f>IF(AND(ISNUMBER(C57),ISNUMBER(C60),ISNUMBER(C61)),(1+C57)/((1+C60)*(1+C61))-1,"n/a")</f>
        <v>n/a</v>
      </c>
      <c r="D62" s="18" t="str">
        <f>IF(AND(ISNUMBER(D57),ISNUMBER(D60),ISNUMBER(D61)),(1+D57)/((1+D60)*(1+D61))-1,"n/a")</f>
        <v>n/a</v>
      </c>
      <c r="E62" s="18" t="str">
        <f>IF(AND(ISNUMBER(E57),ISNUMBER(E60),ISNUMBER(E61)),(1+E57)/((1+E60)*(1+E61))-1,"n/a")</f>
        <v>n/a</v>
      </c>
      <c r="F62" s="18" t="str">
        <f>IF(AND(ISNUMBER(F57),ISNUMBER(F60),ISNUMBER(F61)),(1+F57)/((1+F60)*(1+F61))-1,"n/a")</f>
        <v>n/a</v>
      </c>
      <c r="G62" s="18" t="str">
        <f>IF(AND(ISNUMBER(G57),ISNUMBER(G60),ISNUMBER(G61)),(1+G57)/((1+G60)*(1+G61))-1,"n/a")</f>
        <v>n/a</v>
      </c>
      <c r="H62" s="21" t="str">
        <f>IF(AND(ISNUMBER(H57),ISNUMBER(H60),ISNUMBER(H61)),(1+H57)/((1+H60)*(1+H61))-1,"n/a")</f>
        <v>n/a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3" t="s">
        <v>167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"/>
      <c r="T64" s="1"/>
      <c r="U64" s="1"/>
      <c r="V64" s="1"/>
      <c r="W64" s="1"/>
      <c r="X64" s="1"/>
      <c r="Y64" s="1"/>
      <c r="Z64" s="1"/>
    </row>
    <row r="65">
      <c r="A65" s="1"/>
      <c r="B65" s="4" t="s">
        <v>168</v>
      </c>
      <c r="C65" s="3">
        <v>878</v>
      </c>
      <c r="D65" s="2">
        <f>G65-P65</f>
        <v>786</v>
      </c>
      <c r="E65" s="3">
        <v>922</v>
      </c>
      <c r="F65" s="3">
        <v>893</v>
      </c>
      <c r="G65" s="3">
        <v>3518</v>
      </c>
      <c r="H65" s="7">
        <f>H56*H69</f>
        <v>919.7933304</v>
      </c>
      <c r="I65" s="1"/>
      <c r="J65" s="3">
        <v>865</v>
      </c>
      <c r="K65" s="2">
        <f>N65-O65</f>
        <v>791</v>
      </c>
      <c r="L65" s="3">
        <v>942</v>
      </c>
      <c r="M65" s="3">
        <v>912</v>
      </c>
      <c r="N65" s="3">
        <v>3481</v>
      </c>
      <c r="O65" s="3">
        <v>2690</v>
      </c>
      <c r="P65" s="3">
        <v>2732</v>
      </c>
      <c r="Q65" s="1"/>
      <c r="R65" s="9" t="s">
        <v>161</v>
      </c>
      <c r="S65" s="1"/>
      <c r="T65" s="1"/>
      <c r="U65" s="1"/>
      <c r="V65" s="1"/>
      <c r="W65" s="1"/>
      <c r="X65" s="1"/>
      <c r="Y65" s="1"/>
      <c r="Z65" s="1"/>
    </row>
    <row r="66">
      <c r="A66" s="1"/>
      <c r="B66" s="20" t="s">
        <v>98</v>
      </c>
      <c r="C66" s="18">
        <f>IF(AND(ISNUMBER(C65),ISNUMBER(J65)),IF(OR(J65&gt;0,AND(J65&lt;0,C65&lt;0)),C65/J65-1,"n/m"),"n/a")</f>
        <v>0.015028901734104094</v>
      </c>
      <c r="D66" s="18">
        <f>IF(AND(ISNUMBER(D65),ISNUMBER(K65)),IF(OR(K65&gt;0,AND(K65&lt;0,D65&lt;0)),D65/K65-1,"n/m"),"n/a")</f>
        <v>-0.006321112515802807</v>
      </c>
      <c r="E66" s="18">
        <f>IF(AND(ISNUMBER(E65),ISNUMBER(L65)),IF(OR(L65&gt;0,AND(L65&lt;0,E65&lt;0)),E65/L65-1,"n/m"),"n/a")</f>
        <v>-0.02123142250530785</v>
      </c>
      <c r="F66" s="18">
        <f>IF(AND(ISNUMBER(F65),ISNUMBER(M65)),IF(OR(M65&gt;0,AND(M65&lt;0,F65&lt;0)),F65/M65-1,"n/m"),"n/a")</f>
        <v>-0.02083333333333337</v>
      </c>
      <c r="G66" s="18">
        <f>IF(AND(ISNUMBER(G65),ISNUMBER(N65)),IF(OR(N65&gt;0,AND(N65&lt;0,G65&lt;0)),G65/N65-1,"n/m"),"n/a")</f>
        <v>0.01062912956047124</v>
      </c>
      <c r="H66" s="21">
        <f>IF(AND(ISNUMBER(H65),ISNUMBER(C65)),IF(OR(C65&gt;0,AND(C65&lt;0,H65&lt;0)),H65/C65-1,"n/m"),"n/a")</f>
        <v>0.047600604100227706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20" t="s">
        <v>99</v>
      </c>
      <c r="C67" s="18">
        <f>IF(AND(ISNUMBER(C65),ISNUMBER(M65)),IF(OR(M65&gt;0,AND(M65&lt;0,C65&lt;0)),C65/M65-1,"n/m"),"n/a")</f>
        <v>-0.037280701754385914</v>
      </c>
      <c r="D67" s="18">
        <f>IF(AND(ISNUMBER(D65),ISNUMBER(C65)),IF(OR(C65&gt;0,AND(C65&lt;0,D65&lt;0)),D65/C65-1,"n/m"),"n/a")</f>
        <v>-0.10478359908883828</v>
      </c>
      <c r="E67" s="18">
        <f>IF(AND(ISNUMBER(E65),ISNUMBER(D65)),IF(OR(D65&gt;0,AND(D65&lt;0,E65&lt;0)),E65/D65-1,"n/m"),"n/a")</f>
        <v>0.17302798982188294</v>
      </c>
      <c r="F67" s="18">
        <f>IF(AND(ISNUMBER(F65),ISNUMBER(E65)),IF(OR(E65&gt;0,AND(E65&lt;0,F65&lt;0)),F65/E65-1,"n/m"),"n/a")</f>
        <v>-0.03145336225596529</v>
      </c>
      <c r="G67" s="18" t="s">
        <v>100</v>
      </c>
      <c r="H67" s="21">
        <f>IF(AND(ISNUMBER(H65),ISNUMBER(F65)),IF(OR(F65&gt;0,AND(F65&lt;0,H65&lt;0)),H65/F65-1,"n/m"),"n/a")</f>
        <v>0.03000372945128782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8" t="s">
        <v>101</v>
      </c>
      <c r="C68" s="2">
        <f>IF(AND(ISNUMBER(C65),ISNUMBER(M65)),C65-M65,"n/a")</f>
        <v>-34</v>
      </c>
      <c r="D68" s="2">
        <f>IF(AND(ISNUMBER(D65),ISNUMBER(C65)),D65-C65,"n/a")</f>
        <v>-92</v>
      </c>
      <c r="E68" s="2">
        <f>IF(AND(ISNUMBER(E65),ISNUMBER(D65)),E65-D65,"n/a")</f>
        <v>136</v>
      </c>
      <c r="F68" s="2">
        <f>IF(AND(ISNUMBER(F65),ISNUMBER(E65)),F65-E65,"n/a")</f>
        <v>-29</v>
      </c>
      <c r="G68" s="2" t="s">
        <v>100</v>
      </c>
      <c r="H68" s="7">
        <f>IF(AND(ISNUMBER(H65),ISNUMBER(F65)),H65-F65,"n/a")</f>
        <v>26.793330399999945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0" t="s">
        <v>169</v>
      </c>
      <c r="C69" s="18">
        <f>IF(AND(ISNUMBER(C65),ISNUMBER(C56)),C65/C56,"n/a")</f>
        <v>0.26162097735399287</v>
      </c>
      <c r="D69" s="18">
        <f>IF(AND(ISNUMBER(D65),ISNUMBER(D56)),D65/D56,"n/a")</f>
        <v>0.2486554887693768</v>
      </c>
      <c r="E69" s="18">
        <f>IF(AND(ISNUMBER(E65),ISNUMBER(E56)),E65/E56,"n/a")</f>
        <v>0.26896149358226373</v>
      </c>
      <c r="F69" s="18">
        <f>IF(AND(ISNUMBER(F65),ISNUMBER(F56)),F65/F56,"n/a")</f>
        <v>0.2554347826086957</v>
      </c>
      <c r="G69" s="18">
        <f>IF(AND(ISNUMBER(G65),ISNUMBER(G56)),G65/G56,"n/a")</f>
        <v>0.27001304781640956</v>
      </c>
      <c r="H69" s="32">
        <v>0.259</v>
      </c>
      <c r="I69" s="1"/>
      <c r="J69" s="18">
        <f>IF(AND(ISNUMBER(J65),ISNUMBER(J56)),J65/J56,"n/a")</f>
        <v>0.2813008130081301</v>
      </c>
      <c r="K69" s="18">
        <f>IF(AND(ISNUMBER(K65),ISNUMBER(K56)),K65/K56,"n/a")</f>
        <v>0.26904761904761904</v>
      </c>
      <c r="L69" s="18">
        <f>IF(AND(ISNUMBER(L65),ISNUMBER(L56)),L65/L56,"n/a")</f>
        <v>0.2939157566302652</v>
      </c>
      <c r="M69" s="18">
        <f>IF(AND(ISNUMBER(M65),ISNUMBER(M56)),M65/M56,"n/a")</f>
        <v>0.27577865134563045</v>
      </c>
      <c r="N69" s="18">
        <f>IF(AND(ISNUMBER(N65),ISNUMBER(N56)),N65/N56,"n/a")</f>
        <v>0.27894863370462375</v>
      </c>
      <c r="O69" s="18">
        <f>IF(AND(ISNUMBER(O65),ISNUMBER(O56)),O65/O56,"n/a")</f>
        <v>0.28200020966558337</v>
      </c>
      <c r="P69" s="18">
        <f>IF(AND(ISNUMBER(P65),ISNUMBER(P56)),P65/P56,"n/a")</f>
        <v>0.27685447912444267</v>
      </c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37" t="s">
        <v>103</v>
      </c>
      <c r="C70" s="5">
        <f>IF(AND(ISNUMBER(C69),ISNUMBER(J69)),(C69-J69)*10000,"n/a")</f>
        <v>-196.79835654137224</v>
      </c>
      <c r="D70" s="5">
        <f>IF(AND(ISNUMBER(D69),ISNUMBER(K69)),(D69-K69)*10000,"n/a")</f>
        <v>-203.92130278242243</v>
      </c>
      <c r="E70" s="5">
        <f>IF(AND(ISNUMBER(E69),ISNUMBER(L69)),(E69-L69)*10000,"n/a")</f>
        <v>-249.54263048001468</v>
      </c>
      <c r="F70" s="5">
        <f>IF(AND(ISNUMBER(F69),ISNUMBER(M69)),(F69-M69)*10000,"n/a")</f>
        <v>-203.43868736934778</v>
      </c>
      <c r="G70" s="5">
        <f>IF(AND(ISNUMBER(G69),ISNUMBER(N69)),(G69-N69)*10000,"n/a")</f>
        <v>-89.35585888214193</v>
      </c>
      <c r="H70" s="30">
        <f>IF(AND(ISNUMBER(H69),ISNUMBER(C69)),(H69-C69)*10000,"n/a")</f>
        <v>-26.209773539928594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37" t="s">
        <v>104</v>
      </c>
      <c r="C71" s="5">
        <f>IF(AND(ISNUMBER(C69),ISNUMBER(M69)),(C69-M69)*10000,"n/a")</f>
        <v>-141.57673991637586</v>
      </c>
      <c r="D71" s="5">
        <f>IF(AND(ISNUMBER(D69),ISNUMBER(C69)),(D69-C69)*10000,"n/a")</f>
        <v>-129.65488584616074</v>
      </c>
      <c r="E71" s="5">
        <f>IF(AND(ISNUMBER(E69),ISNUMBER(D69)),(E69-D69)*10000,"n/a")</f>
        <v>203.0600481288694</v>
      </c>
      <c r="F71" s="5">
        <f>IF(AND(ISNUMBER(F69),ISNUMBER(E69)),(F69-E69)*10000,"n/a")</f>
        <v>-135.26710973568058</v>
      </c>
      <c r="G71" s="5" t="s">
        <v>100</v>
      </c>
      <c r="H71" s="30">
        <f>IF(AND(ISNUMBER(H69),ISNUMBER(F69)),(H69-F69)*10000,"n/a")</f>
        <v>35.65217391304331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20" t="s">
        <v>105</v>
      </c>
      <c r="C72" s="18" t="s">
        <v>106</v>
      </c>
      <c r="D72" s="18" t="s">
        <v>106</v>
      </c>
      <c r="E72" s="18" t="s">
        <v>106</v>
      </c>
      <c r="F72" s="18" t="s">
        <v>106</v>
      </c>
      <c r="G72" s="18" t="s">
        <v>106</v>
      </c>
      <c r="H72" s="21" t="s">
        <v>106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20" t="s">
        <v>107</v>
      </c>
      <c r="C73" s="18" t="s">
        <v>106</v>
      </c>
      <c r="D73" s="18" t="s">
        <v>106</v>
      </c>
      <c r="E73" s="18" t="s">
        <v>106</v>
      </c>
      <c r="F73" s="18" t="s">
        <v>106</v>
      </c>
      <c r="G73" s="18" t="s">
        <v>106</v>
      </c>
      <c r="H73" s="21" t="s">
        <v>106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20" t="s">
        <v>108</v>
      </c>
      <c r="C74" s="18" t="str">
        <f>IF(AND(ISNUMBER(C66),ISNUMBER(C72),ISNUMBER(C73)),(1+C66)/((1+C72)*(1+C73))-1,"n/a")</f>
        <v>n/a</v>
      </c>
      <c r="D74" s="18" t="str">
        <f>IF(AND(ISNUMBER(D66),ISNUMBER(D72),ISNUMBER(D73)),(1+D66)/((1+D72)*(1+D73))-1,"n/a")</f>
        <v>n/a</v>
      </c>
      <c r="E74" s="18" t="str">
        <f>IF(AND(ISNUMBER(E66),ISNUMBER(E72),ISNUMBER(E73)),(1+E66)/((1+E72)*(1+E73))-1,"n/a")</f>
        <v>n/a</v>
      </c>
      <c r="F74" s="18" t="str">
        <f>IF(AND(ISNUMBER(F66),ISNUMBER(F72),ISNUMBER(F73)),(1+F66)/((1+F72)*(1+F73))-1,"n/a")</f>
        <v>n/a</v>
      </c>
      <c r="G74" s="18" t="str">
        <f>IF(AND(ISNUMBER(G66),ISNUMBER(G72),ISNUMBER(G73)),(1+G66)/((1+G72)*(1+G73))-1,"n/a")</f>
        <v>n/a</v>
      </c>
      <c r="H74" s="21" t="str">
        <f>IF(AND(ISNUMBER(H66),ISNUMBER(H72),ISNUMBER(H73)),(1+H66)/((1+H72)*(1+H73))-1,"n/a")</f>
        <v>n/a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170</v>
      </c>
      <c r="C75" s="3">
        <v>2478</v>
      </c>
      <c r="D75" s="2">
        <f>G75-P75</f>
        <v>2375</v>
      </c>
      <c r="E75" s="3">
        <v>2506</v>
      </c>
      <c r="F75" s="3">
        <v>2603</v>
      </c>
      <c r="G75" s="3">
        <v>9511</v>
      </c>
      <c r="H75" s="7">
        <f>H56-H65</f>
        <v>2631.5322696</v>
      </c>
      <c r="I75" s="1"/>
      <c r="J75" s="3">
        <v>2210</v>
      </c>
      <c r="K75" s="2">
        <f>N75-O75</f>
        <v>2149</v>
      </c>
      <c r="L75" s="3">
        <v>2263</v>
      </c>
      <c r="M75" s="3">
        <v>2395</v>
      </c>
      <c r="N75" s="3">
        <v>8998</v>
      </c>
      <c r="O75" s="3">
        <v>6849</v>
      </c>
      <c r="P75" s="3">
        <v>7136</v>
      </c>
      <c r="Q75" s="1"/>
      <c r="R75" s="9" t="s">
        <v>161</v>
      </c>
      <c r="S75" s="1"/>
      <c r="T75" s="1"/>
      <c r="U75" s="1"/>
      <c r="V75" s="1"/>
      <c r="W75" s="1"/>
      <c r="X75" s="1"/>
      <c r="Y75" s="1"/>
      <c r="Z75" s="1"/>
    </row>
    <row r="76">
      <c r="A76" s="1"/>
      <c r="B76" s="20" t="s">
        <v>98</v>
      </c>
      <c r="C76" s="18">
        <f>IF(AND(ISNUMBER(C75),ISNUMBER(J75)),IF(OR(J75&gt;0,AND(J75&lt;0,C75&lt;0)),C75/J75-1,"n/m"),"n/a")</f>
        <v>0.12126696832579187</v>
      </c>
      <c r="D76" s="18">
        <f>IF(AND(ISNUMBER(D75),ISNUMBER(K75)),IF(OR(K75&gt;0,AND(K75&lt;0,D75&lt;0)),D75/K75-1,"n/m"),"n/a")</f>
        <v>0.10516519311307593</v>
      </c>
      <c r="E76" s="18">
        <f>IF(AND(ISNUMBER(E75),ISNUMBER(L75)),IF(OR(L75&gt;0,AND(L75&lt;0,E75&lt;0)),E75/L75-1,"n/m"),"n/a")</f>
        <v>0.107379584622183</v>
      </c>
      <c r="F76" s="18">
        <f>IF(AND(ISNUMBER(F75),ISNUMBER(M75)),IF(OR(M75&gt;0,AND(M75&lt;0,F75&lt;0)),F75/M75-1,"n/m"),"n/a")</f>
        <v>0.0868475991649269</v>
      </c>
      <c r="G76" s="18">
        <f>IF(AND(ISNUMBER(G75),ISNUMBER(N75)),IF(OR(N75&gt;0,AND(N75&lt;0,G75&lt;0)),G75/N75-1,"n/m"),"n/a")</f>
        <v>0.05701266948210715</v>
      </c>
      <c r="H76" s="21">
        <f>IF(AND(ISNUMBER(H75),ISNUMBER(C75)),IF(OR(C75&gt;0,AND(C75&lt;0,H75&lt;0)),H75/C75-1,"n/m"),"n/a")</f>
        <v>0.06195813946731232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20" t="s">
        <v>99</v>
      </c>
      <c r="C77" s="18">
        <f>IF(AND(ISNUMBER(C75),ISNUMBER(M75)),IF(OR(M75&gt;0,AND(M75&lt;0,C75&lt;0)),C75/M75-1,"n/m"),"n/a")</f>
        <v>0.034655532359081365</v>
      </c>
      <c r="D77" s="18">
        <f>IF(AND(ISNUMBER(D75),ISNUMBER(C75)),IF(OR(C75&gt;0,AND(C75&lt;0,D75&lt;0)),D75/C75-1,"n/m"),"n/a")</f>
        <v>-0.04156577885391444</v>
      </c>
      <c r="E77" s="18">
        <f>IF(AND(ISNUMBER(E75),ISNUMBER(D75)),IF(OR(D75&gt;0,AND(D75&lt;0,E75&lt;0)),E75/D75-1,"n/m"),"n/a")</f>
        <v>0.05515789473684207</v>
      </c>
      <c r="F77" s="18">
        <f>IF(AND(ISNUMBER(F75),ISNUMBER(E75)),IF(OR(E75&gt;0,AND(E75&lt;0,F75&lt;0)),F75/E75-1,"n/m"),"n/a")</f>
        <v>0.03870710295291291</v>
      </c>
      <c r="G77" s="18" t="s">
        <v>100</v>
      </c>
      <c r="H77" s="21">
        <f>IF(AND(ISNUMBER(H75),ISNUMBER(F75)),IF(OR(F75&gt;0,AND(F75&lt;0,H75&lt;0)),H75/F75-1,"n/m"),"n/a")</f>
        <v>0.010961302189780975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8" t="s">
        <v>101</v>
      </c>
      <c r="C78" s="2">
        <f>IF(AND(ISNUMBER(C75),ISNUMBER(M75)),C75-M75,"n/a")</f>
        <v>83</v>
      </c>
      <c r="D78" s="2">
        <f>IF(AND(ISNUMBER(D75),ISNUMBER(C75)),D75-C75,"n/a")</f>
        <v>-103</v>
      </c>
      <c r="E78" s="2">
        <f>IF(AND(ISNUMBER(E75),ISNUMBER(D75)),E75-D75,"n/a")</f>
        <v>131</v>
      </c>
      <c r="F78" s="2">
        <f>IF(AND(ISNUMBER(F75),ISNUMBER(E75)),F75-E75,"n/a")</f>
        <v>97</v>
      </c>
      <c r="G78" s="2" t="s">
        <v>100</v>
      </c>
      <c r="H78" s="7">
        <f>IF(AND(ISNUMBER(H75),ISNUMBER(F75)),H75-F75,"n/a")</f>
        <v>28.532269599999836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0" t="s">
        <v>171</v>
      </c>
      <c r="C79" s="18">
        <f>IF(AND(ISNUMBER(C75),ISNUMBER(C56)),C75/C56,"n/a")</f>
        <v>0.7383790226460072</v>
      </c>
      <c r="D79" s="18">
        <f>IF(AND(ISNUMBER(D75),ISNUMBER(D56)),D75/D56,"n/a")</f>
        <v>0.7513445112306232</v>
      </c>
      <c r="E79" s="18">
        <f>IF(AND(ISNUMBER(E75),ISNUMBER(E56)),E75/E56,"n/a")</f>
        <v>0.7310385064177363</v>
      </c>
      <c r="F79" s="18">
        <f>IF(AND(ISNUMBER(F75),ISNUMBER(F56)),F75/F56,"n/a")</f>
        <v>0.7445652173913043</v>
      </c>
      <c r="G79" s="18">
        <f>IF(AND(ISNUMBER(G75),ISNUMBER(G56)),G75/G56,"n/a")</f>
        <v>0.7299869521835904</v>
      </c>
      <c r="H79" s="21">
        <f>IF(AND(ISNUMBER(H75),ISNUMBER(H56)),H75/H56,"n/a")</f>
        <v>0.741</v>
      </c>
      <c r="I79" s="1"/>
      <c r="J79" s="18">
        <f>IF(AND(ISNUMBER(J75),ISNUMBER(J56)),J75/J56,"n/a")</f>
        <v>0.71869918699187</v>
      </c>
      <c r="K79" s="18">
        <f>IF(AND(ISNUMBER(K75),ISNUMBER(K56)),K75/K56,"n/a")</f>
        <v>0.7309523809523809</v>
      </c>
      <c r="L79" s="18">
        <f>IF(AND(ISNUMBER(L75),ISNUMBER(L56)),L75/L56,"n/a")</f>
        <v>0.7060842433697347</v>
      </c>
      <c r="M79" s="18">
        <f>IF(AND(ISNUMBER(M75),ISNUMBER(M56)),M75/M56,"n/a")</f>
        <v>0.7242213486543695</v>
      </c>
      <c r="N79" s="18">
        <f>IF(AND(ISNUMBER(N75),ISNUMBER(N56)),N75/N56,"n/a")</f>
        <v>0.7210513662953763</v>
      </c>
      <c r="O79" s="18">
        <f>IF(AND(ISNUMBER(O75),ISNUMBER(O56)),O75/O56,"n/a")</f>
        <v>0.7179997903344166</v>
      </c>
      <c r="P79" s="18">
        <f>IF(AND(ISNUMBER(P75),ISNUMBER(P56)),P75/P56,"n/a")</f>
        <v>0.7231455208755574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37" t="s">
        <v>103</v>
      </c>
      <c r="C80" s="5">
        <f>IF(AND(ISNUMBER(C79),ISNUMBER(J79)),(C79-J79)*10000,"n/a")</f>
        <v>196.79835654137224</v>
      </c>
      <c r="D80" s="5">
        <f>IF(AND(ISNUMBER(D79),ISNUMBER(K79)),(D79-K79)*10000,"n/a")</f>
        <v>203.9213027824227</v>
      </c>
      <c r="E80" s="5">
        <f>IF(AND(ISNUMBER(E79),ISNUMBER(L79)),(E79-L79)*10000,"n/a")</f>
        <v>249.54263048001525</v>
      </c>
      <c r="F80" s="5">
        <f>IF(AND(ISNUMBER(F79),ISNUMBER(M79)),(F79-M79)*10000,"n/a")</f>
        <v>203.43868736934834</v>
      </c>
      <c r="G80" s="5">
        <f>IF(AND(ISNUMBER(G79),ISNUMBER(N79)),(G79-N79)*10000,"n/a")</f>
        <v>89.35585888214193</v>
      </c>
      <c r="H80" s="30">
        <f>IF(AND(ISNUMBER(H79),ISNUMBER(C79)),(H79-C79)*10000,"n/a")</f>
        <v>26.209773539928037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37" t="s">
        <v>104</v>
      </c>
      <c r="C81" s="5">
        <f>IF(AND(ISNUMBER(C79),ISNUMBER(M79)),(C79-M79)*10000,"n/a")</f>
        <v>141.576739916377</v>
      </c>
      <c r="D81" s="5">
        <f>IF(AND(ISNUMBER(D79),ISNUMBER(C79)),(D79-C79)*10000,"n/a")</f>
        <v>129.6548858461599</v>
      </c>
      <c r="E81" s="5">
        <f>IF(AND(ISNUMBER(E79),ISNUMBER(D79)),(E79-D79)*10000,"n/a")</f>
        <v>-203.06004812886914</v>
      </c>
      <c r="F81" s="5">
        <f>IF(AND(ISNUMBER(F79),ISNUMBER(E79)),(F79-E79)*10000,"n/a")</f>
        <v>135.26710973568058</v>
      </c>
      <c r="G81" s="5" t="s">
        <v>100</v>
      </c>
      <c r="H81" s="30">
        <f>IF(AND(ISNUMBER(H79),ISNUMBER(F79)),(H79-F79)*10000,"n/a")</f>
        <v>-35.65217391304331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0" t="s">
        <v>105</v>
      </c>
      <c r="C82" s="18" t="s">
        <v>106</v>
      </c>
      <c r="D82" s="18" t="s">
        <v>106</v>
      </c>
      <c r="E82" s="18" t="s">
        <v>106</v>
      </c>
      <c r="F82" s="18" t="s">
        <v>106</v>
      </c>
      <c r="G82" s="18" t="s">
        <v>106</v>
      </c>
      <c r="H82" s="21" t="s">
        <v>106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0" t="s">
        <v>107</v>
      </c>
      <c r="C83" s="18" t="s">
        <v>106</v>
      </c>
      <c r="D83" s="18" t="s">
        <v>106</v>
      </c>
      <c r="E83" s="18" t="s">
        <v>106</v>
      </c>
      <c r="F83" s="18" t="s">
        <v>106</v>
      </c>
      <c r="G83" s="18" t="s">
        <v>106</v>
      </c>
      <c r="H83" s="21" t="s">
        <v>106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20" t="s">
        <v>108</v>
      </c>
      <c r="C84" s="18" t="str">
        <f>IF(AND(ISNUMBER(C76),ISNUMBER(C82),ISNUMBER(C83)),(1+C76)/((1+C82)*(1+C83))-1,"n/a")</f>
        <v>n/a</v>
      </c>
      <c r="D84" s="18" t="str">
        <f>IF(AND(ISNUMBER(D76),ISNUMBER(D82),ISNUMBER(D83)),(1+D76)/((1+D82)*(1+D83))-1,"n/a")</f>
        <v>n/a</v>
      </c>
      <c r="E84" s="18" t="str">
        <f>IF(AND(ISNUMBER(E76),ISNUMBER(E82),ISNUMBER(E83)),(1+E76)/((1+E82)*(1+E83))-1,"n/a")</f>
        <v>n/a</v>
      </c>
      <c r="F84" s="18" t="str">
        <f>IF(AND(ISNUMBER(F76),ISNUMBER(F82),ISNUMBER(F83)),(1+F76)/((1+F82)*(1+F83))-1,"n/a")</f>
        <v>n/a</v>
      </c>
      <c r="G84" s="18" t="str">
        <f>IF(AND(ISNUMBER(G76),ISNUMBER(G82),ISNUMBER(G83)),(1+G76)/((1+G82)*(1+G83))-1,"n/a")</f>
        <v>n/a</v>
      </c>
      <c r="H84" s="21" t="str">
        <f>IF(AND(ISNUMBER(H76),ISNUMBER(H82),ISNUMBER(H83)),(1+H76)/((1+H82)*(1+H83))-1,"n/a")</f>
        <v>n/a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46" t="s">
        <v>172</v>
      </c>
      <c r="C85" s="14">
        <f>C65+C75</f>
        <v>3356</v>
      </c>
      <c r="D85" s="14">
        <f>D65+D75</f>
        <v>3161</v>
      </c>
      <c r="E85" s="14">
        <f>E65+E75</f>
        <v>3428</v>
      </c>
      <c r="F85" s="14">
        <f>F65+F75</f>
        <v>3496</v>
      </c>
      <c r="G85" s="14">
        <f>G65+G75</f>
        <v>13029</v>
      </c>
      <c r="H85" s="48">
        <f>H65+H75</f>
        <v>3551.3255999999997</v>
      </c>
      <c r="I85" s="1"/>
      <c r="J85" s="14">
        <f>J65+J75</f>
        <v>3075</v>
      </c>
      <c r="K85" s="14">
        <f>K65+K75</f>
        <v>2940</v>
      </c>
      <c r="L85" s="14">
        <f>L65+L75</f>
        <v>3205</v>
      </c>
      <c r="M85" s="14">
        <f>M65+M75</f>
        <v>3307</v>
      </c>
      <c r="N85" s="14">
        <f>N65+N75</f>
        <v>12479</v>
      </c>
      <c r="O85" s="14">
        <f>O65+O75</f>
        <v>9539</v>
      </c>
      <c r="P85" s="14">
        <f>P65+P75</f>
        <v>9868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1" t="s">
        <v>173</v>
      </c>
      <c r="C86" s="19">
        <f>C85-C56</f>
        <v>0</v>
      </c>
      <c r="D86" s="19">
        <f>D85-D56</f>
        <v>0</v>
      </c>
      <c r="E86" s="19">
        <f>E85-E56</f>
        <v>0</v>
      </c>
      <c r="F86" s="19">
        <f>F85-F56</f>
        <v>0</v>
      </c>
      <c r="G86" s="19">
        <f>G85-G56</f>
        <v>0</v>
      </c>
      <c r="H86" s="49">
        <f>H85-H56</f>
        <v>0</v>
      </c>
      <c r="I86" s="1"/>
      <c r="J86" s="19">
        <f>J85-J56</f>
        <v>0</v>
      </c>
      <c r="K86" s="19">
        <f>K85-K56</f>
        <v>0</v>
      </c>
      <c r="L86" s="19">
        <f>L85-L56</f>
        <v>0</v>
      </c>
      <c r="M86" s="19">
        <f>M85-M56</f>
        <v>0</v>
      </c>
      <c r="N86" s="19">
        <f>N85-N56</f>
        <v>0</v>
      </c>
      <c r="O86" s="19">
        <f>O85-O56</f>
        <v>0</v>
      </c>
      <c r="P86" s="19">
        <f>P85-P56</f>
        <v>0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3" t="s">
        <v>174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1"/>
      <c r="T88" s="1"/>
      <c r="U88" s="1"/>
      <c r="V88" s="1"/>
      <c r="W88" s="1"/>
      <c r="X88" s="1"/>
      <c r="Y88" s="1"/>
      <c r="Z88" s="1"/>
    </row>
    <row r="89">
      <c r="A89" s="1"/>
      <c r="B89" s="4" t="s">
        <v>175</v>
      </c>
      <c r="C89" s="3">
        <v>3293</v>
      </c>
      <c r="D89" s="2">
        <f>G89-P89</f>
        <v>3136</v>
      </c>
      <c r="E89" s="3">
        <v>3337</v>
      </c>
      <c r="F89" s="3">
        <v>3409</v>
      </c>
      <c r="G89" s="3">
        <v>12785</v>
      </c>
      <c r="H89" s="7">
        <f>H56*H93</f>
        <v>3480.2990879999998</v>
      </c>
      <c r="I89" s="1"/>
      <c r="J89" s="3">
        <v>3081</v>
      </c>
      <c r="K89" s="2">
        <f>N89-O89</f>
        <v>2868</v>
      </c>
      <c r="L89" s="3">
        <v>3129</v>
      </c>
      <c r="M89" s="3">
        <v>3227</v>
      </c>
      <c r="N89" s="3">
        <v>12218</v>
      </c>
      <c r="O89" s="3">
        <v>9350</v>
      </c>
      <c r="P89" s="3">
        <v>9649</v>
      </c>
      <c r="Q89" s="1"/>
      <c r="R89" s="9" t="s">
        <v>161</v>
      </c>
      <c r="S89" s="1"/>
      <c r="T89" s="1"/>
      <c r="U89" s="1"/>
      <c r="V89" s="1"/>
      <c r="W89" s="1"/>
      <c r="X89" s="1"/>
      <c r="Y89" s="1"/>
      <c r="Z89" s="1"/>
    </row>
    <row r="90">
      <c r="A90" s="1"/>
      <c r="B90" s="20" t="s">
        <v>98</v>
      </c>
      <c r="C90" s="18">
        <f>IF(AND(ISNUMBER(C89),ISNUMBER(J89)),IF(OR(J89&gt;0,AND(J89&lt;0,C89&lt;0)),C89/J89-1,"n/m"),"n/a")</f>
        <v>0.06880882830249924</v>
      </c>
      <c r="D90" s="18">
        <f>IF(AND(ISNUMBER(D89),ISNUMBER(K89)),IF(OR(K89&gt;0,AND(K89&lt;0,D89&lt;0)),D89/K89-1,"n/m"),"n/a")</f>
        <v>0.0934449093444909</v>
      </c>
      <c r="E90" s="18">
        <f>IF(AND(ISNUMBER(E89),ISNUMBER(L89)),IF(OR(L89&gt;0,AND(L89&lt;0,E89&lt;0)),E89/L89-1,"n/m"),"n/a")</f>
        <v>0.0664749121124959</v>
      </c>
      <c r="F90" s="18">
        <f>IF(AND(ISNUMBER(F89),ISNUMBER(M89)),IF(OR(M89&gt;0,AND(M89&lt;0,F89&lt;0)),F89/M89-1,"n/m"),"n/a")</f>
        <v>0.05639913232104132</v>
      </c>
      <c r="G90" s="18">
        <f>IF(AND(ISNUMBER(G89),ISNUMBER(N89)),IF(OR(N89&gt;0,AND(N89&lt;0,G89&lt;0)),G89/N89-1,"n/m"),"n/a")</f>
        <v>0.04640694057947292</v>
      </c>
      <c r="H90" s="21">
        <f>IF(AND(ISNUMBER(H89),ISNUMBER(C89)),IF(OR(C89&gt;0,AND(C89&lt;0,H89&lt;0)),H89/C89-1,"n/m"),"n/a")</f>
        <v>0.056877949590039334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20" t="s">
        <v>99</v>
      </c>
      <c r="C91" s="18">
        <f>IF(AND(ISNUMBER(C89),ISNUMBER(M89)),IF(OR(M89&gt;0,AND(M89&lt;0,C89&lt;0)),C89/M89-1,"n/m"),"n/a")</f>
        <v>0.02045243259993801</v>
      </c>
      <c r="D91" s="18">
        <f>IF(AND(ISNUMBER(D89),ISNUMBER(C89)),IF(OR(C89&gt;0,AND(C89&lt;0,D89&lt;0)),D89/C89-1,"n/m"),"n/a")</f>
        <v>-0.04767689037351963</v>
      </c>
      <c r="E91" s="18">
        <f>IF(AND(ISNUMBER(E89),ISNUMBER(D89)),IF(OR(D89&gt;0,AND(D89&lt;0,E89&lt;0)),E89/D89-1,"n/m"),"n/a")</f>
        <v>0.06409438775510212</v>
      </c>
      <c r="F91" s="18">
        <f>IF(AND(ISNUMBER(F89),ISNUMBER(E89)),IF(OR(E89&gt;0,AND(E89&lt;0,F89&lt;0)),F89/E89-1,"n/m"),"n/a")</f>
        <v>0.021576266107282027</v>
      </c>
      <c r="G91" s="18" t="s">
        <v>100</v>
      </c>
      <c r="H91" s="21">
        <f>IF(AND(ISNUMBER(H89),ISNUMBER(F89)),IF(OR(F89&gt;0,AND(F89&lt;0,H89&lt;0)),H89/F89-1,"n/m"),"n/a")</f>
        <v>0.020914956878850033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8" t="s">
        <v>101</v>
      </c>
      <c r="C92" s="2">
        <f>IF(AND(ISNUMBER(C89),ISNUMBER(M89)),C89-M89,"n/a")</f>
        <v>66</v>
      </c>
      <c r="D92" s="2">
        <f>IF(AND(ISNUMBER(D89),ISNUMBER(C89)),D89-C89,"n/a")</f>
        <v>-157</v>
      </c>
      <c r="E92" s="2">
        <f>IF(AND(ISNUMBER(E89),ISNUMBER(D89)),E89-D89,"n/a")</f>
        <v>201</v>
      </c>
      <c r="F92" s="2">
        <f>IF(AND(ISNUMBER(F89),ISNUMBER(E89)),F89-E89,"n/a")</f>
        <v>72</v>
      </c>
      <c r="G92" s="2" t="s">
        <v>100</v>
      </c>
      <c r="H92" s="7">
        <f>IF(AND(ISNUMBER(H89),ISNUMBER(F89)),H89-F89,"n/a")</f>
        <v>71.29908799999976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20" t="s">
        <v>176</v>
      </c>
      <c r="C93" s="18">
        <f>IF(AND(ISNUMBER(C89),ISNUMBER(C56)),C89/C56,"n/a")</f>
        <v>0.981227651966627</v>
      </c>
      <c r="D93" s="18">
        <f>IF(AND(ISNUMBER(D89),ISNUMBER(D56)),D89/D56,"n/a")</f>
        <v>0.9920911104080987</v>
      </c>
      <c r="E93" s="18">
        <f>IF(AND(ISNUMBER(E89),ISNUMBER(E56)),E89/E56,"n/a")</f>
        <v>0.9734539089848308</v>
      </c>
      <c r="F93" s="18">
        <f>IF(AND(ISNUMBER(F89),ISNUMBER(F56)),F89/F56,"n/a")</f>
        <v>0.9751144164759725</v>
      </c>
      <c r="G93" s="18">
        <f>IF(AND(ISNUMBER(G89),ISNUMBER(G56)),G89/G56,"n/a")</f>
        <v>0.9812725458592371</v>
      </c>
      <c r="H93" s="32">
        <v>0.98</v>
      </c>
      <c r="I93" s="1"/>
      <c r="J93" s="18">
        <f>IF(AND(ISNUMBER(J89),ISNUMBER(J56)),J89/J56,"n/a")</f>
        <v>1.0019512195121951</v>
      </c>
      <c r="K93" s="18">
        <f>IF(AND(ISNUMBER(K89),ISNUMBER(K56)),K89/K56,"n/a")</f>
        <v>0.9755102040816327</v>
      </c>
      <c r="L93" s="18">
        <f>IF(AND(ISNUMBER(L89),ISNUMBER(L56)),L89/L56,"n/a")</f>
        <v>0.9762870514820593</v>
      </c>
      <c r="M93" s="18">
        <f>IF(AND(ISNUMBER(M89),ISNUMBER(M56)),M89/M56,"n/a")</f>
        <v>0.9758088902328395</v>
      </c>
      <c r="N93" s="18">
        <f>IF(AND(ISNUMBER(N89),ISNUMBER(N56)),N89/N56,"n/a")</f>
        <v>0.9790848625691161</v>
      </c>
      <c r="O93" s="18">
        <f>IF(AND(ISNUMBER(O89),ISNUMBER(O56)),O89/O56,"n/a")</f>
        <v>0.9801866023692211</v>
      </c>
      <c r="P93" s="18">
        <f>IF(AND(ISNUMBER(P89),ISNUMBER(P56)),P89/P56,"n/a")</f>
        <v>0.9778070531009323</v>
      </c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37" t="s">
        <v>103</v>
      </c>
      <c r="C94" s="5">
        <f>IF(AND(ISNUMBER(C93),ISNUMBER(J93)),(C93-J93)*10000,"n/a")</f>
        <v>-207.23567545568145</v>
      </c>
      <c r="D94" s="5">
        <f>IF(AND(ISNUMBER(D93),ISNUMBER(K93)),(D93-K93)*10000,"n/a")</f>
        <v>165.80906326466027</v>
      </c>
      <c r="E94" s="5">
        <f>IF(AND(ISNUMBER(E93),ISNUMBER(L93)),(E93-L93)*10000,"n/a")</f>
        <v>-28.33142497228547</v>
      </c>
      <c r="F94" s="5">
        <f>IF(AND(ISNUMBER(F93),ISNUMBER(M93)),(F93-M93)*10000,"n/a")</f>
        <v>-6.9447375686693125</v>
      </c>
      <c r="G94" s="5">
        <f>IF(AND(ISNUMBER(G93),ISNUMBER(N93)),(G93-N93)*10000,"n/a")</f>
        <v>21.876832901209788</v>
      </c>
      <c r="H94" s="30">
        <f>IF(AND(ISNUMBER(H93),ISNUMBER(C93)),(H93-C93)*10000,"n/a")</f>
        <v>-12.27651966626997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37" t="s">
        <v>104</v>
      </c>
      <c r="C95" s="5">
        <f>IF(AND(ISNUMBER(C93),ISNUMBER(M93)),(C93-M93)*10000,"n/a")</f>
        <v>54.18761733787525</v>
      </c>
      <c r="D95" s="5">
        <f>IF(AND(ISNUMBER(D93),ISNUMBER(C93)),(D93-C93)*10000,"n/a")</f>
        <v>108.63458441471741</v>
      </c>
      <c r="E95" s="5">
        <f>IF(AND(ISNUMBER(E93),ISNUMBER(D93)),(E93-D93)*10000,"n/a")</f>
        <v>-186.37201423267967</v>
      </c>
      <c r="F95" s="5">
        <f>IF(AND(ISNUMBER(F93),ISNUMBER(E93)),(F93-E93)*10000,"n/a")</f>
        <v>16.605074911417717</v>
      </c>
      <c r="G95" s="5" t="s">
        <v>100</v>
      </c>
      <c r="H95" s="30">
        <f>IF(AND(ISNUMBER(H93),ISNUMBER(F93)),(H93-F93)*10000,"n/a")</f>
        <v>48.855835240274594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20" t="s">
        <v>105</v>
      </c>
      <c r="C96" s="18" t="s">
        <v>106</v>
      </c>
      <c r="D96" s="18" t="s">
        <v>106</v>
      </c>
      <c r="E96" s="18" t="s">
        <v>106</v>
      </c>
      <c r="F96" s="18" t="s">
        <v>106</v>
      </c>
      <c r="G96" s="18" t="s">
        <v>106</v>
      </c>
      <c r="H96" s="21" t="s">
        <v>106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20" t="s">
        <v>107</v>
      </c>
      <c r="C97" s="18" t="s">
        <v>106</v>
      </c>
      <c r="D97" s="18" t="s">
        <v>106</v>
      </c>
      <c r="E97" s="18" t="s">
        <v>106</v>
      </c>
      <c r="F97" s="18" t="s">
        <v>106</v>
      </c>
      <c r="G97" s="18" t="s">
        <v>106</v>
      </c>
      <c r="H97" s="21" t="s">
        <v>106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0" t="s">
        <v>108</v>
      </c>
      <c r="C98" s="18" t="str">
        <f>IF(AND(ISNUMBER(C90),ISNUMBER(C96),ISNUMBER(C97)),(1+C90)/((1+C96)*(1+C97))-1,"n/a")</f>
        <v>n/a</v>
      </c>
      <c r="D98" s="18" t="str">
        <f>IF(AND(ISNUMBER(D90),ISNUMBER(D96),ISNUMBER(D97)),(1+D90)/((1+D96)*(1+D97))-1,"n/a")</f>
        <v>n/a</v>
      </c>
      <c r="E98" s="18" t="str">
        <f>IF(AND(ISNUMBER(E90),ISNUMBER(E96),ISNUMBER(E97)),(1+E90)/((1+E96)*(1+E97))-1,"n/a")</f>
        <v>n/a</v>
      </c>
      <c r="F98" s="18" t="str">
        <f>IF(AND(ISNUMBER(F90),ISNUMBER(F96),ISNUMBER(F97)),(1+F90)/((1+F96)*(1+F97))-1,"n/a")</f>
        <v>n/a</v>
      </c>
      <c r="G98" s="18" t="str">
        <f>IF(AND(ISNUMBER(G90),ISNUMBER(G96),ISNUMBER(G97)),(1+G90)/((1+G96)*(1+G97))-1,"n/a")</f>
        <v>n/a</v>
      </c>
      <c r="H98" s="21" t="str">
        <f>IF(AND(ISNUMBER(H90),ISNUMBER(H96),ISNUMBER(H97)),(1+H90)/((1+H96)*(1+H97))-1,"n/a")</f>
        <v>n/a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4" t="s">
        <v>177</v>
      </c>
      <c r="C99" s="3">
        <v>55</v>
      </c>
      <c r="D99" s="2">
        <f>G99-P99</f>
        <v>14</v>
      </c>
      <c r="E99" s="3">
        <v>83</v>
      </c>
      <c r="F99" s="3">
        <v>80</v>
      </c>
      <c r="G99" s="3">
        <v>215</v>
      </c>
      <c r="H99" s="7">
        <f>H56*H103</f>
        <v>60.3725352</v>
      </c>
      <c r="I99" s="1"/>
      <c r="J99" s="3">
        <v>61</v>
      </c>
      <c r="K99" s="2">
        <f>N99-O99</f>
        <v>67</v>
      </c>
      <c r="L99" s="3">
        <v>71</v>
      </c>
      <c r="M99" s="3">
        <v>75</v>
      </c>
      <c r="N99" s="3">
        <v>241</v>
      </c>
      <c r="O99" s="3">
        <v>174</v>
      </c>
      <c r="P99" s="3">
        <v>201</v>
      </c>
      <c r="Q99" s="1"/>
      <c r="R99" s="9" t="s">
        <v>161</v>
      </c>
      <c r="S99" s="1"/>
      <c r="T99" s="1"/>
      <c r="U99" s="1"/>
      <c r="V99" s="1"/>
      <c r="W99" s="1"/>
      <c r="X99" s="1"/>
      <c r="Y99" s="1"/>
      <c r="Z99" s="1"/>
    </row>
    <row r="100">
      <c r="A100" s="1"/>
      <c r="B100" s="20" t="s">
        <v>98</v>
      </c>
      <c r="C100" s="18">
        <f>IF(AND(ISNUMBER(C99),ISNUMBER(J99)),IF(OR(J99&gt;0,AND(J99&lt;0,C99&lt;0)),C99/J99-1,"n/m"),"n/a")</f>
        <v>-0.09836065573770492</v>
      </c>
      <c r="D100" s="18">
        <f>IF(AND(ISNUMBER(D99),ISNUMBER(K99)),IF(OR(K99&gt;0,AND(K99&lt;0,D99&lt;0)),D99/K99-1,"n/m"),"n/a")</f>
        <v>-0.791044776119403</v>
      </c>
      <c r="E100" s="18">
        <f>IF(AND(ISNUMBER(E99),ISNUMBER(L99)),IF(OR(L99&gt;0,AND(L99&lt;0,E99&lt;0)),E99/L99-1,"n/m"),"n/a")</f>
        <v>0.16901408450704225</v>
      </c>
      <c r="F100" s="18">
        <f>IF(AND(ISNUMBER(F99),ISNUMBER(M99)),IF(OR(M99&gt;0,AND(M99&lt;0,F99&lt;0)),F99/M99-1,"n/m"),"n/a")</f>
        <v>0.06666666666666665</v>
      </c>
      <c r="G100" s="18">
        <f>IF(AND(ISNUMBER(G99),ISNUMBER(N99)),IF(OR(N99&gt;0,AND(N99&lt;0,G99&lt;0)),G99/N99-1,"n/m"),"n/a")</f>
        <v>-0.10788381742738584</v>
      </c>
      <c r="H100" s="21">
        <f>IF(AND(ISNUMBER(H99),ISNUMBER(C99)),IF(OR(C99&gt;0,AND(C99&lt;0,H99&lt;0)),H99/C99-1,"n/m"),"n/a")</f>
        <v>0.09768245818181831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20" t="s">
        <v>99</v>
      </c>
      <c r="C101" s="18">
        <f>IF(AND(ISNUMBER(C99),ISNUMBER(M99)),IF(OR(M99&gt;0,AND(M99&lt;0,C99&lt;0)),C99/M99-1,"n/m"),"n/a")</f>
        <v>-0.2666666666666667</v>
      </c>
      <c r="D101" s="18">
        <f>IF(AND(ISNUMBER(D99),ISNUMBER(C99)),IF(OR(C99&gt;0,AND(C99&lt;0,D99&lt;0)),D99/C99-1,"n/m"),"n/a")</f>
        <v>-0.7454545454545455</v>
      </c>
      <c r="E101" s="18">
        <f>IF(AND(ISNUMBER(E99),ISNUMBER(D99)),IF(OR(D99&gt;0,AND(D99&lt;0,E99&lt;0)),E99/D99-1,"n/m"),"n/a")</f>
        <v>4.928571428571429</v>
      </c>
      <c r="F101" s="18">
        <f>IF(AND(ISNUMBER(F99),ISNUMBER(E99)),IF(OR(E99&gt;0,AND(E99&lt;0,F99&lt;0)),F99/E99-1,"n/m"),"n/a")</f>
        <v>-0.03614457831325302</v>
      </c>
      <c r="G101" s="18" t="s">
        <v>100</v>
      </c>
      <c r="H101" s="21">
        <f>IF(AND(ISNUMBER(H99),ISNUMBER(F99)),IF(OR(F99&gt;0,AND(F99&lt;0,H99&lt;0)),H99/F99-1,"n/m"),"n/a")</f>
        <v>-0.24534330999999998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8" t="s">
        <v>101</v>
      </c>
      <c r="C102" s="2">
        <f>IF(AND(ISNUMBER(C99),ISNUMBER(M99)),C99-M99,"n/a")</f>
        <v>-20</v>
      </c>
      <c r="D102" s="2">
        <f>IF(AND(ISNUMBER(D99),ISNUMBER(C99)),D99-C99,"n/a")</f>
        <v>-41</v>
      </c>
      <c r="E102" s="2">
        <f>IF(AND(ISNUMBER(E99),ISNUMBER(D99)),E99-D99,"n/a")</f>
        <v>69</v>
      </c>
      <c r="F102" s="2">
        <f>IF(AND(ISNUMBER(F99),ISNUMBER(E99)),F99-E99,"n/a")</f>
        <v>-3</v>
      </c>
      <c r="G102" s="2" t="s">
        <v>100</v>
      </c>
      <c r="H102" s="7">
        <f>IF(AND(ISNUMBER(H99),ISNUMBER(F99)),H99-F99,"n/a")</f>
        <v>-19.6274648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20" t="s">
        <v>178</v>
      </c>
      <c r="C103" s="18">
        <f>IF(AND(ISNUMBER(C99),ISNUMBER(C56)),C99/C56,"n/a")</f>
        <v>0.016388557806912993</v>
      </c>
      <c r="D103" s="18">
        <f>IF(AND(ISNUMBER(D99),ISNUMBER(D56)),D99/D56,"n/a")</f>
        <v>0.004428978171464726</v>
      </c>
      <c r="E103" s="18">
        <f>IF(AND(ISNUMBER(E99),ISNUMBER(E56)),E99/E56,"n/a")</f>
        <v>0.024212368728121353</v>
      </c>
      <c r="F103" s="18">
        <f>IF(AND(ISNUMBER(F99),ISNUMBER(F56)),F99/F56,"n/a")</f>
        <v>0.02288329519450801</v>
      </c>
      <c r="G103" s="18">
        <f>IF(AND(ISNUMBER(G99),ISNUMBER(G56)),G99/G56,"n/a")</f>
        <v>0.0165016501650165</v>
      </c>
      <c r="H103" s="32">
        <v>0.017</v>
      </c>
      <c r="I103" s="1"/>
      <c r="J103" s="18">
        <f>IF(AND(ISNUMBER(J99),ISNUMBER(J56)),J99/J56,"n/a")</f>
        <v>0.01983739837398374</v>
      </c>
      <c r="K103" s="18">
        <f>IF(AND(ISNUMBER(K99),ISNUMBER(K56)),K99/K56,"n/a")</f>
        <v>0.022789115646258504</v>
      </c>
      <c r="L103" s="18">
        <f>IF(AND(ISNUMBER(L99),ISNUMBER(L56)),L99/L56,"n/a")</f>
        <v>0.02215288611544462</v>
      </c>
      <c r="M103" s="18">
        <f>IF(AND(ISNUMBER(M99),ISNUMBER(M56)),M99/M56,"n/a")</f>
        <v>0.022679165406713032</v>
      </c>
      <c r="N103" s="18">
        <f>IF(AND(ISNUMBER(N99),ISNUMBER(N56)),N99/N56,"n/a")</f>
        <v>0.019312444907444506</v>
      </c>
      <c r="O103" s="18">
        <f>IF(AND(ISNUMBER(O99),ISNUMBER(O56)),O99/O56,"n/a")</f>
        <v>0.018240905755320263</v>
      </c>
      <c r="P103" s="18">
        <f>IF(AND(ISNUMBER(P99),ISNUMBER(P56)),P99/P56,"n/a")</f>
        <v>0.02036886907174706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37" t="s">
        <v>103</v>
      </c>
      <c r="C104" s="5">
        <f>IF(AND(ISNUMBER(C103),ISNUMBER(J103)),(C103-J103)*10000,"n/a")</f>
        <v>-34.488405670707465</v>
      </c>
      <c r="D104" s="5">
        <f>IF(AND(ISNUMBER(D103),ISNUMBER(K103)),(D103-K103)*10000,"n/a")</f>
        <v>-183.6013747479378</v>
      </c>
      <c r="E104" s="5">
        <f>IF(AND(ISNUMBER(E103),ISNUMBER(L103)),(E103-L103)*10000,"n/a")</f>
        <v>20.594826126767337</v>
      </c>
      <c r="F104" s="5">
        <f>IF(AND(ISNUMBER(F103),ISNUMBER(M103)),(F103-M103)*10000,"n/a")</f>
        <v>2.041297877949759</v>
      </c>
      <c r="G104" s="5">
        <f>IF(AND(ISNUMBER(G103),ISNUMBER(N103)),(G103-N103)*10000,"n/a")</f>
        <v>-28.107947424280063</v>
      </c>
      <c r="H104" s="30">
        <f>IF(AND(ISNUMBER(H103),ISNUMBER(C103)),(H103-C103)*10000,"n/a")</f>
        <v>6.114421930870084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37" t="s">
        <v>104</v>
      </c>
      <c r="C105" s="5">
        <f>IF(AND(ISNUMBER(C103),ISNUMBER(M103)),(C103-M103)*10000,"n/a")</f>
        <v>-62.9060759980004</v>
      </c>
      <c r="D105" s="5">
        <f>IF(AND(ISNUMBER(D103),ISNUMBER(C103)),(D103-C103)*10000,"n/a")</f>
        <v>-119.59579635448267</v>
      </c>
      <c r="E105" s="5">
        <f>IF(AND(ISNUMBER(E103),ISNUMBER(D103)),(E103-D103)*10000,"n/a")</f>
        <v>197.83390556656627</v>
      </c>
      <c r="F105" s="5">
        <f>IF(AND(ISNUMBER(F103),ISNUMBER(E103)),(F103-E103)*10000,"n/a")</f>
        <v>-13.290735336133446</v>
      </c>
      <c r="G105" s="5" t="s">
        <v>100</v>
      </c>
      <c r="H105" s="30">
        <f>IF(AND(ISNUMBER(H103),ISNUMBER(F103)),(H103-F103)*10000,"n/a")</f>
        <v>-58.83295194508007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0" t="s">
        <v>105</v>
      </c>
      <c r="C106" s="18" t="s">
        <v>106</v>
      </c>
      <c r="D106" s="18" t="s">
        <v>106</v>
      </c>
      <c r="E106" s="18" t="s">
        <v>106</v>
      </c>
      <c r="F106" s="18" t="s">
        <v>106</v>
      </c>
      <c r="G106" s="18" t="s">
        <v>106</v>
      </c>
      <c r="H106" s="21" t="s">
        <v>106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20" t="s">
        <v>107</v>
      </c>
      <c r="C107" s="18" t="s">
        <v>106</v>
      </c>
      <c r="D107" s="18" t="s">
        <v>106</v>
      </c>
      <c r="E107" s="18" t="s">
        <v>106</v>
      </c>
      <c r="F107" s="18" t="s">
        <v>106</v>
      </c>
      <c r="G107" s="18" t="s">
        <v>106</v>
      </c>
      <c r="H107" s="21" t="s">
        <v>106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20" t="s">
        <v>108</v>
      </c>
      <c r="C108" s="18" t="str">
        <f>IF(AND(ISNUMBER(C100),ISNUMBER(C106),ISNUMBER(C107)),(1+C100)/((1+C106)*(1+C107))-1,"n/a")</f>
        <v>n/a</v>
      </c>
      <c r="D108" s="18" t="str">
        <f>IF(AND(ISNUMBER(D100),ISNUMBER(D106),ISNUMBER(D107)),(1+D100)/((1+D106)*(1+D107))-1,"n/a")</f>
        <v>n/a</v>
      </c>
      <c r="E108" s="18" t="str">
        <f>IF(AND(ISNUMBER(E100),ISNUMBER(E106),ISNUMBER(E107)),(1+E100)/((1+E106)*(1+E107))-1,"n/a")</f>
        <v>n/a</v>
      </c>
      <c r="F108" s="18" t="str">
        <f>IF(AND(ISNUMBER(F100),ISNUMBER(F106),ISNUMBER(F107)),(1+F100)/((1+F106)*(1+F107))-1,"n/a")</f>
        <v>n/a</v>
      </c>
      <c r="G108" s="18" t="str">
        <f>IF(AND(ISNUMBER(G100),ISNUMBER(G106),ISNUMBER(G107)),(1+G100)/((1+G106)*(1+G107))-1,"n/a")</f>
        <v>n/a</v>
      </c>
      <c r="H108" s="21" t="str">
        <f>IF(AND(ISNUMBER(H100),ISNUMBER(H106),ISNUMBER(H107)),(1+H100)/((1+H106)*(1+H107))-1,"n/a")</f>
        <v>n/a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4" t="s">
        <v>179</v>
      </c>
      <c r="C109" s="3">
        <v>8</v>
      </c>
      <c r="D109" s="2">
        <f>G109-P109</f>
        <v>11</v>
      </c>
      <c r="E109" s="3">
        <v>8</v>
      </c>
      <c r="F109" s="3">
        <v>7</v>
      </c>
      <c r="G109" s="3">
        <v>29</v>
      </c>
      <c r="H109" s="7">
        <f>H56-H89-H99</f>
        <v>10.65397679999991</v>
      </c>
      <c r="I109" s="1"/>
      <c r="J109" s="3">
        <v>-67</v>
      </c>
      <c r="K109" s="2">
        <f>N109-O109</f>
        <v>5</v>
      </c>
      <c r="L109" s="3">
        <v>5</v>
      </c>
      <c r="M109" s="3">
        <v>5</v>
      </c>
      <c r="N109" s="3">
        <v>20</v>
      </c>
      <c r="O109" s="3">
        <v>15</v>
      </c>
      <c r="P109" s="3">
        <v>18</v>
      </c>
      <c r="Q109" s="1"/>
      <c r="R109" s="9" t="s">
        <v>161</v>
      </c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20" t="s">
        <v>98</v>
      </c>
      <c r="C110" s="18" t="str">
        <f>IF(AND(ISNUMBER(C109),ISNUMBER(J109)),IF(OR(J109&gt;0,AND(J109&lt;0,C109&lt;0)),C109/J109-1,"n/m"),"n/a")</f>
        <v>n/m</v>
      </c>
      <c r="D110" s="18">
        <f>IF(AND(ISNUMBER(D109),ISNUMBER(K109)),IF(OR(K109&gt;0,AND(K109&lt;0,D109&lt;0)),D109/K109-1,"n/m"),"n/a")</f>
        <v>1.2000000000000002</v>
      </c>
      <c r="E110" s="18">
        <f>IF(AND(ISNUMBER(E109),ISNUMBER(L109)),IF(OR(L109&gt;0,AND(L109&lt;0,E109&lt;0)),E109/L109-1,"n/m"),"n/a")</f>
        <v>0.6000000000000001</v>
      </c>
      <c r="F110" s="18">
        <f>IF(AND(ISNUMBER(F109),ISNUMBER(M109)),IF(OR(M109&gt;0,AND(M109&lt;0,F109&lt;0)),F109/M109-1,"n/m"),"n/a")</f>
        <v>0.3999999999999999</v>
      </c>
      <c r="G110" s="18">
        <f>IF(AND(ISNUMBER(G109),ISNUMBER(N109)),IF(OR(N109&gt;0,AND(N109&lt;0,G109&lt;0)),G109/N109-1,"n/m"),"n/a")</f>
        <v>0.44999999999999996</v>
      </c>
      <c r="H110" s="21">
        <f>IF(AND(ISNUMBER(H109),ISNUMBER(C109)),IF(OR(C109&gt;0,AND(C109&lt;0,H109&lt;0)),H109/C109-1,"n/m"),"n/a")</f>
        <v>0.33174709999998875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20" t="s">
        <v>99</v>
      </c>
      <c r="C111" s="18">
        <f>IF(AND(ISNUMBER(C109),ISNUMBER(M109)),IF(OR(M109&gt;0,AND(M109&lt;0,C109&lt;0)),C109/M109-1,"n/m"),"n/a")</f>
        <v>0.6000000000000001</v>
      </c>
      <c r="D111" s="18">
        <f>IF(AND(ISNUMBER(D109),ISNUMBER(C109)),IF(OR(C109&gt;0,AND(C109&lt;0,D109&lt;0)),D109/C109-1,"n/m"),"n/a")</f>
        <v>0.375</v>
      </c>
      <c r="E111" s="18">
        <f>IF(AND(ISNUMBER(E109),ISNUMBER(D109)),IF(OR(D109&gt;0,AND(D109&lt;0,E109&lt;0)),E109/D109-1,"n/m"),"n/a")</f>
        <v>-0.2727272727272727</v>
      </c>
      <c r="F111" s="18">
        <f>IF(AND(ISNUMBER(F109),ISNUMBER(E109)),IF(OR(E109&gt;0,AND(E109&lt;0,F109&lt;0)),F109/E109-1,"n/m"),"n/a")</f>
        <v>-0.125</v>
      </c>
      <c r="G111" s="18" t="s">
        <v>100</v>
      </c>
      <c r="H111" s="21">
        <f>IF(AND(ISNUMBER(H109),ISNUMBER(F109)),IF(OR(F109&gt;0,AND(F109&lt;0,H109&lt;0)),H109/F109-1,"n/m"),"n/a")</f>
        <v>0.5219966857142728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8" t="s">
        <v>101</v>
      </c>
      <c r="C112" s="2">
        <f>IF(AND(ISNUMBER(C109),ISNUMBER(M109)),C109-M109,"n/a")</f>
        <v>3</v>
      </c>
      <c r="D112" s="2">
        <f>IF(AND(ISNUMBER(D109),ISNUMBER(C109)),D109-C109,"n/a")</f>
        <v>3</v>
      </c>
      <c r="E112" s="2">
        <f>IF(AND(ISNUMBER(E109),ISNUMBER(D109)),E109-D109,"n/a")</f>
        <v>-3</v>
      </c>
      <c r="F112" s="2">
        <f>IF(AND(ISNUMBER(F109),ISNUMBER(E109)),F109-E109,"n/a")</f>
        <v>-1</v>
      </c>
      <c r="G112" s="2" t="s">
        <v>100</v>
      </c>
      <c r="H112" s="7">
        <f>IF(AND(ISNUMBER(H109),ISNUMBER(F109)),H109-F109,"n/a")</f>
        <v>3.65397679999991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20" t="s">
        <v>180</v>
      </c>
      <c r="C113" s="18">
        <f>IF(AND(ISNUMBER(C109),ISNUMBER(C56)),C109/C56,"n/a")</f>
        <v>0.0023837902264600714</v>
      </c>
      <c r="D113" s="18">
        <f>IF(AND(ISNUMBER(D109),ISNUMBER(D56)),D109/D56,"n/a")</f>
        <v>0.0034799114204365706</v>
      </c>
      <c r="E113" s="18">
        <f>IF(AND(ISNUMBER(E109),ISNUMBER(E56)),E109/E56,"n/a")</f>
        <v>0.002333722287047841</v>
      </c>
      <c r="F113" s="18">
        <f>IF(AND(ISNUMBER(F109),ISNUMBER(F56)),F109/F56,"n/a")</f>
        <v>0.002002288329519451</v>
      </c>
      <c r="G113" s="18">
        <f>IF(AND(ISNUMBER(G109),ISNUMBER(G56)),G109/G56,"n/a")</f>
        <v>0.0022258039757464118</v>
      </c>
      <c r="H113" s="21">
        <f>IF(AND(ISNUMBER(H109),ISNUMBER(H56)),H109/H56,"n/a")</f>
        <v>0.002999999999999975</v>
      </c>
      <c r="I113" s="1"/>
      <c r="J113" s="18">
        <f>IF(AND(ISNUMBER(J109),ISNUMBER(J56)),J109/J56,"n/a")</f>
        <v>-0.021788617886178863</v>
      </c>
      <c r="K113" s="18">
        <f>IF(AND(ISNUMBER(K109),ISNUMBER(K56)),K109/K56,"n/a")</f>
        <v>0.0017006802721088435</v>
      </c>
      <c r="L113" s="18">
        <f>IF(AND(ISNUMBER(L109),ISNUMBER(L56)),L109/L56,"n/a")</f>
        <v>0.0015600624024961</v>
      </c>
      <c r="M113" s="18">
        <f>IF(AND(ISNUMBER(M109),ISNUMBER(M56)),M109/M56,"n/a")</f>
        <v>0.0015119443604475356</v>
      </c>
      <c r="N113" s="18">
        <f>IF(AND(ISNUMBER(N109),ISNUMBER(N56)),N109/N56,"n/a")</f>
        <v>0.0016026925234393782</v>
      </c>
      <c r="O113" s="18">
        <f>IF(AND(ISNUMBER(O109),ISNUMBER(O56)),O109/O56,"n/a")</f>
        <v>0.0015724918754586434</v>
      </c>
      <c r="P113" s="18">
        <f>IF(AND(ISNUMBER(P109),ISNUMBER(P56)),P109/P56,"n/a")</f>
        <v>0.0018240778273206323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37" t="s">
        <v>103</v>
      </c>
      <c r="C114" s="5">
        <f>IF(AND(ISNUMBER(C113),ISNUMBER(J113)),(C113-J113)*10000,"n/a")</f>
        <v>241.72408112638934</v>
      </c>
      <c r="D114" s="5">
        <f>IF(AND(ISNUMBER(D113),ISNUMBER(K113)),(D113-K113)*10000,"n/a")</f>
        <v>17.79231148327727</v>
      </c>
      <c r="E114" s="5">
        <f>IF(AND(ISNUMBER(E113),ISNUMBER(L113)),(E113-L113)*10000,"n/a")</f>
        <v>7.736598845517412</v>
      </c>
      <c r="F114" s="5">
        <f>IF(AND(ISNUMBER(F113),ISNUMBER(M113)),(F113-M113)*10000,"n/a")</f>
        <v>4.903439690719153</v>
      </c>
      <c r="G114" s="5">
        <f>IF(AND(ISNUMBER(G113),ISNUMBER(N113)),(G113-N113)*10000,"n/a")</f>
        <v>6.231114523070336</v>
      </c>
      <c r="H114" s="30">
        <f>IF(AND(ISNUMBER(H113),ISNUMBER(C113)),(H113-C113)*10000,"n/a")</f>
        <v>6.162097735399035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37" t="s">
        <v>104</v>
      </c>
      <c r="C115" s="5">
        <f>IF(AND(ISNUMBER(C113),ISNUMBER(M113)),(C113-M113)*10000,"n/a")</f>
        <v>8.718458660125357</v>
      </c>
      <c r="D115" s="5">
        <f>IF(AND(ISNUMBER(D113),ISNUMBER(C113)),(D113-C113)*10000,"n/a")</f>
        <v>10.961211939764992</v>
      </c>
      <c r="E115" s="5">
        <f>IF(AND(ISNUMBER(E113),ISNUMBER(D113)),(E113-D113)*10000,"n/a")</f>
        <v>-11.461891333887294</v>
      </c>
      <c r="F115" s="5">
        <f>IF(AND(ISNUMBER(F113),ISNUMBER(E113)),(F113-E113)*10000,"n/a")</f>
        <v>-3.3143395752839027</v>
      </c>
      <c r="G115" s="5" t="s">
        <v>100</v>
      </c>
      <c r="H115" s="30">
        <f>IF(AND(ISNUMBER(H113),ISNUMBER(F113)),(H113-F113)*10000,"n/a")</f>
        <v>9.97711670480524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20" t="s">
        <v>105</v>
      </c>
      <c r="C116" s="18" t="s">
        <v>106</v>
      </c>
      <c r="D116" s="18" t="s">
        <v>106</v>
      </c>
      <c r="E116" s="18" t="s">
        <v>106</v>
      </c>
      <c r="F116" s="18" t="s">
        <v>106</v>
      </c>
      <c r="G116" s="18" t="s">
        <v>106</v>
      </c>
      <c r="H116" s="21" t="s">
        <v>106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20" t="s">
        <v>107</v>
      </c>
      <c r="C117" s="18" t="s">
        <v>106</v>
      </c>
      <c r="D117" s="18" t="s">
        <v>106</v>
      </c>
      <c r="E117" s="18" t="s">
        <v>106</v>
      </c>
      <c r="F117" s="18" t="s">
        <v>106</v>
      </c>
      <c r="G117" s="18" t="s">
        <v>106</v>
      </c>
      <c r="H117" s="21" t="s">
        <v>106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0" t="s">
        <v>108</v>
      </c>
      <c r="C118" s="18" t="str">
        <f>IF(AND(ISNUMBER(C110),ISNUMBER(C116),ISNUMBER(C117)),(1+C110)/((1+C116)*(1+C117))-1,"n/a")</f>
        <v>n/a</v>
      </c>
      <c r="D118" s="18" t="str">
        <f>IF(AND(ISNUMBER(D110),ISNUMBER(D116),ISNUMBER(D117)),(1+D110)/((1+D116)*(1+D117))-1,"n/a")</f>
        <v>n/a</v>
      </c>
      <c r="E118" s="18" t="str">
        <f>IF(AND(ISNUMBER(E110),ISNUMBER(E116),ISNUMBER(E117)),(1+E110)/((1+E116)*(1+E117))-1,"n/a")</f>
        <v>n/a</v>
      </c>
      <c r="F118" s="18" t="str">
        <f>IF(AND(ISNUMBER(F110),ISNUMBER(F116),ISNUMBER(F117)),(1+F110)/((1+F116)*(1+F117))-1,"n/a")</f>
        <v>n/a</v>
      </c>
      <c r="G118" s="18" t="str">
        <f>IF(AND(ISNUMBER(G110),ISNUMBER(G116),ISNUMBER(G117)),(1+G110)/((1+G116)*(1+G117))-1,"n/a")</f>
        <v>n/a</v>
      </c>
      <c r="H118" s="21" t="str">
        <f>IF(AND(ISNUMBER(H110),ISNUMBER(H116),ISNUMBER(H117)),(1+H110)/((1+H116)*(1+H117))-1,"n/a")</f>
        <v>n/a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46" t="s">
        <v>181</v>
      </c>
      <c r="C119" s="14">
        <f>C89+C99+C109</f>
        <v>3356</v>
      </c>
      <c r="D119" s="14">
        <f>D89+D99+D109</f>
        <v>3161</v>
      </c>
      <c r="E119" s="14">
        <f>E89+E99+E109</f>
        <v>3428</v>
      </c>
      <c r="F119" s="14">
        <f>F89+F99+F109</f>
        <v>3496</v>
      </c>
      <c r="G119" s="14">
        <f>G89+G99+G109</f>
        <v>13029</v>
      </c>
      <c r="H119" s="48">
        <f>H89+H99+H109</f>
        <v>3551.3255999999997</v>
      </c>
      <c r="I119" s="1"/>
      <c r="J119" s="14">
        <f>J89+J99+J109</f>
        <v>3075</v>
      </c>
      <c r="K119" s="14">
        <f>K89+K99+K109</f>
        <v>2940</v>
      </c>
      <c r="L119" s="14">
        <f>L89+L99+L109</f>
        <v>3205</v>
      </c>
      <c r="M119" s="14">
        <f>M89+M99+M109</f>
        <v>3307</v>
      </c>
      <c r="N119" s="14">
        <f>N89+N99+N109</f>
        <v>12479</v>
      </c>
      <c r="O119" s="14">
        <f>O89+O99+O109</f>
        <v>9539</v>
      </c>
      <c r="P119" s="14">
        <f>P89+P99+P109</f>
        <v>9868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1" t="s">
        <v>182</v>
      </c>
      <c r="C120" s="19">
        <f>C119-C56</f>
        <v>0</v>
      </c>
      <c r="D120" s="19">
        <f>D119-D56</f>
        <v>0</v>
      </c>
      <c r="E120" s="19">
        <f>E119-E56</f>
        <v>0</v>
      </c>
      <c r="F120" s="19">
        <f>F119-F56</f>
        <v>0</v>
      </c>
      <c r="G120" s="19">
        <f>G119-G56</f>
        <v>0</v>
      </c>
      <c r="H120" s="49">
        <f>H119-H56</f>
        <v>0</v>
      </c>
      <c r="I120" s="1"/>
      <c r="J120" s="19">
        <f>J119-J56</f>
        <v>0</v>
      </c>
      <c r="K120" s="19">
        <f>K119-K56</f>
        <v>0</v>
      </c>
      <c r="L120" s="19">
        <f>L119-L56</f>
        <v>0</v>
      </c>
      <c r="M120" s="19">
        <f>M119-M56</f>
        <v>0</v>
      </c>
      <c r="N120" s="19">
        <f>N119-N56</f>
        <v>0</v>
      </c>
      <c r="O120" s="19">
        <f>O119-O56</f>
        <v>0</v>
      </c>
      <c r="P120" s="19">
        <f>P119-P56</f>
        <v>0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3" t="s">
        <v>183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4" t="s">
        <v>184</v>
      </c>
      <c r="C123" s="3">
        <v>3301</v>
      </c>
      <c r="D123" s="2">
        <f>G123-P123</f>
        <v>3147</v>
      </c>
      <c r="E123" s="3">
        <v>3345</v>
      </c>
      <c r="F123" s="3">
        <v>3416</v>
      </c>
      <c r="G123" s="3">
        <v>12814</v>
      </c>
      <c r="H123" s="7">
        <f>H56*H127</f>
        <v>3490.9530647999995</v>
      </c>
      <c r="I123" s="1"/>
      <c r="J123" s="3">
        <v>3014</v>
      </c>
      <c r="K123" s="2">
        <f>N123-O123</f>
        <v>2873</v>
      </c>
      <c r="L123" s="3">
        <v>3134</v>
      </c>
      <c r="M123" s="3">
        <v>3232</v>
      </c>
      <c r="N123" s="3">
        <v>12238</v>
      </c>
      <c r="O123" s="3">
        <v>9365</v>
      </c>
      <c r="P123" s="3">
        <v>9667</v>
      </c>
      <c r="Q123" s="1"/>
      <c r="R123" s="9" t="s">
        <v>161</v>
      </c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20" t="s">
        <v>98</v>
      </c>
      <c r="C124" s="18">
        <f>IF(AND(ISNUMBER(C123),ISNUMBER(J123)),IF(OR(J123&gt;0,AND(J123&lt;0,C123&lt;0)),C123/J123-1,"n/m"),"n/a")</f>
        <v>0.09522229595222287</v>
      </c>
      <c r="D124" s="18">
        <f>IF(AND(ISNUMBER(D123),ISNUMBER(K123)),IF(OR(K123&gt;0,AND(K123&lt;0,D123&lt;0)),D123/K123-1,"n/m"),"n/a")</f>
        <v>0.09537069265576048</v>
      </c>
      <c r="E124" s="18">
        <f>IF(AND(ISNUMBER(E123),ISNUMBER(L123)),IF(OR(L123&gt;0,AND(L123&lt;0,E123&lt;0)),E123/L123-1,"n/m"),"n/a")</f>
        <v>0.06732610082961066</v>
      </c>
      <c r="F124" s="18">
        <f>IF(AND(ISNUMBER(F123),ISNUMBER(M123)),IF(OR(M123&gt;0,AND(M123&lt;0,F123&lt;0)),F123/M123-1,"n/m"),"n/a")</f>
        <v>0.05693069306930698</v>
      </c>
      <c r="G124" s="18">
        <f>IF(AND(ISNUMBER(G123),ISNUMBER(N123)),IF(OR(N123&gt;0,AND(N123&lt;0,G123&lt;0)),G123/N123-1,"n/m"),"n/a")</f>
        <v>0.0470665141362967</v>
      </c>
      <c r="H124" s="21">
        <f>IF(AND(ISNUMBER(H123),ISNUMBER(C123)),IF(OR(C123&gt;0,AND(C123&lt;0,H123&lt;0)),H123/C123-1,"n/m"),"n/a")</f>
        <v>0.05754409718267173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20" t="s">
        <v>99</v>
      </c>
      <c r="C125" s="18">
        <f>IF(AND(ISNUMBER(C123),ISNUMBER(M123)),IF(OR(M123&gt;0,AND(M123&lt;0,C123&lt;0)),C123/M123-1,"n/m"),"n/a")</f>
        <v>0.02134900990099009</v>
      </c>
      <c r="D125" s="18">
        <f>IF(AND(ISNUMBER(D123),ISNUMBER(C123)),IF(OR(C123&gt;0,AND(C123&lt;0,D123&lt;0)),D123/C123-1,"n/m"),"n/a")</f>
        <v>-0.04665252953650412</v>
      </c>
      <c r="E125" s="18">
        <f>IF(AND(ISNUMBER(E123),ISNUMBER(D123)),IF(OR(D123&gt;0,AND(D123&lt;0,E123&lt;0)),E123/D123-1,"n/m"),"n/a")</f>
        <v>0.06291706387035267</v>
      </c>
      <c r="F125" s="18">
        <f>IF(AND(ISNUMBER(F123),ISNUMBER(E123)),IF(OR(E123&gt;0,AND(E123&lt;0,F123&lt;0)),F123/E123-1,"n/m"),"n/a")</f>
        <v>0.021225710014947774</v>
      </c>
      <c r="G125" s="18" t="s">
        <v>100</v>
      </c>
      <c r="H125" s="21">
        <f>IF(AND(ISNUMBER(H123),ISNUMBER(F123)),IF(OR(F123&gt;0,AND(F123&lt;0,H123&lt;0)),H123/F123-1,"n/m"),"n/a")</f>
        <v>0.02194176370023415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8" t="s">
        <v>101</v>
      </c>
      <c r="C126" s="2">
        <f>IF(AND(ISNUMBER(C123),ISNUMBER(M123)),C123-M123,"n/a")</f>
        <v>69</v>
      </c>
      <c r="D126" s="2">
        <f>IF(AND(ISNUMBER(D123),ISNUMBER(C123)),D123-C123,"n/a")</f>
        <v>-154</v>
      </c>
      <c r="E126" s="2">
        <f>IF(AND(ISNUMBER(E123),ISNUMBER(D123)),E123-D123,"n/a")</f>
        <v>198</v>
      </c>
      <c r="F126" s="2">
        <f>IF(AND(ISNUMBER(F123),ISNUMBER(E123)),F123-E123,"n/a")</f>
        <v>71</v>
      </c>
      <c r="G126" s="2" t="s">
        <v>100</v>
      </c>
      <c r="H126" s="7">
        <f>IF(AND(ISNUMBER(H123),ISNUMBER(F123)),H123-F123,"n/a")</f>
        <v>74.95306479999954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20" t="s">
        <v>185</v>
      </c>
      <c r="C127" s="18">
        <f>IF(AND(ISNUMBER(C123),ISNUMBER(C56)),C123/C56,"n/a")</f>
        <v>0.983611442193087</v>
      </c>
      <c r="D127" s="18">
        <f>IF(AND(ISNUMBER(D123),ISNUMBER(D56)),D123/D56,"n/a")</f>
        <v>0.9955710218285353</v>
      </c>
      <c r="E127" s="18">
        <f>IF(AND(ISNUMBER(E123),ISNUMBER(E56)),E123/E56,"n/a")</f>
        <v>0.9757876312718786</v>
      </c>
      <c r="F127" s="18">
        <f>IF(AND(ISNUMBER(F123),ISNUMBER(F56)),F123/F56,"n/a")</f>
        <v>0.977116704805492</v>
      </c>
      <c r="G127" s="18">
        <f>IF(AND(ISNUMBER(G123),ISNUMBER(G56)),G123/G56,"n/a")</f>
        <v>0.9834983498349835</v>
      </c>
      <c r="H127" s="32">
        <v>0.983</v>
      </c>
      <c r="I127" s="1"/>
      <c r="J127" s="18">
        <f>IF(AND(ISNUMBER(J123),ISNUMBER(J56)),J123/J56,"n/a")</f>
        <v>0.9801626016260162</v>
      </c>
      <c r="K127" s="18">
        <f>IF(AND(ISNUMBER(K123),ISNUMBER(K56)),K123/K56,"n/a")</f>
        <v>0.9772108843537415</v>
      </c>
      <c r="L127" s="18">
        <f>IF(AND(ISNUMBER(L123),ISNUMBER(L56)),L123/L56,"n/a")</f>
        <v>0.9778471138845554</v>
      </c>
      <c r="M127" s="18">
        <f>IF(AND(ISNUMBER(M123),ISNUMBER(M56)),M123/M56,"n/a")</f>
        <v>0.977320834593287</v>
      </c>
      <c r="N127" s="18">
        <f>IF(AND(ISNUMBER(N123),ISNUMBER(N56)),N123/N56,"n/a")</f>
        <v>0.9806875550925555</v>
      </c>
      <c r="O127" s="18">
        <f>IF(AND(ISNUMBER(O123),ISNUMBER(O56)),O123/O56,"n/a")</f>
        <v>0.9817590942446798</v>
      </c>
      <c r="P127" s="18">
        <f>IF(AND(ISNUMBER(P123),ISNUMBER(P56)),P123/P56,"n/a")</f>
        <v>0.9796311309282529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37" t="s">
        <v>103</v>
      </c>
      <c r="C128" s="5">
        <f>IF(AND(ISNUMBER(C127),ISNUMBER(J127)),(C127-J127)*10000,"n/a")</f>
        <v>34.48840567070843</v>
      </c>
      <c r="D128" s="5">
        <f>IF(AND(ISNUMBER(D127),ISNUMBER(K127)),(D127-K127)*10000,"n/a")</f>
        <v>183.60137474793814</v>
      </c>
      <c r="E128" s="5">
        <f>IF(AND(ISNUMBER(E127),ISNUMBER(L127)),(E127-L127)*10000,"n/a")</f>
        <v>-20.59482612676744</v>
      </c>
      <c r="F128" s="5">
        <f>IF(AND(ISNUMBER(F127),ISNUMBER(M127)),(F127-M127)*10000,"n/a")</f>
        <v>-2.0412978779504876</v>
      </c>
      <c r="G128" s="5">
        <f>IF(AND(ISNUMBER(G127),ISNUMBER(N127)),(G127-N127)*10000,"n/a")</f>
        <v>28.107947424280688</v>
      </c>
      <c r="H128" s="30">
        <f>IF(AND(ISNUMBER(H127),ISNUMBER(C127)),(H127-C127)*10000,"n/a")</f>
        <v>-6.114421930870639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37" t="s">
        <v>104</v>
      </c>
      <c r="C129" s="5">
        <f>IF(AND(ISNUMBER(C127),ISNUMBER(M127)),(C127-M127)*10000,"n/a")</f>
        <v>62.90607599800047</v>
      </c>
      <c r="D129" s="5">
        <f>IF(AND(ISNUMBER(D127),ISNUMBER(C127)),(D127-C127)*10000,"n/a")</f>
        <v>119.59579635448247</v>
      </c>
      <c r="E129" s="5">
        <f>IF(AND(ISNUMBER(E127),ISNUMBER(D127)),(E127-D127)*10000,"n/a")</f>
        <v>-197.83390556656678</v>
      </c>
      <c r="F129" s="5">
        <f>IF(AND(ISNUMBER(F127),ISNUMBER(E127)),(F127-E127)*10000,"n/a")</f>
        <v>13.290735336133341</v>
      </c>
      <c r="G129" s="5" t="s">
        <v>100</v>
      </c>
      <c r="H129" s="30">
        <f>IF(AND(ISNUMBER(H127),ISNUMBER(F127)),(H127-F127)*10000,"n/a")</f>
        <v>58.83295194508031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20" t="s">
        <v>105</v>
      </c>
      <c r="C130" s="18" t="s">
        <v>106</v>
      </c>
      <c r="D130" s="18" t="s">
        <v>106</v>
      </c>
      <c r="E130" s="18" t="s">
        <v>106</v>
      </c>
      <c r="F130" s="18" t="s">
        <v>106</v>
      </c>
      <c r="G130" s="18" t="s">
        <v>106</v>
      </c>
      <c r="H130" s="21" t="s">
        <v>106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20" t="s">
        <v>107</v>
      </c>
      <c r="C131" s="18" t="s">
        <v>106</v>
      </c>
      <c r="D131" s="18" t="s">
        <v>106</v>
      </c>
      <c r="E131" s="18" t="s">
        <v>106</v>
      </c>
      <c r="F131" s="18" t="s">
        <v>106</v>
      </c>
      <c r="G131" s="18" t="s">
        <v>106</v>
      </c>
      <c r="H131" s="21" t="s">
        <v>106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20" t="s">
        <v>108</v>
      </c>
      <c r="C132" s="18" t="str">
        <f>IF(AND(ISNUMBER(C124),ISNUMBER(C130),ISNUMBER(C131)),(1+C124)/((1+C130)*(1+C131))-1,"n/a")</f>
        <v>n/a</v>
      </c>
      <c r="D132" s="18" t="str">
        <f>IF(AND(ISNUMBER(D124),ISNUMBER(D130),ISNUMBER(D131)),(1+D124)/((1+D130)*(1+D131))-1,"n/a")</f>
        <v>n/a</v>
      </c>
      <c r="E132" s="18" t="str">
        <f>IF(AND(ISNUMBER(E124),ISNUMBER(E130),ISNUMBER(E131)),(1+E124)/((1+E130)*(1+E131))-1,"n/a")</f>
        <v>n/a</v>
      </c>
      <c r="F132" s="18" t="str">
        <f>IF(AND(ISNUMBER(F124),ISNUMBER(F130),ISNUMBER(F131)),(1+F124)/((1+F130)*(1+F131))-1,"n/a")</f>
        <v>n/a</v>
      </c>
      <c r="G132" s="18" t="str">
        <f>IF(AND(ISNUMBER(G124),ISNUMBER(G130),ISNUMBER(G131)),(1+G124)/((1+G130)*(1+G131))-1,"n/a")</f>
        <v>n/a</v>
      </c>
      <c r="H132" s="21" t="str">
        <f>IF(AND(ISNUMBER(H124),ISNUMBER(H130),ISNUMBER(H131)),(1+H124)/((1+H130)*(1+H131))-1,"n/a")</f>
        <v>n/a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4" t="s">
        <v>186</v>
      </c>
      <c r="C133" s="3">
        <v>22</v>
      </c>
      <c r="D133" s="2">
        <f>G133-P133</f>
        <v>33</v>
      </c>
      <c r="E133" s="3">
        <v>30</v>
      </c>
      <c r="F133" s="3">
        <v>31</v>
      </c>
      <c r="G133" s="3">
        <v>99</v>
      </c>
      <c r="H133" s="7">
        <f>H56*H137</f>
        <v>30.186267599999994</v>
      </c>
      <c r="I133" s="1"/>
      <c r="J133" s="3">
        <v>18</v>
      </c>
      <c r="K133" s="2">
        <f>N133-O133</f>
        <v>20</v>
      </c>
      <c r="L133" s="3">
        <v>22</v>
      </c>
      <c r="M133" s="3">
        <v>22</v>
      </c>
      <c r="N133" s="3">
        <v>75</v>
      </c>
      <c r="O133" s="3">
        <v>55</v>
      </c>
      <c r="P133" s="3">
        <v>66</v>
      </c>
      <c r="Q133" s="1"/>
      <c r="R133" s="9" t="s">
        <v>161</v>
      </c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20" t="s">
        <v>98</v>
      </c>
      <c r="C134" s="18">
        <f>IF(AND(ISNUMBER(C133),ISNUMBER(J133)),IF(OR(J133&gt;0,AND(J133&lt;0,C133&lt;0)),C133/J133-1,"n/m"),"n/a")</f>
        <v>0.22222222222222232</v>
      </c>
      <c r="D134" s="18">
        <f>IF(AND(ISNUMBER(D133),ISNUMBER(K133)),IF(OR(K133&gt;0,AND(K133&lt;0,D133&lt;0)),D133/K133-1,"n/m"),"n/a")</f>
        <v>0.6499999999999999</v>
      </c>
      <c r="E134" s="18">
        <f>IF(AND(ISNUMBER(E133),ISNUMBER(L133)),IF(OR(L133&gt;0,AND(L133&lt;0,E133&lt;0)),E133/L133-1,"n/m"),"n/a")</f>
        <v>0.36363636363636354</v>
      </c>
      <c r="F134" s="18">
        <f>IF(AND(ISNUMBER(F133),ISNUMBER(M133)),IF(OR(M133&gt;0,AND(M133&lt;0,F133&lt;0)),F133/M133-1,"n/m"),"n/a")</f>
        <v>0.40909090909090917</v>
      </c>
      <c r="G134" s="18">
        <f>IF(AND(ISNUMBER(G133),ISNUMBER(N133)),IF(OR(N133&gt;0,AND(N133&lt;0,G133&lt;0)),G133/N133-1,"n/m"),"n/a")</f>
        <v>0.32000000000000006</v>
      </c>
      <c r="H134" s="21">
        <f>IF(AND(ISNUMBER(H133),ISNUMBER(C133)),IF(OR(C133&gt;0,AND(C133&lt;0,H133&lt;0)),H133/C133-1,"n/m"),"n/a")</f>
        <v>0.3721030727272725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20" t="s">
        <v>99</v>
      </c>
      <c r="C135" s="18">
        <f>IF(AND(ISNUMBER(C133),ISNUMBER(M133)),IF(OR(M133&gt;0,AND(M133&lt;0,C133&lt;0)),C133/M133-1,"n/m"),"n/a")</f>
        <v>0</v>
      </c>
      <c r="D135" s="18">
        <f>IF(AND(ISNUMBER(D133),ISNUMBER(C133)),IF(OR(C133&gt;0,AND(C133&lt;0,D133&lt;0)),D133/C133-1,"n/m"),"n/a")</f>
        <v>0.5</v>
      </c>
      <c r="E135" s="18">
        <f>IF(AND(ISNUMBER(E133),ISNUMBER(D133)),IF(OR(D133&gt;0,AND(D133&lt;0,E133&lt;0)),E133/D133-1,"n/m"),"n/a")</f>
        <v>-0.09090909090909094</v>
      </c>
      <c r="F135" s="18">
        <f>IF(AND(ISNUMBER(F133),ISNUMBER(E133)),IF(OR(E133&gt;0,AND(E133&lt;0,F133&lt;0)),F133/E133-1,"n/m"),"n/a")</f>
        <v>0.03333333333333344</v>
      </c>
      <c r="G135" s="18" t="s">
        <v>100</v>
      </c>
      <c r="H135" s="21">
        <f>IF(AND(ISNUMBER(H133),ISNUMBER(F133)),IF(OR(F133&gt;0,AND(F133&lt;0,H133&lt;0)),H133/F133-1,"n/m"),"n/a")</f>
        <v>-0.026249432258064753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8" t="s">
        <v>101</v>
      </c>
      <c r="C136" s="2">
        <f>IF(AND(ISNUMBER(C133),ISNUMBER(M133)),C133-M133,"n/a")</f>
        <v>0</v>
      </c>
      <c r="D136" s="2">
        <f>IF(AND(ISNUMBER(D133),ISNUMBER(C133)),D133-C133,"n/a")</f>
        <v>11</v>
      </c>
      <c r="E136" s="2">
        <f>IF(AND(ISNUMBER(E133),ISNUMBER(D133)),E133-D133,"n/a")</f>
        <v>-3</v>
      </c>
      <c r="F136" s="2">
        <f>IF(AND(ISNUMBER(F133),ISNUMBER(E133)),F133-E133,"n/a")</f>
        <v>1</v>
      </c>
      <c r="G136" s="2" t="s">
        <v>100</v>
      </c>
      <c r="H136" s="7">
        <f>IF(AND(ISNUMBER(H133),ISNUMBER(F133)),H133-F133,"n/a")</f>
        <v>-0.8137324000000064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20" t="s">
        <v>187</v>
      </c>
      <c r="C137" s="18">
        <f>IF(AND(ISNUMBER(C133),ISNUMBER(C56)),C133/C56,"n/a")</f>
        <v>0.006555423122765197</v>
      </c>
      <c r="D137" s="18">
        <f>IF(AND(ISNUMBER(D133),ISNUMBER(D56)),D133/D56,"n/a")</f>
        <v>0.010439734261309713</v>
      </c>
      <c r="E137" s="18">
        <f>IF(AND(ISNUMBER(E133),ISNUMBER(E56)),E133/E56,"n/a")</f>
        <v>0.008751458576429404</v>
      </c>
      <c r="F137" s="18">
        <f>IF(AND(ISNUMBER(F133),ISNUMBER(F56)),F133/F56,"n/a")</f>
        <v>0.008867276887871853</v>
      </c>
      <c r="G137" s="18">
        <f>IF(AND(ISNUMBER(G133),ISNUMBER(G56)),G133/G56,"n/a")</f>
        <v>0.007598434262030854</v>
      </c>
      <c r="H137" s="32">
        <f>H103*0.009/(0.009+0.008+0.001)</f>
        <v>0.008499999999999999</v>
      </c>
      <c r="I137" s="1"/>
      <c r="J137" s="18">
        <f>IF(AND(ISNUMBER(J133),ISNUMBER(J56)),J133/J56,"n/a")</f>
        <v>0.005853658536585366</v>
      </c>
      <c r="K137" s="18">
        <f>IF(AND(ISNUMBER(K133),ISNUMBER(K56)),K133/K56,"n/a")</f>
        <v>0.006802721088435374</v>
      </c>
      <c r="L137" s="18">
        <f>IF(AND(ISNUMBER(L133),ISNUMBER(L56)),L133/L56,"n/a")</f>
        <v>0.006864274570982839</v>
      </c>
      <c r="M137" s="18">
        <f>IF(AND(ISNUMBER(M133),ISNUMBER(M56)),M133/M56,"n/a")</f>
        <v>0.006652555185969156</v>
      </c>
      <c r="N137" s="18">
        <f>IF(AND(ISNUMBER(N133),ISNUMBER(N56)),N133/N56,"n/a")</f>
        <v>0.006010096962897668</v>
      </c>
      <c r="O137" s="18">
        <f>IF(AND(ISNUMBER(O133),ISNUMBER(O56)),O133/O56,"n/a")</f>
        <v>0.005765803543348359</v>
      </c>
      <c r="P137" s="18">
        <f>IF(AND(ISNUMBER(P133),ISNUMBER(P56)),P133/P56,"n/a")</f>
        <v>0.006688285366842318</v>
      </c>
      <c r="Q137" s="1"/>
      <c r="R137" s="1" t="s">
        <v>223</v>
      </c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37" t="s">
        <v>103</v>
      </c>
      <c r="C138" s="5">
        <f>IF(AND(ISNUMBER(C137),ISNUMBER(J137)),(C137-J137)*10000,"n/a")</f>
        <v>7.017645861798309</v>
      </c>
      <c r="D138" s="5">
        <f>IF(AND(ISNUMBER(D137),ISNUMBER(K137)),(D137-K137)*10000,"n/a")</f>
        <v>36.37013172874339</v>
      </c>
      <c r="E138" s="5">
        <f>IF(AND(ISNUMBER(E137),ISNUMBER(L137)),(E137-L137)*10000,"n/a")</f>
        <v>18.87184005446565</v>
      </c>
      <c r="F138" s="5">
        <f>IF(AND(ISNUMBER(F137),ISNUMBER(M137)),(F137-M137)*10000,"n/a")</f>
        <v>22.147217019026968</v>
      </c>
      <c r="G138" s="5">
        <f>IF(AND(ISNUMBER(G137),ISNUMBER(N137)),(G137-N137)*10000,"n/a")</f>
        <v>15.883372991331857</v>
      </c>
      <c r="H138" s="30">
        <f>IF(AND(ISNUMBER(H137),ISNUMBER(C137)),(H137-C137)*10000,"n/a")</f>
        <v>19.44576877234802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37" t="s">
        <v>104</v>
      </c>
      <c r="C139" s="5">
        <f>IF(AND(ISNUMBER(C137),ISNUMBER(M137)),(C137-M137)*10000,"n/a")</f>
        <v>-0.971320632039592</v>
      </c>
      <c r="D139" s="5">
        <f>IF(AND(ISNUMBER(D137),ISNUMBER(C137)),(D137-C137)*10000,"n/a")</f>
        <v>38.843111385445155</v>
      </c>
      <c r="E139" s="5">
        <f>IF(AND(ISNUMBER(E137),ISNUMBER(D137)),(E137-D137)*10000,"n/a")</f>
        <v>-16.882756848803083</v>
      </c>
      <c r="F139" s="5">
        <f>IF(AND(ISNUMBER(F137),ISNUMBER(E137)),(F137-E137)*10000,"n/a")</f>
        <v>1.1581831144244839</v>
      </c>
      <c r="G139" s="5" t="s">
        <v>100</v>
      </c>
      <c r="H139" s="30">
        <f>IF(AND(ISNUMBER(H137),ISNUMBER(F137)),(H137-F137)*10000,"n/a")</f>
        <v>-3.672768878718539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20" t="s">
        <v>105</v>
      </c>
      <c r="C140" s="18" t="s">
        <v>106</v>
      </c>
      <c r="D140" s="18" t="s">
        <v>106</v>
      </c>
      <c r="E140" s="18" t="s">
        <v>106</v>
      </c>
      <c r="F140" s="18" t="s">
        <v>106</v>
      </c>
      <c r="G140" s="18" t="s">
        <v>106</v>
      </c>
      <c r="H140" s="21" t="s">
        <v>106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20" t="s">
        <v>107</v>
      </c>
      <c r="C141" s="18" t="s">
        <v>106</v>
      </c>
      <c r="D141" s="18" t="s">
        <v>106</v>
      </c>
      <c r="E141" s="18" t="s">
        <v>106</v>
      </c>
      <c r="F141" s="18" t="s">
        <v>106</v>
      </c>
      <c r="G141" s="18" t="s">
        <v>106</v>
      </c>
      <c r="H141" s="21" t="s">
        <v>106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20" t="s">
        <v>108</v>
      </c>
      <c r="C142" s="18" t="str">
        <f>IF(AND(ISNUMBER(C134),ISNUMBER(C140),ISNUMBER(C141)),(1+C134)/((1+C140)*(1+C141))-1,"n/a")</f>
        <v>n/a</v>
      </c>
      <c r="D142" s="18" t="str">
        <f>IF(AND(ISNUMBER(D134),ISNUMBER(D140),ISNUMBER(D141)),(1+D134)/((1+D140)*(1+D141))-1,"n/a")</f>
        <v>n/a</v>
      </c>
      <c r="E142" s="18" t="str">
        <f>IF(AND(ISNUMBER(E134),ISNUMBER(E140),ISNUMBER(E141)),(1+E134)/((1+E140)*(1+E141))-1,"n/a")</f>
        <v>n/a</v>
      </c>
      <c r="F142" s="18" t="str">
        <f>IF(AND(ISNUMBER(F134),ISNUMBER(F140),ISNUMBER(F141)),(1+F134)/((1+F140)*(1+F141))-1,"n/a")</f>
        <v>n/a</v>
      </c>
      <c r="G142" s="18" t="str">
        <f>IF(AND(ISNUMBER(G134),ISNUMBER(G140),ISNUMBER(G141)),(1+G134)/((1+G140)*(1+G141))-1,"n/a")</f>
        <v>n/a</v>
      </c>
      <c r="H142" s="21" t="str">
        <f>IF(AND(ISNUMBER(H134),ISNUMBER(H140),ISNUMBER(H141)),(1+H134)/((1+H140)*(1+H141))-1,"n/a")</f>
        <v>n/a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4" t="s">
        <v>188</v>
      </c>
      <c r="C143" s="3">
        <v>32</v>
      </c>
      <c r="D143" s="2">
        <f>G143-P143</f>
        <v>-19</v>
      </c>
      <c r="E143" s="3">
        <v>44</v>
      </c>
      <c r="F143" s="3">
        <v>49</v>
      </c>
      <c r="G143" s="3">
        <v>109</v>
      </c>
      <c r="H143" s="7">
        <f>H56*H147</f>
        <v>26.832237866666667</v>
      </c>
      <c r="I143" s="1"/>
      <c r="J143" s="3">
        <v>43</v>
      </c>
      <c r="K143" s="2">
        <f>N143-O143</f>
        <v>45</v>
      </c>
      <c r="L143" s="3">
        <v>47</v>
      </c>
      <c r="M143" s="3">
        <v>49</v>
      </c>
      <c r="N143" s="3">
        <v>159</v>
      </c>
      <c r="O143" s="3">
        <v>114</v>
      </c>
      <c r="P143" s="3">
        <v>128</v>
      </c>
      <c r="Q143" s="1"/>
      <c r="R143" s="9" t="s">
        <v>224</v>
      </c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20" t="s">
        <v>98</v>
      </c>
      <c r="C144" s="18">
        <f>IF(AND(ISNUMBER(C143),ISNUMBER(J143)),IF(OR(J143&gt;0,AND(J143&lt;0,C143&lt;0)),C143/J143-1,"n/m"),"n/a")</f>
        <v>-0.2558139534883721</v>
      </c>
      <c r="D144" s="18">
        <f>IF(AND(ISNUMBER(D143),ISNUMBER(K143)),IF(OR(K143&gt;0,AND(K143&lt;0,D143&lt;0)),D143/K143-1,"n/m"),"n/a")</f>
        <v>-1.4222222222222223</v>
      </c>
      <c r="E144" s="18">
        <f>IF(AND(ISNUMBER(E143),ISNUMBER(L143)),IF(OR(L143&gt;0,AND(L143&lt;0,E143&lt;0)),E143/L143-1,"n/m"),"n/a")</f>
        <v>-0.06382978723404253</v>
      </c>
      <c r="F144" s="18">
        <f>IF(AND(ISNUMBER(F143),ISNUMBER(M143)),IF(OR(M143&gt;0,AND(M143&lt;0,F143&lt;0)),F143/M143-1,"n/m"),"n/a")</f>
        <v>0</v>
      </c>
      <c r="G144" s="18">
        <f>IF(AND(ISNUMBER(G143),ISNUMBER(N143)),IF(OR(N143&gt;0,AND(N143&lt;0,G143&lt;0)),G143/N143-1,"n/m"),"n/a")</f>
        <v>-0.3144654088050315</v>
      </c>
      <c r="H144" s="21">
        <f>IF(AND(ISNUMBER(H143),ISNUMBER(C143)),IF(OR(C143&gt;0,AND(C143&lt;0,H143&lt;0)),H143/C143-1,"n/m"),"n/a")</f>
        <v>-0.16149256666666667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0" t="s">
        <v>99</v>
      </c>
      <c r="C145" s="18">
        <f>IF(AND(ISNUMBER(C143),ISNUMBER(M143)),IF(OR(M143&gt;0,AND(M143&lt;0,C143&lt;0)),C143/M143-1,"n/m"),"n/a")</f>
        <v>-0.34693877551020413</v>
      </c>
      <c r="D145" s="18">
        <f>IF(AND(ISNUMBER(D143),ISNUMBER(C143)),IF(OR(C143&gt;0,AND(C143&lt;0,D143&lt;0)),D143/C143-1,"n/m"),"n/a")</f>
        <v>-1.59375</v>
      </c>
      <c r="E145" s="18" t="str">
        <f>IF(AND(ISNUMBER(E143),ISNUMBER(D143)),IF(OR(D143&gt;0,AND(D143&lt;0,E143&lt;0)),E143/D143-1,"n/m"),"n/a")</f>
        <v>n/m</v>
      </c>
      <c r="F145" s="18">
        <f>IF(AND(ISNUMBER(F143),ISNUMBER(E143)),IF(OR(E143&gt;0,AND(E143&lt;0,F143&lt;0)),F143/E143-1,"n/m"),"n/a")</f>
        <v>0.11363636363636354</v>
      </c>
      <c r="G145" s="18" t="s">
        <v>100</v>
      </c>
      <c r="H145" s="21">
        <f>IF(AND(ISNUMBER(H143),ISNUMBER(F143)),IF(OR(F143&gt;0,AND(F143&lt;0,H143&lt;0)),H143/F143-1,"n/m"),"n/a")</f>
        <v>-0.4524033088435374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8" t="s">
        <v>101</v>
      </c>
      <c r="C146" s="2">
        <f>IF(AND(ISNUMBER(C143),ISNUMBER(M143)),C143-M143,"n/a")</f>
        <v>-17</v>
      </c>
      <c r="D146" s="2">
        <f>IF(AND(ISNUMBER(D143),ISNUMBER(C143)),D143-C143,"n/a")</f>
        <v>-51</v>
      </c>
      <c r="E146" s="2">
        <f>IF(AND(ISNUMBER(E143),ISNUMBER(D143)),E143-D143,"n/a")</f>
        <v>63</v>
      </c>
      <c r="F146" s="2">
        <f>IF(AND(ISNUMBER(F143),ISNUMBER(E143)),F143-E143,"n/a")</f>
        <v>5</v>
      </c>
      <c r="G146" s="2" t="s">
        <v>100</v>
      </c>
      <c r="H146" s="7">
        <f>IF(AND(ISNUMBER(H143),ISNUMBER(F143)),H143-F143,"n/a")</f>
        <v>-22.167762133333333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20" t="s">
        <v>189</v>
      </c>
      <c r="C147" s="18">
        <f>IF(AND(ISNUMBER(C143),ISNUMBER(C56)),C143/C56,"n/a")</f>
        <v>0.009535160905840286</v>
      </c>
      <c r="D147" s="18">
        <f>IF(AND(ISNUMBER(D143),ISNUMBER(D56)),D143/D56,"n/a")</f>
        <v>-0.0060107560898449855</v>
      </c>
      <c r="E147" s="18">
        <f>IF(AND(ISNUMBER(E143),ISNUMBER(E56)),E143/E56,"n/a")</f>
        <v>0.012835472578763127</v>
      </c>
      <c r="F147" s="18">
        <f>IF(AND(ISNUMBER(F143),ISNUMBER(F56)),F143/F56,"n/a")</f>
        <v>0.014016018306636156</v>
      </c>
      <c r="G147" s="18">
        <f>IF(AND(ISNUMBER(G143),ISNUMBER(G56)),G143/G56,"n/a")</f>
        <v>0.008365952874357202</v>
      </c>
      <c r="H147" s="32">
        <f>H103*0.008/(0.009+0.008+0.001)</f>
        <v>0.007555555555555556</v>
      </c>
      <c r="I147" s="1"/>
      <c r="J147" s="18">
        <f>IF(AND(ISNUMBER(J143),ISNUMBER(J56)),J143/J56,"n/a")</f>
        <v>0.013983739837398375</v>
      </c>
      <c r="K147" s="18">
        <f>IF(AND(ISNUMBER(K143),ISNUMBER(K56)),K143/K56,"n/a")</f>
        <v>0.015306122448979591</v>
      </c>
      <c r="L147" s="18">
        <f>IF(AND(ISNUMBER(L143),ISNUMBER(L56)),L143/L56,"n/a")</f>
        <v>0.014664586583463339</v>
      </c>
      <c r="M147" s="18">
        <f>IF(AND(ISNUMBER(M143),ISNUMBER(M56)),M143/M56,"n/a")</f>
        <v>0.014817054732385848</v>
      </c>
      <c r="N147" s="18">
        <f>IF(AND(ISNUMBER(N143),ISNUMBER(N56)),N143/N56,"n/a")</f>
        <v>0.012741405561343056</v>
      </c>
      <c r="O147" s="18">
        <f>IF(AND(ISNUMBER(O143),ISNUMBER(O56)),O143/O56,"n/a")</f>
        <v>0.01195093825348569</v>
      </c>
      <c r="P147" s="18">
        <f>IF(AND(ISNUMBER(P143),ISNUMBER(P56)),P143/P56,"n/a")</f>
        <v>0.012971220105391163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37" t="s">
        <v>103</v>
      </c>
      <c r="C148" s="5">
        <f>IF(AND(ISNUMBER(C147),ISNUMBER(J147)),(C147-J147)*10000,"n/a")</f>
        <v>-44.485789315580895</v>
      </c>
      <c r="D148" s="5">
        <f>IF(AND(ISNUMBER(D147),ISNUMBER(K147)),(D147-K147)*10000,"n/a")</f>
        <v>-213.16878538824577</v>
      </c>
      <c r="E148" s="5">
        <f>IF(AND(ISNUMBER(E147),ISNUMBER(L147)),(E147-L147)*10000,"n/a")</f>
        <v>-18.291140047002123</v>
      </c>
      <c r="F148" s="5">
        <f>IF(AND(ISNUMBER(F147),ISNUMBER(M147)),(F147-M147)*10000,"n/a")</f>
        <v>-8.010364257496922</v>
      </c>
      <c r="G148" s="5">
        <f>IF(AND(ISNUMBER(G147),ISNUMBER(N147)),(G147-N147)*10000,"n/a")</f>
        <v>-43.75452686985854</v>
      </c>
      <c r="H148" s="30">
        <f>IF(AND(ISNUMBER(H147),ISNUMBER(C147)),(H147-C147)*10000,"n/a")</f>
        <v>-19.796053502847297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37" t="s">
        <v>104</v>
      </c>
      <c r="C149" s="5">
        <f>IF(AND(ISNUMBER(C147),ISNUMBER(M147)),(C147-M147)*10000,"n/a")</f>
        <v>-52.81893826545562</v>
      </c>
      <c r="D149" s="5">
        <f>IF(AND(ISNUMBER(D147),ISNUMBER(C147)),(D147-C147)*10000,"n/a")</f>
        <v>-155.4591699568527</v>
      </c>
      <c r="E149" s="5">
        <f>IF(AND(ISNUMBER(E147),ISNUMBER(D147)),(E147-D147)*10000,"n/a")</f>
        <v>188.46228668608114</v>
      </c>
      <c r="F149" s="5">
        <f>IF(AND(ISNUMBER(F147),ISNUMBER(E147)),(F147-E147)*10000,"n/a")</f>
        <v>11.805457278730291</v>
      </c>
      <c r="G149" s="5" t="s">
        <v>100</v>
      </c>
      <c r="H149" s="30">
        <f>IF(AND(ISNUMBER(H147),ISNUMBER(F147)),(H147-F147)*10000,"n/a")</f>
        <v>-64.604627510806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20" t="s">
        <v>105</v>
      </c>
      <c r="C150" s="18" t="s">
        <v>106</v>
      </c>
      <c r="D150" s="18" t="s">
        <v>106</v>
      </c>
      <c r="E150" s="18" t="s">
        <v>106</v>
      </c>
      <c r="F150" s="18" t="s">
        <v>106</v>
      </c>
      <c r="G150" s="18" t="s">
        <v>106</v>
      </c>
      <c r="H150" s="21" t="s">
        <v>106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20" t="s">
        <v>107</v>
      </c>
      <c r="C151" s="18" t="s">
        <v>106</v>
      </c>
      <c r="D151" s="18" t="s">
        <v>106</v>
      </c>
      <c r="E151" s="18" t="s">
        <v>106</v>
      </c>
      <c r="F151" s="18" t="s">
        <v>106</v>
      </c>
      <c r="G151" s="18" t="s">
        <v>106</v>
      </c>
      <c r="H151" s="21" t="s">
        <v>106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20" t="s">
        <v>108</v>
      </c>
      <c r="C152" s="18" t="str">
        <f>IF(AND(ISNUMBER(C144),ISNUMBER(C150),ISNUMBER(C151)),(1+C144)/((1+C150)*(1+C151))-1,"n/a")</f>
        <v>n/a</v>
      </c>
      <c r="D152" s="18" t="str">
        <f>IF(AND(ISNUMBER(D144),ISNUMBER(D150),ISNUMBER(D151)),(1+D144)/((1+D150)*(1+D151))-1,"n/a")</f>
        <v>n/a</v>
      </c>
      <c r="E152" s="18" t="str">
        <f>IF(AND(ISNUMBER(E144),ISNUMBER(E150),ISNUMBER(E151)),(1+E144)/((1+E150)*(1+E151))-1,"n/a")</f>
        <v>n/a</v>
      </c>
      <c r="F152" s="18" t="str">
        <f>IF(AND(ISNUMBER(F144),ISNUMBER(F150),ISNUMBER(F151)),(1+F144)/((1+F150)*(1+F151))-1,"n/a")</f>
        <v>n/a</v>
      </c>
      <c r="G152" s="18" t="str">
        <f>IF(AND(ISNUMBER(G144),ISNUMBER(G150),ISNUMBER(G151)),(1+G144)/((1+G150)*(1+G151))-1,"n/a")</f>
        <v>n/a</v>
      </c>
      <c r="H152" s="21" t="str">
        <f>IF(AND(ISNUMBER(H144),ISNUMBER(H150),ISNUMBER(H151)),(1+H144)/((1+H150)*(1+H151))-1,"n/a")</f>
        <v>n/a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4" t="s">
        <v>190</v>
      </c>
      <c r="C153" s="3">
        <v>1</v>
      </c>
      <c r="D153" s="2">
        <f>G153-P153</f>
        <v>0</v>
      </c>
      <c r="E153" s="3">
        <v>9</v>
      </c>
      <c r="F153" s="3">
        <v>0</v>
      </c>
      <c r="G153" s="3">
        <v>7</v>
      </c>
      <c r="H153" s="7">
        <f>H56*H157</f>
        <v>3.3540297333333333</v>
      </c>
      <c r="I153" s="1"/>
      <c r="J153" s="3">
        <v>0</v>
      </c>
      <c r="K153" s="2">
        <f>N153-O153</f>
        <v>2</v>
      </c>
      <c r="L153" s="3">
        <v>2</v>
      </c>
      <c r="M153" s="3">
        <v>4</v>
      </c>
      <c r="N153" s="3">
        <v>7</v>
      </c>
      <c r="O153" s="3">
        <v>5</v>
      </c>
      <c r="P153" s="3">
        <v>7</v>
      </c>
      <c r="Q153" s="1"/>
      <c r="R153" s="9" t="s">
        <v>161</v>
      </c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20" t="s">
        <v>98</v>
      </c>
      <c r="C154" s="18" t="str">
        <f>IF(AND(ISNUMBER(C153),ISNUMBER(J153)),IF(OR(J153&gt;0,AND(J153&lt;0,C153&lt;0)),C153/J153-1,"n/m"),"n/a")</f>
        <v>n/m</v>
      </c>
      <c r="D154" s="18">
        <f>IF(AND(ISNUMBER(D153),ISNUMBER(K153)),IF(OR(K153&gt;0,AND(K153&lt;0,D153&lt;0)),D153/K153-1,"n/m"),"n/a")</f>
        <v>-1</v>
      </c>
      <c r="E154" s="18">
        <f>IF(AND(ISNUMBER(E153),ISNUMBER(L153)),IF(OR(L153&gt;0,AND(L153&lt;0,E153&lt;0)),E153/L153-1,"n/m"),"n/a")</f>
        <v>3.5</v>
      </c>
      <c r="F154" s="18">
        <f>IF(AND(ISNUMBER(F153),ISNUMBER(M153)),IF(OR(M153&gt;0,AND(M153&lt;0,F153&lt;0)),F153/M153-1,"n/m"),"n/a")</f>
        <v>-1</v>
      </c>
      <c r="G154" s="18">
        <f>IF(AND(ISNUMBER(G153),ISNUMBER(N153)),IF(OR(N153&gt;0,AND(N153&lt;0,G153&lt;0)),G153/N153-1,"n/m"),"n/a")</f>
        <v>0</v>
      </c>
      <c r="H154" s="21">
        <f>IF(AND(ISNUMBER(H153),ISNUMBER(C153)),IF(OR(C153&gt;0,AND(C153&lt;0,H153&lt;0)),H153/C153-1,"n/m"),"n/a")</f>
        <v>2.3540297333333333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20" t="s">
        <v>99</v>
      </c>
      <c r="C155" s="18">
        <f>IF(AND(ISNUMBER(C153),ISNUMBER(M153)),IF(OR(M153&gt;0,AND(M153&lt;0,C153&lt;0)),C153/M153-1,"n/m"),"n/a")</f>
        <v>-0.75</v>
      </c>
      <c r="D155" s="18">
        <f>IF(AND(ISNUMBER(D153),ISNUMBER(C153)),IF(OR(C153&gt;0,AND(C153&lt;0,D153&lt;0)),D153/C153-1,"n/m"),"n/a")</f>
        <v>-1</v>
      </c>
      <c r="E155" s="18" t="str">
        <f>IF(AND(ISNUMBER(E153),ISNUMBER(D153)),IF(OR(D153&gt;0,AND(D153&lt;0,E153&lt;0)),E153/D153-1,"n/m"),"n/a")</f>
        <v>n/m</v>
      </c>
      <c r="F155" s="18">
        <f>IF(AND(ISNUMBER(F153),ISNUMBER(E153)),IF(OR(E153&gt;0,AND(E153&lt;0,F153&lt;0)),F153/E153-1,"n/m"),"n/a")</f>
        <v>-1</v>
      </c>
      <c r="G155" s="18" t="s">
        <v>100</v>
      </c>
      <c r="H155" s="21" t="str">
        <f>IF(AND(ISNUMBER(H153),ISNUMBER(F153)),IF(OR(F153&gt;0,AND(F153&lt;0,H153&lt;0)),H153/F153-1,"n/m"),"n/a")</f>
        <v>n/m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8" t="s">
        <v>101</v>
      </c>
      <c r="C156" s="2">
        <f>IF(AND(ISNUMBER(C153),ISNUMBER(M153)),C153-M153,"n/a")</f>
        <v>-3</v>
      </c>
      <c r="D156" s="2">
        <f>IF(AND(ISNUMBER(D153),ISNUMBER(C153)),D153-C153,"n/a")</f>
        <v>-1</v>
      </c>
      <c r="E156" s="2">
        <f>IF(AND(ISNUMBER(E153),ISNUMBER(D153)),E153-D153,"n/a")</f>
        <v>9</v>
      </c>
      <c r="F156" s="2">
        <f>IF(AND(ISNUMBER(F153),ISNUMBER(E153)),F153-E153,"n/a")</f>
        <v>-9</v>
      </c>
      <c r="G156" s="2" t="s">
        <v>100</v>
      </c>
      <c r="H156" s="7">
        <f>IF(AND(ISNUMBER(H153),ISNUMBER(F153)),H153-F153,"n/a")</f>
        <v>3.3540297333333333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20" t="s">
        <v>191</v>
      </c>
      <c r="C157" s="18">
        <f>IF(AND(ISNUMBER(C153),ISNUMBER(C56)),C153/C56,"n/a")</f>
        <v>0.0002979737783075089</v>
      </c>
      <c r="D157" s="18">
        <f>IF(AND(ISNUMBER(D153),ISNUMBER(D56)),D153/D56,"n/a")</f>
        <v>0</v>
      </c>
      <c r="E157" s="18">
        <f>IF(AND(ISNUMBER(E153),ISNUMBER(E56)),E153/E56,"n/a")</f>
        <v>0.0026254375729288216</v>
      </c>
      <c r="F157" s="18">
        <f>IF(AND(ISNUMBER(F153),ISNUMBER(F56)),F153/F56,"n/a")</f>
        <v>0</v>
      </c>
      <c r="G157" s="18">
        <f>IF(AND(ISNUMBER(G153),ISNUMBER(G56)),G153/G56,"n/a")</f>
        <v>0.0005372630286284442</v>
      </c>
      <c r="H157" s="32">
        <f>H103*0.001/(0.009+0.008+0.001)</f>
        <v>0.0009444444444444445</v>
      </c>
      <c r="I157" s="1"/>
      <c r="J157" s="18">
        <f>IF(AND(ISNUMBER(J153),ISNUMBER(J56)),J153/J56,"n/a")</f>
        <v>0</v>
      </c>
      <c r="K157" s="18">
        <f>IF(AND(ISNUMBER(K153),ISNUMBER(K56)),K153/K56,"n/a")</f>
        <v>0.0006802721088435374</v>
      </c>
      <c r="L157" s="18">
        <f>IF(AND(ISNUMBER(L153),ISNUMBER(L56)),L153/L56,"n/a")</f>
        <v>0.0006240249609984399</v>
      </c>
      <c r="M157" s="18">
        <f>IF(AND(ISNUMBER(M153),ISNUMBER(M56)),M153/M56,"n/a")</f>
        <v>0.0012095554883580285</v>
      </c>
      <c r="N157" s="18">
        <f>IF(AND(ISNUMBER(N153),ISNUMBER(N56)),N153/N56,"n/a")</f>
        <v>0.0005609423832037823</v>
      </c>
      <c r="O157" s="18">
        <f>IF(AND(ISNUMBER(O153),ISNUMBER(O56)),O153/O56,"n/a")</f>
        <v>0.0005241639584862145</v>
      </c>
      <c r="P157" s="18">
        <f>IF(AND(ISNUMBER(P153),ISNUMBER(P56)),P153/P56,"n/a")</f>
        <v>0.0007093635995135793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37" t="s">
        <v>103</v>
      </c>
      <c r="C158" s="5">
        <f>IF(AND(ISNUMBER(C157),ISNUMBER(J157)),(C157-J157)*10000,"n/a")</f>
        <v>2.9797377830750893</v>
      </c>
      <c r="D158" s="5">
        <f>IF(AND(ISNUMBER(D157),ISNUMBER(K157)),(D157-K157)*10000,"n/a")</f>
        <v>-6.802721088435374</v>
      </c>
      <c r="E158" s="5">
        <f>IF(AND(ISNUMBER(E157),ISNUMBER(L157)),(E157-L157)*10000,"n/a")</f>
        <v>20.014126119303814</v>
      </c>
      <c r="F158" s="5">
        <f>IF(AND(ISNUMBER(F157),ISNUMBER(M157)),(F157-M157)*10000,"n/a")</f>
        <v>-12.095554883580284</v>
      </c>
      <c r="G158" s="5">
        <f>IF(AND(ISNUMBER(G157),ISNUMBER(N157)),(G157-N157)*10000,"n/a")</f>
        <v>-0.2367935457533814</v>
      </c>
      <c r="H158" s="30">
        <f>IF(AND(ISNUMBER(H157),ISNUMBER(C157)),(H157-C157)*10000,"n/a")</f>
        <v>6.464706661369355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37" t="s">
        <v>104</v>
      </c>
      <c r="C159" s="5">
        <f>IF(AND(ISNUMBER(C157),ISNUMBER(M157)),(C157-M157)*10000,"n/a")</f>
        <v>-9.115817100505195</v>
      </c>
      <c r="D159" s="5">
        <f>IF(AND(ISNUMBER(D157),ISNUMBER(C157)),(D157-C157)*10000,"n/a")</f>
        <v>-2.9797377830750893</v>
      </c>
      <c r="E159" s="5">
        <f>IF(AND(ISNUMBER(E157),ISNUMBER(D157)),(E157-D157)*10000,"n/a")</f>
        <v>26.254375729288217</v>
      </c>
      <c r="F159" s="5">
        <f>IF(AND(ISNUMBER(F157),ISNUMBER(E157)),(F157-E157)*10000,"n/a")</f>
        <v>-26.254375729288217</v>
      </c>
      <c r="G159" s="5" t="s">
        <v>100</v>
      </c>
      <c r="H159" s="30">
        <f>IF(AND(ISNUMBER(H157),ISNUMBER(F157)),(H157-F157)*10000,"n/a")</f>
        <v>9.444444444444445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20" t="s">
        <v>105</v>
      </c>
      <c r="C160" s="18" t="s">
        <v>106</v>
      </c>
      <c r="D160" s="18" t="s">
        <v>106</v>
      </c>
      <c r="E160" s="18" t="s">
        <v>106</v>
      </c>
      <c r="F160" s="18" t="s">
        <v>106</v>
      </c>
      <c r="G160" s="18" t="s">
        <v>106</v>
      </c>
      <c r="H160" s="21" t="s">
        <v>106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20" t="s">
        <v>107</v>
      </c>
      <c r="C161" s="18" t="s">
        <v>106</v>
      </c>
      <c r="D161" s="18" t="s">
        <v>106</v>
      </c>
      <c r="E161" s="18" t="s">
        <v>106</v>
      </c>
      <c r="F161" s="18" t="s">
        <v>106</v>
      </c>
      <c r="G161" s="18" t="s">
        <v>106</v>
      </c>
      <c r="H161" s="21" t="s">
        <v>106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20" t="s">
        <v>108</v>
      </c>
      <c r="C162" s="18" t="str">
        <f>IF(AND(ISNUMBER(C154),ISNUMBER(C160),ISNUMBER(C161)),(1+C154)/((1+C160)*(1+C161))-1,"n/a")</f>
        <v>n/a</v>
      </c>
      <c r="D162" s="18" t="str">
        <f>IF(AND(ISNUMBER(D154),ISNUMBER(D160),ISNUMBER(D161)),(1+D154)/((1+D160)*(1+D161))-1,"n/a")</f>
        <v>n/a</v>
      </c>
      <c r="E162" s="18" t="str">
        <f>IF(AND(ISNUMBER(E154),ISNUMBER(E160),ISNUMBER(E161)),(1+E154)/((1+E160)*(1+E161))-1,"n/a")</f>
        <v>n/a</v>
      </c>
      <c r="F162" s="18" t="str">
        <f>IF(AND(ISNUMBER(F154),ISNUMBER(F160),ISNUMBER(F161)),(1+F154)/((1+F160)*(1+F161))-1,"n/a")</f>
        <v>n/a</v>
      </c>
      <c r="G162" s="18" t="str">
        <f>IF(AND(ISNUMBER(G154),ISNUMBER(G160),ISNUMBER(G161)),(1+G154)/((1+G160)*(1+G161))-1,"n/a")</f>
        <v>n/a</v>
      </c>
      <c r="H162" s="21" t="str">
        <f>IF(AND(ISNUMBER(H154),ISNUMBER(H160),ISNUMBER(H161)),(1+H154)/((1+H160)*(1+H161))-1,"n/a")</f>
        <v>n/a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4" t="s">
        <v>192</v>
      </c>
      <c r="C163" s="3">
        <v>0</v>
      </c>
      <c r="D163" s="2">
        <f>G163-P163</f>
        <v>0</v>
      </c>
      <c r="E163" s="3">
        <v>0</v>
      </c>
      <c r="F163" s="3">
        <v>0</v>
      </c>
      <c r="G163" s="3">
        <v>0</v>
      </c>
      <c r="H163" s="7">
        <f>H56-H123-H133-H143-H153</f>
        <v>0</v>
      </c>
      <c r="I163" s="1"/>
      <c r="J163" s="3">
        <v>0</v>
      </c>
      <c r="K163" s="2">
        <f>N163-O163</f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1"/>
      <c r="R163" s="9" t="s">
        <v>161</v>
      </c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20" t="s">
        <v>98</v>
      </c>
      <c r="C164" s="18" t="str">
        <f>IF(AND(ISNUMBER(C163),ISNUMBER(J163)),IF(OR(J163&gt;0,AND(J163&lt;0,C163&lt;0)),C163/J163-1,"n/m"),"n/a")</f>
        <v>n/m</v>
      </c>
      <c r="D164" s="18" t="str">
        <f>IF(AND(ISNUMBER(D163),ISNUMBER(K163)),IF(OR(K163&gt;0,AND(K163&lt;0,D163&lt;0)),D163/K163-1,"n/m"),"n/a")</f>
        <v>n/m</v>
      </c>
      <c r="E164" s="18" t="str">
        <f>IF(AND(ISNUMBER(E163),ISNUMBER(L163)),IF(OR(L163&gt;0,AND(L163&lt;0,E163&lt;0)),E163/L163-1,"n/m"),"n/a")</f>
        <v>n/m</v>
      </c>
      <c r="F164" s="18" t="str">
        <f>IF(AND(ISNUMBER(F163),ISNUMBER(M163)),IF(OR(M163&gt;0,AND(M163&lt;0,F163&lt;0)),F163/M163-1,"n/m"),"n/a")</f>
        <v>n/m</v>
      </c>
      <c r="G164" s="18" t="str">
        <f>IF(AND(ISNUMBER(G163),ISNUMBER(N163)),IF(OR(N163&gt;0,AND(N163&lt;0,G163&lt;0)),G163/N163-1,"n/m"),"n/a")</f>
        <v>n/m</v>
      </c>
      <c r="H164" s="21" t="str">
        <f>IF(AND(ISNUMBER(H163),ISNUMBER(C163)),IF(OR(C163&gt;0,AND(C163&lt;0,H163&lt;0)),H163/C163-1,"n/m"),"n/a")</f>
        <v>n/m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20" t="s">
        <v>99</v>
      </c>
      <c r="C165" s="18" t="str">
        <f>IF(AND(ISNUMBER(C163),ISNUMBER(M163)),IF(OR(M163&gt;0,AND(M163&lt;0,C163&lt;0)),C163/M163-1,"n/m"),"n/a")</f>
        <v>n/m</v>
      </c>
      <c r="D165" s="18" t="str">
        <f>IF(AND(ISNUMBER(D163),ISNUMBER(C163)),IF(OR(C163&gt;0,AND(C163&lt;0,D163&lt;0)),D163/C163-1,"n/m"),"n/a")</f>
        <v>n/m</v>
      </c>
      <c r="E165" s="18" t="str">
        <f>IF(AND(ISNUMBER(E163),ISNUMBER(D163)),IF(OR(D163&gt;0,AND(D163&lt;0,E163&lt;0)),E163/D163-1,"n/m"),"n/a")</f>
        <v>n/m</v>
      </c>
      <c r="F165" s="18" t="str">
        <f>IF(AND(ISNUMBER(F163),ISNUMBER(E163)),IF(OR(E163&gt;0,AND(E163&lt;0,F163&lt;0)),F163/E163-1,"n/m"),"n/a")</f>
        <v>n/m</v>
      </c>
      <c r="G165" s="18" t="s">
        <v>100</v>
      </c>
      <c r="H165" s="21" t="str">
        <f>IF(AND(ISNUMBER(H163),ISNUMBER(F163)),IF(OR(F163&gt;0,AND(F163&lt;0,H163&lt;0)),H163/F163-1,"n/m"),"n/a")</f>
        <v>n/m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8" t="s">
        <v>101</v>
      </c>
      <c r="C166" s="2">
        <f>IF(AND(ISNUMBER(C163),ISNUMBER(M163)),C163-M163,"n/a")</f>
        <v>0</v>
      </c>
      <c r="D166" s="2">
        <f>IF(AND(ISNUMBER(D163),ISNUMBER(C163)),D163-C163,"n/a")</f>
        <v>0</v>
      </c>
      <c r="E166" s="2">
        <f>IF(AND(ISNUMBER(E163),ISNUMBER(D163)),E163-D163,"n/a")</f>
        <v>0</v>
      </c>
      <c r="F166" s="2">
        <f>IF(AND(ISNUMBER(F163),ISNUMBER(E163)),F163-E163,"n/a")</f>
        <v>0</v>
      </c>
      <c r="G166" s="2" t="s">
        <v>100</v>
      </c>
      <c r="H166" s="7">
        <f>IF(AND(ISNUMBER(H163),ISNUMBER(F163)),H163-F163,"n/a")</f>
        <v>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20" t="s">
        <v>193</v>
      </c>
      <c r="C167" s="18">
        <f>IF(AND(ISNUMBER(C163),ISNUMBER(C56)),C163/C56,"n/a")</f>
        <v>0</v>
      </c>
      <c r="D167" s="18">
        <f>IF(AND(ISNUMBER(D163),ISNUMBER(D56)),D163/D56,"n/a")</f>
        <v>0</v>
      </c>
      <c r="E167" s="18">
        <f>IF(AND(ISNUMBER(E163),ISNUMBER(E56)),E163/E56,"n/a")</f>
        <v>0</v>
      </c>
      <c r="F167" s="18">
        <f>IF(AND(ISNUMBER(F163),ISNUMBER(F56)),F163/F56,"n/a")</f>
        <v>0</v>
      </c>
      <c r="G167" s="18">
        <f>IF(AND(ISNUMBER(G163),ISNUMBER(G56)),G163/G56,"n/a")</f>
        <v>0</v>
      </c>
      <c r="H167" s="21">
        <f>IF(AND(ISNUMBER(H163),ISNUMBER(H56)),H163/H56,"n/a")</f>
        <v>0</v>
      </c>
      <c r="I167" s="1"/>
      <c r="J167" s="18">
        <f>IF(AND(ISNUMBER(J163),ISNUMBER(J56)),J163/J56,"n/a")</f>
        <v>0</v>
      </c>
      <c r="K167" s="18">
        <f>IF(AND(ISNUMBER(K163),ISNUMBER(K56)),K163/K56,"n/a")</f>
        <v>0</v>
      </c>
      <c r="L167" s="18">
        <f>IF(AND(ISNUMBER(L163),ISNUMBER(L56)),L163/L56,"n/a")</f>
        <v>0</v>
      </c>
      <c r="M167" s="18">
        <f>IF(AND(ISNUMBER(M163),ISNUMBER(M56)),M163/M56,"n/a")</f>
        <v>0</v>
      </c>
      <c r="N167" s="18">
        <f>IF(AND(ISNUMBER(N163),ISNUMBER(N56)),N163/N56,"n/a")</f>
        <v>0</v>
      </c>
      <c r="O167" s="18">
        <f>IF(AND(ISNUMBER(O163),ISNUMBER(O56)),O163/O56,"n/a")</f>
        <v>0</v>
      </c>
      <c r="P167" s="18">
        <f>IF(AND(ISNUMBER(P163),ISNUMBER(P56)),P163/P56,"n/a")</f>
        <v>0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37" t="s">
        <v>103</v>
      </c>
      <c r="C168" s="5">
        <f>IF(AND(ISNUMBER(C167),ISNUMBER(J167)),(C167-J167)*10000,"n/a")</f>
        <v>0</v>
      </c>
      <c r="D168" s="5">
        <f>IF(AND(ISNUMBER(D167),ISNUMBER(K167)),(D167-K167)*10000,"n/a")</f>
        <v>0</v>
      </c>
      <c r="E168" s="5">
        <f>IF(AND(ISNUMBER(E167),ISNUMBER(L167)),(E167-L167)*10000,"n/a")</f>
        <v>0</v>
      </c>
      <c r="F168" s="5">
        <f>IF(AND(ISNUMBER(F167),ISNUMBER(M167)),(F167-M167)*10000,"n/a")</f>
        <v>0</v>
      </c>
      <c r="G168" s="5">
        <f>IF(AND(ISNUMBER(G167),ISNUMBER(N167)),(G167-N167)*10000,"n/a")</f>
        <v>0</v>
      </c>
      <c r="H168" s="30">
        <f>IF(AND(ISNUMBER(H167),ISNUMBER(C167)),(H167-C167)*10000,"n/a")</f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37" t="s">
        <v>104</v>
      </c>
      <c r="C169" s="5">
        <f>IF(AND(ISNUMBER(C167),ISNUMBER(M167)),(C167-M167)*10000,"n/a")</f>
        <v>0</v>
      </c>
      <c r="D169" s="5">
        <f>IF(AND(ISNUMBER(D167),ISNUMBER(C167)),(D167-C167)*10000,"n/a")</f>
        <v>0</v>
      </c>
      <c r="E169" s="5">
        <f>IF(AND(ISNUMBER(E167),ISNUMBER(D167)),(E167-D167)*10000,"n/a")</f>
        <v>0</v>
      </c>
      <c r="F169" s="5">
        <f>IF(AND(ISNUMBER(F167),ISNUMBER(E167)),(F167-E167)*10000,"n/a")</f>
        <v>0</v>
      </c>
      <c r="G169" s="5" t="s">
        <v>100</v>
      </c>
      <c r="H169" s="30">
        <f>IF(AND(ISNUMBER(H167),ISNUMBER(F167)),(H167-F167)*10000,"n/a")</f>
        <v>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20" t="s">
        <v>105</v>
      </c>
      <c r="C170" s="18" t="s">
        <v>106</v>
      </c>
      <c r="D170" s="18" t="s">
        <v>106</v>
      </c>
      <c r="E170" s="18" t="s">
        <v>106</v>
      </c>
      <c r="F170" s="18" t="s">
        <v>106</v>
      </c>
      <c r="G170" s="18" t="s">
        <v>106</v>
      </c>
      <c r="H170" s="21" t="s">
        <v>106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20" t="s">
        <v>107</v>
      </c>
      <c r="C171" s="18" t="s">
        <v>106</v>
      </c>
      <c r="D171" s="18" t="s">
        <v>106</v>
      </c>
      <c r="E171" s="18" t="s">
        <v>106</v>
      </c>
      <c r="F171" s="18" t="s">
        <v>106</v>
      </c>
      <c r="G171" s="18" t="s">
        <v>106</v>
      </c>
      <c r="H171" s="21" t="s">
        <v>106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20" t="s">
        <v>108</v>
      </c>
      <c r="C172" s="18" t="str">
        <f>IF(AND(ISNUMBER(C164),ISNUMBER(C170),ISNUMBER(C171)),(1+C164)/((1+C170)*(1+C171))-1,"n/a")</f>
        <v>n/a</v>
      </c>
      <c r="D172" s="18" t="str">
        <f>IF(AND(ISNUMBER(D164),ISNUMBER(D170),ISNUMBER(D171)),(1+D164)/((1+D170)*(1+D171))-1,"n/a")</f>
        <v>n/a</v>
      </c>
      <c r="E172" s="18" t="str">
        <f>IF(AND(ISNUMBER(E164),ISNUMBER(E170),ISNUMBER(E171)),(1+E164)/((1+E170)*(1+E171))-1,"n/a")</f>
        <v>n/a</v>
      </c>
      <c r="F172" s="18" t="str">
        <f>IF(AND(ISNUMBER(F164),ISNUMBER(F170),ISNUMBER(F171)),(1+F164)/((1+F170)*(1+F171))-1,"n/a")</f>
        <v>n/a</v>
      </c>
      <c r="G172" s="18" t="str">
        <f>IF(AND(ISNUMBER(G164),ISNUMBER(G170),ISNUMBER(G171)),(1+G164)/((1+G170)*(1+G171))-1,"n/a")</f>
        <v>n/a</v>
      </c>
      <c r="H172" s="21" t="str">
        <f>IF(AND(ISNUMBER(H164),ISNUMBER(H170),ISNUMBER(H171)),(1+H164)/((1+H170)*(1+H171))-1,"n/a")</f>
        <v>n/a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46" t="s">
        <v>194</v>
      </c>
      <c r="C173" s="14">
        <f>C123+C133+C143+C153+C163</f>
        <v>3356</v>
      </c>
      <c r="D173" s="14">
        <f>D123+D133+D143+D153+D163</f>
        <v>3161</v>
      </c>
      <c r="E173" s="14">
        <f>E123+E133+E143+E153+E163</f>
        <v>3428</v>
      </c>
      <c r="F173" s="14">
        <f>F123+F133+F143+F153+F163</f>
        <v>3496</v>
      </c>
      <c r="G173" s="14">
        <f>G123+G133+G143+G153+G163</f>
        <v>13029</v>
      </c>
      <c r="H173" s="48">
        <f>H123+H133+H143+H153+H163</f>
        <v>3551.3255999999997</v>
      </c>
      <c r="I173" s="1"/>
      <c r="J173" s="14">
        <f>J123+J133+J143+J153+J163</f>
        <v>3075</v>
      </c>
      <c r="K173" s="14">
        <f>K123+K133+K143+K153+K163</f>
        <v>2940</v>
      </c>
      <c r="L173" s="14">
        <f>L123+L133+L143+L153+L163</f>
        <v>3205</v>
      </c>
      <c r="M173" s="14">
        <f>M123+M133+M143+M153+M163</f>
        <v>3307</v>
      </c>
      <c r="N173" s="14">
        <f>N123+N133+N143+N153+N163</f>
        <v>12479</v>
      </c>
      <c r="O173" s="14">
        <f>O123+O133+O143+O153+O163</f>
        <v>9539</v>
      </c>
      <c r="P173" s="14">
        <f>P123+P133+P143+P153+P163</f>
        <v>9868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1" t="s">
        <v>195</v>
      </c>
      <c r="C174" s="19">
        <f>C173-C56</f>
        <v>0</v>
      </c>
      <c r="D174" s="19">
        <f>D173-D56</f>
        <v>0</v>
      </c>
      <c r="E174" s="19">
        <f>E173-E56</f>
        <v>0</v>
      </c>
      <c r="F174" s="19">
        <f>F173-F56</f>
        <v>0</v>
      </c>
      <c r="G174" s="19">
        <f>G173-G56</f>
        <v>0</v>
      </c>
      <c r="H174" s="49">
        <f>H173-H56</f>
        <v>0</v>
      </c>
      <c r="I174" s="1"/>
      <c r="J174" s="19">
        <f>J173-J56</f>
        <v>0</v>
      </c>
      <c r="K174" s="19">
        <f>K173-K56</f>
        <v>0</v>
      </c>
      <c r="L174" s="19">
        <f>L173-L56</f>
        <v>0</v>
      </c>
      <c r="M174" s="19">
        <f>M173-M56</f>
        <v>0</v>
      </c>
      <c r="N174" s="19">
        <f>N173-N56</f>
        <v>0</v>
      </c>
      <c r="O174" s="19">
        <f>O173-O56</f>
        <v>0</v>
      </c>
      <c r="P174" s="19">
        <f>P173-P56</f>
        <v>0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3" t="s">
        <v>118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46" t="s">
        <v>118</v>
      </c>
      <c r="C177" s="36">
        <v>331</v>
      </c>
      <c r="D177" s="36">
        <v>273</v>
      </c>
      <c r="E177" s="36">
        <v>281</v>
      </c>
      <c r="F177" s="36">
        <v>371</v>
      </c>
      <c r="G177" s="39">
        <f>P177+D177</f>
        <v>1345</v>
      </c>
      <c r="H177" s="65">
        <f>H56*H180</f>
        <v>344.4785832</v>
      </c>
      <c r="I177" s="1"/>
      <c r="J177" s="36">
        <v>272</v>
      </c>
      <c r="K177" s="36">
        <v>283</v>
      </c>
      <c r="L177" s="36">
        <v>379</v>
      </c>
      <c r="M177" s="36">
        <v>362</v>
      </c>
      <c r="N177" s="39">
        <f>O177+K177</f>
        <v>1226</v>
      </c>
      <c r="O177" s="36">
        <v>943</v>
      </c>
      <c r="P177" s="36">
        <v>1072</v>
      </c>
      <c r="Q177" s="1"/>
      <c r="R177" s="9" t="s">
        <v>196</v>
      </c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25" t="s">
        <v>98</v>
      </c>
      <c r="C178" s="18">
        <f>IF(AND(ISNUMBER(C177),ISNUMBER(J177)),IF(OR(J177&gt;0,AND(J177&lt;0,C177&lt;0)),C177/J177-1,"n/m"),"n/a")</f>
        <v>0.21691176470588225</v>
      </c>
      <c r="D178" s="18">
        <f>IF(AND(ISNUMBER(D177),ISNUMBER(K177)),IF(OR(K177&gt;0,AND(K177&lt;0,D177&lt;0)),D177/K177-1,"n/m"),"n/a")</f>
        <v>-0.035335689045936425</v>
      </c>
      <c r="E178" s="18">
        <f>IF(AND(ISNUMBER(E177),ISNUMBER(L177)),IF(OR(L177&gt;0,AND(L177&lt;0,E177&lt;0)),E177/L177-1,"n/m"),"n/a")</f>
        <v>-0.25857519788918204</v>
      </c>
      <c r="F178" s="18">
        <f>IF(AND(ISNUMBER(F177),ISNUMBER(M177)),IF(OR(M177&gt;0,AND(M177&lt;0,F177&lt;0)),F177/M177-1,"n/m"),"n/a")</f>
        <v>0.024861878453038777</v>
      </c>
      <c r="G178" s="18">
        <f>IF(AND(ISNUMBER(G177),ISNUMBER(N177)),IF(OR(N177&gt;0,AND(N177&lt;0,G177&lt;0)),G177/N177-1,"n/m"),"n/a")</f>
        <v>0.09706362153344217</v>
      </c>
      <c r="H178" s="21">
        <f>IF(AND(ISNUMBER(H177),ISNUMBER(C177)),IF(OR(C177&gt;0,AND(C177&lt;0,H177&lt;0)),H177/C177-1,"n/m"),"n/a")</f>
        <v>0.040720795166163226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4" t="s">
        <v>101</v>
      </c>
      <c r="C179" s="2">
        <f>IF(AND(ISNUMBER(C177),ISNUMBER(M177)),C177-M177,"n/a")</f>
        <v>-31</v>
      </c>
      <c r="D179" s="2">
        <f>IF(AND(ISNUMBER(D177),ISNUMBER(C177)),D177-C177,"n/a")</f>
        <v>-58</v>
      </c>
      <c r="E179" s="2">
        <f>IF(AND(ISNUMBER(E177),ISNUMBER(D177)),E177-D177,"n/a")</f>
        <v>8</v>
      </c>
      <c r="F179" s="2">
        <f>IF(AND(ISNUMBER(F177),ISNUMBER(E177)),F177-E177,"n/a")</f>
        <v>90</v>
      </c>
      <c r="G179" s="2" t="s">
        <v>100</v>
      </c>
      <c r="H179" s="7">
        <f>IF(AND(ISNUMBER(H177),ISNUMBER(F177)),H177-F177,"n/a")</f>
        <v>-26.521416799999997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25" t="s">
        <v>125</v>
      </c>
      <c r="C180" s="18">
        <f>C177/C56</f>
        <v>0.09862932061978547</v>
      </c>
      <c r="D180" s="18">
        <f>D177/D56</f>
        <v>0.08636507434356216</v>
      </c>
      <c r="E180" s="18">
        <f>E177/E56</f>
        <v>0.08197199533255542</v>
      </c>
      <c r="F180" s="18">
        <f>F177/F56</f>
        <v>0.1061212814645309</v>
      </c>
      <c r="G180" s="18">
        <f>G177/G56</f>
        <v>0.10323125335789393</v>
      </c>
      <c r="H180" s="32">
        <v>0.097</v>
      </c>
      <c r="I180" s="1"/>
      <c r="J180" s="18">
        <f>J177/J56</f>
        <v>0.08845528455284553</v>
      </c>
      <c r="K180" s="18">
        <f>K177/K56</f>
        <v>0.09625850340136054</v>
      </c>
      <c r="L180" s="18">
        <f>L177/L56</f>
        <v>0.11825273010920437</v>
      </c>
      <c r="M180" s="18">
        <f>M177/M56</f>
        <v>0.10946477169640158</v>
      </c>
      <c r="N180" s="18">
        <f>N177/N56</f>
        <v>0.09824505168683388</v>
      </c>
      <c r="O180" s="18">
        <f>O177/O56</f>
        <v>0.09885732257050005</v>
      </c>
      <c r="P180" s="18">
        <f>P177/P56</f>
        <v>0.10863396838265099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20" t="s">
        <v>103</v>
      </c>
      <c r="C181" s="5">
        <f>IF(AND(ISNUMBER(C180),ISNUMBER(J180)),(C180-J180)*10000,"n/a")</f>
        <v>101.74036066939937</v>
      </c>
      <c r="D181" s="5">
        <f>IF(AND(ISNUMBER(D180),ISNUMBER(K180)),(D180-K180)*10000,"n/a")</f>
        <v>-98.93429057798373</v>
      </c>
      <c r="E181" s="5">
        <f>IF(AND(ISNUMBER(E180),ISNUMBER(L180)),(E180-L180)*10000,"n/a")</f>
        <v>-362.8073477664895</v>
      </c>
      <c r="F181" s="5">
        <f>IF(AND(ISNUMBER(F180),ISNUMBER(M180)),(F180-M180)*10000,"n/a")</f>
        <v>-33.4349023187068</v>
      </c>
      <c r="G181" s="5">
        <f>IF(AND(ISNUMBER(G180),ISNUMBER(N180)),(G180-N180)*10000,"n/a")</f>
        <v>49.86201671060051</v>
      </c>
      <c r="H181" s="30">
        <f>IF(AND(ISNUMBER(H180),ISNUMBER(C180)),(H180-C180)*10000,"n/a")</f>
        <v>-16.293206197854627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20" t="s">
        <v>104</v>
      </c>
      <c r="C182" s="5">
        <f>IF(AND(ISNUMBER(C180),ISNUMBER(M180)),(C180-M180)*10000,"n/a")</f>
        <v>-108.35451076616113</v>
      </c>
      <c r="D182" s="5">
        <f>IF(AND(ISNUMBER(D180),ISNUMBER(C180)),(D180-C180)*10000,"n/a")</f>
        <v>-122.64246276223301</v>
      </c>
      <c r="E182" s="5">
        <f>IF(AND(ISNUMBER(E180),ISNUMBER(D180)),(E180-D180)*10000,"n/a")</f>
        <v>-43.930790110067456</v>
      </c>
      <c r="F182" s="5">
        <f>IF(AND(ISNUMBER(F180),ISNUMBER(E180)),(F180-E180)*10000,"n/a")</f>
        <v>241.49286131975478</v>
      </c>
      <c r="G182" s="5" t="s">
        <v>100</v>
      </c>
      <c r="H182" s="30">
        <f>IF(AND(ISNUMBER(H180),ISNUMBER(F180)),(H180-F180)*10000,"n/a")</f>
        <v>-91.21281464530895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4" t="s">
        <v>197</v>
      </c>
      <c r="C183" s="2">
        <f>C56-C177</f>
        <v>3025</v>
      </c>
      <c r="D183" s="2">
        <f>D56-D177</f>
        <v>2888</v>
      </c>
      <c r="E183" s="2">
        <f>E56-E177</f>
        <v>3147</v>
      </c>
      <c r="F183" s="2">
        <f>F56-F177</f>
        <v>3125</v>
      </c>
      <c r="G183" s="2">
        <f>G56-G177</f>
        <v>11684</v>
      </c>
      <c r="H183" s="7">
        <f>H56-H177</f>
        <v>3206.8470167999994</v>
      </c>
      <c r="I183" s="1"/>
      <c r="J183" s="2">
        <f>J56-J177</f>
        <v>2803</v>
      </c>
      <c r="K183" s="2">
        <f>K56-K177</f>
        <v>2657</v>
      </c>
      <c r="L183" s="2">
        <f>L56-L177</f>
        <v>2826</v>
      </c>
      <c r="M183" s="2">
        <f>M56-M177</f>
        <v>2945</v>
      </c>
      <c r="N183" s="2">
        <f>N56-N177</f>
        <v>11253</v>
      </c>
      <c r="O183" s="2">
        <f>O56-O177</f>
        <v>8596</v>
      </c>
      <c r="P183" s="2">
        <f>P56-P177</f>
        <v>8796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20" t="s">
        <v>98</v>
      </c>
      <c r="C184" s="18">
        <f>IF(AND(ISNUMBER(C183),ISNUMBER(J183)),IF(OR(J183&gt;0,AND(J183&lt;0,C183&lt;0)),C183/J183-1,"n/m"),"n/a")</f>
        <v>0.07920085622547268</v>
      </c>
      <c r="D184" s="18">
        <f>IF(AND(ISNUMBER(D183),ISNUMBER(K183)),IF(OR(K183&gt;0,AND(K183&lt;0,D183&lt;0)),D183/K183-1,"n/m"),"n/a")</f>
        <v>0.0869401580730147</v>
      </c>
      <c r="E184" s="18">
        <f>IF(AND(ISNUMBER(E183),ISNUMBER(L183)),IF(OR(L183&gt;0,AND(L183&lt;0,E183&lt;0)),E183/L183-1,"n/m"),"n/a")</f>
        <v>0.11358811040339711</v>
      </c>
      <c r="F184" s="18">
        <f>IF(AND(ISNUMBER(F183),ISNUMBER(M183)),IF(OR(M183&gt;0,AND(M183&lt;0,F183&lt;0)),F183/M183-1,"n/m"),"n/a")</f>
        <v>0.06112054329371808</v>
      </c>
      <c r="G184" s="18">
        <f>IF(AND(ISNUMBER(G183),ISNUMBER(N183)),IF(OR(N183&gt;0,AND(N183&lt;0,G183&lt;0)),G183/N183-1,"n/m"),"n/a")</f>
        <v>0.03830089753843424</v>
      </c>
      <c r="H184" s="21">
        <f>IF(AND(ISNUMBER(H183),ISNUMBER(C183)),IF(OR(C183&gt;0,AND(C183&lt;0,H183&lt;0)),H183/C183-1,"n/m"),"n/a")</f>
        <v>0.06011471629752041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8" t="s">
        <v>101</v>
      </c>
      <c r="C185" s="2">
        <f>IF(AND(ISNUMBER(C183),ISNUMBER(M183)),C183-M183,"n/a")</f>
        <v>80</v>
      </c>
      <c r="D185" s="2">
        <f>IF(AND(ISNUMBER(D183),ISNUMBER(C183)),D183-C183,"n/a")</f>
        <v>-137</v>
      </c>
      <c r="E185" s="2">
        <f>IF(AND(ISNUMBER(E183),ISNUMBER(D183)),E183-D183,"n/a")</f>
        <v>259</v>
      </c>
      <c r="F185" s="2">
        <f>IF(AND(ISNUMBER(F183),ISNUMBER(E183)),F183-E183,"n/a")</f>
        <v>-22</v>
      </c>
      <c r="G185" s="2" t="s">
        <v>100</v>
      </c>
      <c r="H185" s="7">
        <f>IF(AND(ISNUMBER(H183),ISNUMBER(F183)),H183-F183,"n/a")</f>
        <v>81.84701679999944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3" t="s">
        <v>198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4" t="s">
        <v>199</v>
      </c>
      <c r="C188" s="3">
        <v>77</v>
      </c>
      <c r="D188" s="2">
        <f>G188-P188</f>
        <v>84</v>
      </c>
      <c r="E188" s="3">
        <v>81</v>
      </c>
      <c r="F188" s="3">
        <v>79</v>
      </c>
      <c r="G188" s="3">
        <v>328</v>
      </c>
      <c r="H188" s="7">
        <f>F188</f>
        <v>79</v>
      </c>
      <c r="I188" s="1"/>
      <c r="J188" s="3">
        <v>94</v>
      </c>
      <c r="K188" s="2">
        <f>N188-O188</f>
        <v>92</v>
      </c>
      <c r="L188" s="3">
        <v>83</v>
      </c>
      <c r="M188" s="3">
        <v>84</v>
      </c>
      <c r="N188" s="3">
        <v>392</v>
      </c>
      <c r="O188" s="3">
        <v>300</v>
      </c>
      <c r="P188" s="3">
        <v>244</v>
      </c>
      <c r="Q188" s="1"/>
      <c r="R188" s="9" t="s">
        <v>200</v>
      </c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20" t="s">
        <v>98</v>
      </c>
      <c r="C189" s="18">
        <f>IF(AND(ISNUMBER(C188),ISNUMBER(J188)),IF(OR(J188&gt;0,AND(J188&lt;0,C188&lt;0)),C188/J188-1,"n/m"),"n/a")</f>
        <v>-0.18085106382978722</v>
      </c>
      <c r="D189" s="18">
        <f>IF(AND(ISNUMBER(D188),ISNUMBER(K188)),IF(OR(K188&gt;0,AND(K188&lt;0,D188&lt;0)),D188/K188-1,"n/m"),"n/a")</f>
        <v>-0.08695652173913049</v>
      </c>
      <c r="E189" s="18">
        <f>IF(AND(ISNUMBER(E188),ISNUMBER(L188)),IF(OR(L188&gt;0,AND(L188&lt;0,E188&lt;0)),E188/L188-1,"n/m"),"n/a")</f>
        <v>-0.02409638554216864</v>
      </c>
      <c r="F189" s="18">
        <f>IF(AND(ISNUMBER(F188),ISNUMBER(M188)),IF(OR(M188&gt;0,AND(M188&lt;0,F188&lt;0)),F188/M188-1,"n/m"),"n/a")</f>
        <v>-0.059523809523809534</v>
      </c>
      <c r="G189" s="18">
        <f>IF(AND(ISNUMBER(G188),ISNUMBER(N188)),IF(OR(N188&gt;0,AND(N188&lt;0,G188&lt;0)),G188/N188-1,"n/m"),"n/a")</f>
        <v>-0.16326530612244894</v>
      </c>
      <c r="H189" s="21">
        <f>IF(AND(ISNUMBER(H188),ISNUMBER(C188)),IF(OR(C188&gt;0,AND(C188&lt;0,H188&lt;0)),H188/C188-1,"n/m"),"n/a")</f>
        <v>0.025974025974025983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8" t="s">
        <v>101</v>
      </c>
      <c r="C190" s="2">
        <f>IF(AND(ISNUMBER(C188),ISNUMBER(M188)),C188-M188,"n/a")</f>
        <v>-7</v>
      </c>
      <c r="D190" s="2">
        <f>IF(AND(ISNUMBER(D188),ISNUMBER(C188)),D188-C188,"n/a")</f>
        <v>7</v>
      </c>
      <c r="E190" s="2">
        <f>IF(AND(ISNUMBER(E188),ISNUMBER(D188)),E188-D188,"n/a")</f>
        <v>-3</v>
      </c>
      <c r="F190" s="2">
        <f>IF(AND(ISNUMBER(F188),ISNUMBER(E188)),F188-E188,"n/a")</f>
        <v>-2</v>
      </c>
      <c r="G190" s="2" t="s">
        <v>100</v>
      </c>
      <c r="H190" s="7">
        <f>IF(AND(ISNUMBER(H188),ISNUMBER(F188)),H188-F188,"n/a")</f>
        <v>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46" t="s">
        <v>210</v>
      </c>
      <c r="C192" s="26" t="b">
        <f>AND(ABS(C86)&lt;0.5,ABS(C120)&lt;0.5,ABS(C174)&lt;0.5)</f>
        <v>1</v>
      </c>
      <c r="D192" s="26" t="b">
        <f>AND(ABS(D86)&lt;0.5,ABS(D120)&lt;0.5,ABS(D174)&lt;0.5)</f>
        <v>1</v>
      </c>
      <c r="E192" s="26" t="b">
        <f>AND(ABS(E86)&lt;0.5,ABS(E120)&lt;0.5,ABS(E174)&lt;0.5)</f>
        <v>1</v>
      </c>
      <c r="F192" s="26" t="b">
        <f>AND(ABS(F86)&lt;0.5,ABS(F120)&lt;0.5,ABS(F174)&lt;0.5)</f>
        <v>1</v>
      </c>
      <c r="G192" s="26" t="b">
        <f>AND(ABS(G86)&lt;0.5,ABS(G120)&lt;0.5,ABS(G174)&lt;0.5)</f>
        <v>1</v>
      </c>
      <c r="H192" s="22" t="b">
        <f>AND(ABS(H86)&lt;0.5,ABS(H120)&lt;0.5,ABS(H174)&lt;0.5)</f>
        <v>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225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226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160</v>
      </c>
      <c r="C10" s="35">
        <f>'Segment - Aeronautics'!C36+'Segment - MFC'!C36+'Segment - RMS'!C36+'Segment - Space'!C36</f>
        <v>15311</v>
      </c>
      <c r="D10" s="35">
        <f>'Segment - Aeronautics'!D36+'Segment - MFC'!D36+'Segment - RMS'!D36+'Segment - Space'!D36</f>
        <v>17258</v>
      </c>
      <c r="E10" s="35">
        <f>'Segment - Aeronautics'!E36+'Segment - MFC'!E36+'Segment - RMS'!E36+'Segment - Space'!E36</f>
        <v>14831</v>
      </c>
      <c r="F10" s="35">
        <f>'Segment - Aeronautics'!F36+'Segment - MFC'!F36+'Segment - RMS'!F36+'Segment - Space'!F36</f>
        <v>16783</v>
      </c>
      <c r="G10" s="35">
        <f>'Segment - Aeronautics'!G36+'Segment - MFC'!G36+'Segment - RMS'!G36+'Segment - Space'!G36</f>
        <v>62654</v>
      </c>
      <c r="H10" s="34">
        <f>'Segment - Aeronautics'!H36+'Segment - MFC'!H36+'Segment - RMS'!H36+'Segment - Space'!H36</f>
        <v>16807.315469999998</v>
      </c>
      <c r="I10" s="1"/>
      <c r="J10" s="35">
        <f>'Segment - Aeronautics'!J36+'Segment - MFC'!J36+'Segment - RMS'!J36+'Segment - Space'!J36</f>
        <v>14472</v>
      </c>
      <c r="K10" s="35">
        <f>'Segment - Aeronautics'!K36+'Segment - MFC'!K36+'Segment - RMS'!K36+'Segment - Space'!K36</f>
        <v>15500</v>
      </c>
      <c r="L10" s="35">
        <f>'Segment - Aeronautics'!L36+'Segment - MFC'!L36+'Segment - RMS'!L36+'Segment - Space'!L36</f>
        <v>14936</v>
      </c>
      <c r="M10" s="35">
        <f>'Segment - Aeronautics'!M36+'Segment - MFC'!M36+'Segment - RMS'!M36+'Segment - Space'!M36</f>
        <v>15149</v>
      </c>
      <c r="N10" s="35">
        <f>'Segment - Aeronautics'!N36+'Segment - MFC'!N36+'Segment - RMS'!N36+'Segment - Space'!N36</f>
        <v>59277</v>
      </c>
      <c r="O10" s="35">
        <f>'Segment - Aeronautics'!O36+'Segment - MFC'!O36+'Segment - RMS'!O36+'Segment - Space'!O36</f>
        <v>43777</v>
      </c>
      <c r="P10" s="35">
        <f>'Segment - Aeronautics'!P36+'Segment - MFC'!P36+'Segment - RMS'!P36+'Segment - Space'!P36</f>
        <v>45396</v>
      </c>
      <c r="Q10" s="1"/>
      <c r="R10" s="9" t="s">
        <v>227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0" t="s">
        <v>98</v>
      </c>
      <c r="C11" s="18">
        <f>IF(AND(ISNUMBER(C10),ISNUMBER(J10)),IF(OR(J10&gt;0,AND(J10&lt;0,C10&lt;0)),C10/J10-1,"n/m"),"n/a")</f>
        <v>0.05797401879491426</v>
      </c>
      <c r="D11" s="18">
        <f>IF(AND(ISNUMBER(D10),ISNUMBER(K10)),IF(OR(K10&gt;0,AND(K10&lt;0,D10&lt;0)),D10/K10-1,"n/m"),"n/a")</f>
        <v>0.11341935483870969</v>
      </c>
      <c r="E11" s="18">
        <f>IF(AND(ISNUMBER(E10),ISNUMBER(L10)),IF(OR(L10&gt;0,AND(L10&lt;0,E10&lt;0)),E10/L10-1,"n/m"),"n/a")</f>
        <v>-0.007029994643813597</v>
      </c>
      <c r="F11" s="18">
        <f>IF(AND(ISNUMBER(F10),ISNUMBER(M10)),IF(OR(M10&gt;0,AND(M10&lt;0,F10&lt;0)),F10/M10-1,"n/m"),"n/a")</f>
        <v>0.1078619050762426</v>
      </c>
      <c r="G11" s="18">
        <f>IF(AND(ISNUMBER(G10),ISNUMBER(N10)),IF(OR(N10&gt;0,AND(N10&lt;0,G10&lt;0)),G10/N10-1,"n/m"),"n/a")</f>
        <v>0.056969819660239285</v>
      </c>
      <c r="H11" s="21">
        <f>IF(AND(ISNUMBER(H10),ISNUMBER(C10)),IF(OR(C10&gt;0,AND(C10&lt;0,H10&lt;0)),H10/C10-1,"n/m"),"n/a")</f>
        <v>0.09772813467441699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101</v>
      </c>
      <c r="C12" s="2">
        <f>IF(AND(ISNUMBER(C10),ISNUMBER(M10)),C10-M10,"n/a")</f>
        <v>162</v>
      </c>
      <c r="D12" s="2">
        <f>IF(AND(ISNUMBER(D10),ISNUMBER(C10)),D10-C10,"n/a")</f>
        <v>1947</v>
      </c>
      <c r="E12" s="2">
        <f>IF(AND(ISNUMBER(E10),ISNUMBER(D10)),E10-D10,"n/a")</f>
        <v>-2427</v>
      </c>
      <c r="F12" s="2">
        <f>IF(AND(ISNUMBER(F10),ISNUMBER(E10)),F10-E10,"n/a")</f>
        <v>1952</v>
      </c>
      <c r="G12" s="2" t="s">
        <v>100</v>
      </c>
      <c r="H12" s="7">
        <f>IF(AND(ISNUMBER(H10),ISNUMBER(F10)),H10-F10,"n/a")</f>
        <v>24.31546999999773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20" t="s">
        <v>105</v>
      </c>
      <c r="C13" s="18" t="s">
        <v>106</v>
      </c>
      <c r="D13" s="18" t="s">
        <v>106</v>
      </c>
      <c r="E13" s="18" t="s">
        <v>106</v>
      </c>
      <c r="F13" s="18" t="s">
        <v>106</v>
      </c>
      <c r="G13" s="18" t="s">
        <v>106</v>
      </c>
      <c r="H13" s="21" t="s">
        <v>106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0" t="s">
        <v>107</v>
      </c>
      <c r="C14" s="18" t="s">
        <v>106</v>
      </c>
      <c r="D14" s="18" t="s">
        <v>106</v>
      </c>
      <c r="E14" s="18" t="s">
        <v>106</v>
      </c>
      <c r="F14" s="18" t="s">
        <v>106</v>
      </c>
      <c r="G14" s="18" t="s">
        <v>106</v>
      </c>
      <c r="H14" s="21" t="s">
        <v>106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20" t="s">
        <v>108</v>
      </c>
      <c r="C15" s="18" t="str">
        <f>IF(AND(ISNUMBER(C11),ISNUMBER(C13),ISNUMBER(C14)),(1+C11)/((1+C13)*(1+C14))-1,"n/a")</f>
        <v>n/a</v>
      </c>
      <c r="D15" s="18" t="str">
        <f>IF(AND(ISNUMBER(D11),ISNUMBER(D13),ISNUMBER(D14)),(1+D11)/((1+D13)*(1+D14))-1,"n/a")</f>
        <v>n/a</v>
      </c>
      <c r="E15" s="18" t="str">
        <f>IF(AND(ISNUMBER(E11),ISNUMBER(E13),ISNUMBER(E14)),(1+E11)/((1+E13)*(1+E14))-1,"n/a")</f>
        <v>n/a</v>
      </c>
      <c r="F15" s="18" t="str">
        <f>IF(AND(ISNUMBER(F11),ISNUMBER(F13),ISNUMBER(F14)),(1+F11)/((1+F13)*(1+F14))-1,"n/a")</f>
        <v>n/a</v>
      </c>
      <c r="G15" s="18" t="str">
        <f>IF(AND(ISNUMBER(G11),ISNUMBER(G13),ISNUMBER(G14)),(1+G11)/((1+G13)*(1+G14))-1,"n/a")</f>
        <v>n/a</v>
      </c>
      <c r="H15" s="21" t="str">
        <f>IF(AND(ISNUMBER(H11),ISNUMBER(H13),ISNUMBER(H14)),(1+H11)/((1+H13)*(1+H14))-1,"n/a")</f>
        <v>n/a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163</v>
      </c>
      <c r="C16" s="35">
        <f>'Segment - Aeronautics'!C46+'Segment - MFC'!C46+'Segment - RMS'!C46+'Segment - Space'!C46</f>
        <v>3298</v>
      </c>
      <c r="D16" s="35">
        <f>'Segment - Aeronautics'!D46+'Segment - MFC'!D46+'Segment - RMS'!D46+'Segment - Space'!D46</f>
        <v>3063</v>
      </c>
      <c r="E16" s="35">
        <f>'Segment - Aeronautics'!E46+'Segment - MFC'!E46+'Segment - RMS'!E46+'Segment - Space'!E46</f>
        <v>3190</v>
      </c>
      <c r="F16" s="35">
        <f>'Segment - Aeronautics'!F46+'Segment - MFC'!F46+'Segment - RMS'!F46+'Segment - Space'!F46</f>
        <v>3280</v>
      </c>
      <c r="G16" s="35">
        <f>'Segment - Aeronautics'!G46+'Segment - MFC'!G46+'Segment - RMS'!G46+'Segment - Space'!G46</f>
        <v>12394</v>
      </c>
      <c r="H16" s="34">
        <f>'Segment - Aeronautics'!H46+'Segment - MFC'!H46+'Segment - RMS'!H46+'Segment - Space'!H46</f>
        <v>3342.902529999999</v>
      </c>
      <c r="I16" s="1"/>
      <c r="J16" s="35">
        <f>'Segment - Aeronautics'!J46+'Segment - MFC'!J46+'Segment - RMS'!J46+'Segment - Space'!J46</f>
        <v>2632</v>
      </c>
      <c r="K16" s="35">
        <f>'Segment - Aeronautics'!K46+'Segment - MFC'!K46+'Segment - RMS'!K46+'Segment - Space'!K46</f>
        <v>3122</v>
      </c>
      <c r="L16" s="35">
        <f>'Segment - Aeronautics'!L46+'Segment - MFC'!L46+'Segment - RMS'!L46+'Segment - Space'!L46</f>
        <v>3027</v>
      </c>
      <c r="M16" s="35">
        <f>'Segment - Aeronautics'!M46+'Segment - MFC'!M46+'Segment - RMS'!M46+'Segment - Space'!M46</f>
        <v>3006</v>
      </c>
      <c r="N16" s="35">
        <f>'Segment - Aeronautics'!N46+'Segment - MFC'!N46+'Segment - RMS'!N46+'Segment - Space'!N46</f>
        <v>11766</v>
      </c>
      <c r="O16" s="35">
        <f>'Segment - Aeronautics'!O46+'Segment - MFC'!O46+'Segment - RMS'!O46+'Segment - Space'!O46</f>
        <v>8644</v>
      </c>
      <c r="P16" s="35">
        <f>'Segment - Aeronautics'!P46+'Segment - MFC'!P46+'Segment - RMS'!P46+'Segment - Space'!P46</f>
        <v>9331</v>
      </c>
      <c r="Q16" s="1"/>
      <c r="R16" s="9" t="s">
        <v>228</v>
      </c>
      <c r="S16" s="1"/>
      <c r="T16" s="1"/>
      <c r="U16" s="1"/>
      <c r="V16" s="1"/>
      <c r="W16" s="1"/>
      <c r="X16" s="1"/>
      <c r="Y16" s="1"/>
      <c r="Z16" s="1"/>
    </row>
    <row r="17">
      <c r="A17" s="1"/>
      <c r="B17" s="20" t="s">
        <v>98</v>
      </c>
      <c r="C17" s="18">
        <f>IF(AND(ISNUMBER(C16),ISNUMBER(J16)),IF(OR(J16&gt;0,AND(J16&lt;0,C16&lt;0)),C16/J16-1,"n/m"),"n/a")</f>
        <v>0.25303951367781163</v>
      </c>
      <c r="D17" s="18">
        <f>IF(AND(ISNUMBER(D16),ISNUMBER(K16)),IF(OR(K16&gt;0,AND(K16&lt;0,D16&lt;0)),D16/K16-1,"n/m"),"n/a")</f>
        <v>-0.018898142216527858</v>
      </c>
      <c r="E17" s="18">
        <f>IF(AND(ISNUMBER(E16),ISNUMBER(L16)),IF(OR(L16&gt;0,AND(L16&lt;0,E16&lt;0)),E16/L16-1,"n/m"),"n/a")</f>
        <v>0.05384869507763468</v>
      </c>
      <c r="F17" s="18">
        <f>IF(AND(ISNUMBER(F16),ISNUMBER(M16)),IF(OR(M16&gt;0,AND(M16&lt;0,F16&lt;0)),F16/M16-1,"n/m"),"n/a")</f>
        <v>0.09115103127079172</v>
      </c>
      <c r="G17" s="18">
        <f>IF(AND(ISNUMBER(G16),ISNUMBER(N16)),IF(OR(N16&gt;0,AND(N16&lt;0,G16&lt;0)),G16/N16-1,"n/m"),"n/a")</f>
        <v>0.05337412884582693</v>
      </c>
      <c r="H17" s="21">
        <f>IF(AND(ISNUMBER(H16),ISNUMBER(C16)),IF(OR(C16&gt;0,AND(C16&lt;0,H16&lt;0)),H16/C16-1,"n/m"),"n/a")</f>
        <v>0.013615078835657712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101</v>
      </c>
      <c r="C18" s="2">
        <f>IF(AND(ISNUMBER(C16),ISNUMBER(M16)),C16-M16,"n/a")</f>
        <v>292</v>
      </c>
      <c r="D18" s="2">
        <f>IF(AND(ISNUMBER(D16),ISNUMBER(C16)),D16-C16,"n/a")</f>
        <v>-235</v>
      </c>
      <c r="E18" s="2">
        <f>IF(AND(ISNUMBER(E16),ISNUMBER(D16)),E16-D16,"n/a")</f>
        <v>127</v>
      </c>
      <c r="F18" s="2">
        <f>IF(AND(ISNUMBER(F16),ISNUMBER(E16)),F16-E16,"n/a")</f>
        <v>90</v>
      </c>
      <c r="G18" s="2" t="s">
        <v>100</v>
      </c>
      <c r="H18" s="7">
        <f>IF(AND(ISNUMBER(H16),ISNUMBER(F16)),H16-F16,"n/a")</f>
        <v>62.90252999999893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20" t="s">
        <v>105</v>
      </c>
      <c r="C19" s="18" t="s">
        <v>106</v>
      </c>
      <c r="D19" s="18" t="s">
        <v>106</v>
      </c>
      <c r="E19" s="18" t="s">
        <v>106</v>
      </c>
      <c r="F19" s="18" t="s">
        <v>106</v>
      </c>
      <c r="G19" s="18" t="s">
        <v>106</v>
      </c>
      <c r="H19" s="21" t="s">
        <v>106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20" t="s">
        <v>107</v>
      </c>
      <c r="C20" s="18" t="s">
        <v>106</v>
      </c>
      <c r="D20" s="18" t="s">
        <v>106</v>
      </c>
      <c r="E20" s="18" t="s">
        <v>106</v>
      </c>
      <c r="F20" s="18" t="s">
        <v>106</v>
      </c>
      <c r="G20" s="18" t="s">
        <v>106</v>
      </c>
      <c r="H20" s="21" t="s">
        <v>106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20" t="s">
        <v>108</v>
      </c>
      <c r="C21" s="18" t="str">
        <f>IF(AND(ISNUMBER(C17),ISNUMBER(C19),ISNUMBER(C20)),(1+C17)/((1+C19)*(1+C20))-1,"n/a")</f>
        <v>n/a</v>
      </c>
      <c r="D21" s="18" t="str">
        <f>IF(AND(ISNUMBER(D17),ISNUMBER(D19),ISNUMBER(D20)),(1+D17)/((1+D19)*(1+D20))-1,"n/a")</f>
        <v>n/a</v>
      </c>
      <c r="E21" s="18" t="str">
        <f>IF(AND(ISNUMBER(E17),ISNUMBER(E19),ISNUMBER(E20)),(1+E17)/((1+E19)*(1+E20))-1,"n/a")</f>
        <v>n/a</v>
      </c>
      <c r="F21" s="18" t="str">
        <f>IF(AND(ISNUMBER(F17),ISNUMBER(F19),ISNUMBER(F20)),(1+F17)/((1+F19)*(1+F20))-1,"n/a")</f>
        <v>n/a</v>
      </c>
      <c r="G21" s="18" t="str">
        <f>IF(AND(ISNUMBER(G17),ISNUMBER(G19),ISNUMBER(G20)),(1+G17)/((1+G19)*(1+G20))-1,"n/a")</f>
        <v>n/a</v>
      </c>
      <c r="H21" s="21" t="str">
        <f>IF(AND(ISNUMBER(H17),ISNUMBER(H19),ISNUMBER(H20)),(1+H17)/((1+H19)*(1+H20))-1,"n/a")</f>
        <v>n/a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6" t="s">
        <v>42</v>
      </c>
      <c r="C22" s="14">
        <f>C10+C16</f>
        <v>18609</v>
      </c>
      <c r="D22" s="14">
        <f>D10+D16</f>
        <v>20321</v>
      </c>
      <c r="E22" s="14">
        <f>E10+E16</f>
        <v>18021</v>
      </c>
      <c r="F22" s="14">
        <f>F10+F16</f>
        <v>20063</v>
      </c>
      <c r="G22" s="14">
        <f>G10+G16</f>
        <v>75048</v>
      </c>
      <c r="H22" s="48">
        <f>H10+H16</f>
        <v>20150.217999999997</v>
      </c>
      <c r="I22" s="1"/>
      <c r="J22" s="14">
        <f>J10+J16</f>
        <v>17104</v>
      </c>
      <c r="K22" s="14">
        <f>K10+K16</f>
        <v>18622</v>
      </c>
      <c r="L22" s="14">
        <f>L10+L16</f>
        <v>17963</v>
      </c>
      <c r="M22" s="14">
        <f>M10+M16</f>
        <v>18155</v>
      </c>
      <c r="N22" s="14">
        <f>N10+N16</f>
        <v>71043</v>
      </c>
      <c r="O22" s="14">
        <f>O10+O16</f>
        <v>52421</v>
      </c>
      <c r="P22" s="14">
        <f>P10+P16</f>
        <v>54727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25" t="s">
        <v>98</v>
      </c>
      <c r="C23" s="18">
        <f>IF(AND(ISNUMBER(C22),ISNUMBER(J22)),IF(OR(J22&gt;0,AND(J22&lt;0,C22&lt;0)),C22/J22-1,"n/m"),"n/a")</f>
        <v>0.08799111318989716</v>
      </c>
      <c r="D23" s="18">
        <f>IF(AND(ISNUMBER(D22),ISNUMBER(K22)),IF(OR(K22&gt;0,AND(K22&lt;0,D22&lt;0)),D22/K22-1,"n/m"),"n/a")</f>
        <v>0.09123617226935887</v>
      </c>
      <c r="E23" s="18">
        <f>IF(AND(ISNUMBER(E22),ISNUMBER(L22)),IF(OR(L22&gt;0,AND(L22&lt;0,E22&lt;0)),E22/L22-1,"n/m"),"n/a")</f>
        <v>0.0032288593219396144</v>
      </c>
      <c r="F23" s="18">
        <f>IF(AND(ISNUMBER(F22),ISNUMBER(M22)),IF(OR(M22&gt;0,AND(M22&lt;0,F22&lt;0)),F22/M22-1,"n/m"),"n/a")</f>
        <v>0.10509501514734243</v>
      </c>
      <c r="G23" s="18">
        <f>IF(AND(ISNUMBER(G22),ISNUMBER(N22)),IF(OR(N22&gt;0,AND(N22&lt;0,G22&lt;0)),G22/N22-1,"n/m"),"n/a")</f>
        <v>0.0563743085173769</v>
      </c>
      <c r="H23" s="21">
        <f>IF(AND(ISNUMBER(H22),ISNUMBER(C22)),IF(OR(C22&gt;0,AND(C22&lt;0,H22&lt;0)),H22/C22-1,"n/m"),"n/a")</f>
        <v>0.08282110806598952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4" t="s">
        <v>101</v>
      </c>
      <c r="C24" s="2">
        <f>IF(AND(ISNUMBER(C22),ISNUMBER(M22)),C22-M22,"n/a")</f>
        <v>454</v>
      </c>
      <c r="D24" s="2">
        <f>IF(AND(ISNUMBER(D22),ISNUMBER(C22)),D22-C22,"n/a")</f>
        <v>1712</v>
      </c>
      <c r="E24" s="2">
        <f>IF(AND(ISNUMBER(E22),ISNUMBER(D22)),E22-D22,"n/a")</f>
        <v>-2300</v>
      </c>
      <c r="F24" s="2">
        <f>IF(AND(ISNUMBER(F22),ISNUMBER(E22)),F22-E22,"n/a")</f>
        <v>2042</v>
      </c>
      <c r="G24" s="2" t="s">
        <v>100</v>
      </c>
      <c r="H24" s="7">
        <f>IF(AND(ISNUMBER(H22),ISNUMBER(F22)),H22-F22,"n/a")</f>
        <v>87.21799999999712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25" t="s">
        <v>105</v>
      </c>
      <c r="C25" s="18" t="s">
        <v>106</v>
      </c>
      <c r="D25" s="18" t="s">
        <v>106</v>
      </c>
      <c r="E25" s="18" t="s">
        <v>106</v>
      </c>
      <c r="F25" s="18" t="s">
        <v>106</v>
      </c>
      <c r="G25" s="18" t="s">
        <v>106</v>
      </c>
      <c r="H25" s="21" t="s">
        <v>106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25" t="s">
        <v>107</v>
      </c>
      <c r="C26" s="18" t="s">
        <v>106</v>
      </c>
      <c r="D26" s="18" t="s">
        <v>106</v>
      </c>
      <c r="E26" s="18" t="s">
        <v>106</v>
      </c>
      <c r="F26" s="18" t="s">
        <v>106</v>
      </c>
      <c r="G26" s="18" t="s">
        <v>106</v>
      </c>
      <c r="H26" s="21" t="s">
        <v>106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25" t="s">
        <v>108</v>
      </c>
      <c r="C27" s="18" t="str">
        <f>IF(AND(ISNUMBER(C23),ISNUMBER(C25),ISNUMBER(C26)),(1+C23)/((1+C25)*(1+C26))-1,"n/a")</f>
        <v>n/a</v>
      </c>
      <c r="D27" s="18" t="str">
        <f>IF(AND(ISNUMBER(D23),ISNUMBER(D25),ISNUMBER(D26)),(1+D23)/((1+D25)*(1+D26))-1,"n/a")</f>
        <v>n/a</v>
      </c>
      <c r="E27" s="18" t="str">
        <f>IF(AND(ISNUMBER(E23),ISNUMBER(E25),ISNUMBER(E26)),(1+E23)/((1+E25)*(1+E26))-1,"n/a")</f>
        <v>n/a</v>
      </c>
      <c r="F27" s="18" t="str">
        <f>IF(AND(ISNUMBER(F23),ISNUMBER(F25),ISNUMBER(F26)),(1+F23)/((1+F25)*(1+F26))-1,"n/a")</f>
        <v>n/a</v>
      </c>
      <c r="G27" s="18" t="str">
        <f>IF(AND(ISNUMBER(G23),ISNUMBER(G25),ISNUMBER(G26)),(1+G23)/((1+G25)*(1+G26))-1,"n/a")</f>
        <v>n/a</v>
      </c>
      <c r="H27" s="21" t="str">
        <f>IF(AND(ISNUMBER(H23),ISNUMBER(H25),ISNUMBER(H26)),(1+H23)/((1+H25)*(1+H26))-1,"n/a")</f>
        <v>n/a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229</v>
      </c>
      <c r="C28" s="71">
        <f>C22-'Revenue summary'!C50</f>
        <v>0</v>
      </c>
      <c r="D28" s="71">
        <f>D22-'Revenue summary'!D50</f>
        <v>0</v>
      </c>
      <c r="E28" s="71">
        <f>E22-'Revenue summary'!E50</f>
        <v>0</v>
      </c>
      <c r="F28" s="71">
        <f>F22-'Revenue summary'!F50</f>
        <v>0</v>
      </c>
      <c r="G28" s="71">
        <f>G22-'Revenue summary'!G50</f>
        <v>0</v>
      </c>
      <c r="H28" s="84">
        <f>H22-'Revenue summary'!H50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4" t="s">
        <v>230</v>
      </c>
      <c r="C29" s="3">
        <v>-13708</v>
      </c>
      <c r="D29" s="2">
        <f>G29-P29</f>
        <v>-15559</v>
      </c>
      <c r="E29" s="3">
        <v>-13398</v>
      </c>
      <c r="F29" s="3">
        <v>-15063</v>
      </c>
      <c r="G29" s="3">
        <v>-57020</v>
      </c>
      <c r="H29" s="7">
        <f>-H10*H32</f>
        <v>-15126.583922999998</v>
      </c>
      <c r="I29" s="1"/>
      <c r="J29" s="3">
        <v>-12964</v>
      </c>
      <c r="K29" s="2">
        <f>N29-O29</f>
        <v>-15484</v>
      </c>
      <c r="L29" s="3">
        <v>-13284</v>
      </c>
      <c r="M29" s="3">
        <v>-14469</v>
      </c>
      <c r="N29" s="3">
        <v>-54852</v>
      </c>
      <c r="O29" s="3">
        <v>-39368</v>
      </c>
      <c r="P29" s="3">
        <v>-41461</v>
      </c>
      <c r="Q29" s="1"/>
      <c r="R29" s="9" t="s">
        <v>231</v>
      </c>
      <c r="S29" s="1"/>
      <c r="T29" s="1"/>
      <c r="U29" s="1"/>
      <c r="V29" s="1"/>
      <c r="W29" s="1"/>
      <c r="X29" s="1"/>
      <c r="Y29" s="1"/>
      <c r="Z29" s="1"/>
    </row>
    <row r="30">
      <c r="A30" s="1"/>
      <c r="B30" s="20" t="s">
        <v>98</v>
      </c>
      <c r="C30" s="18">
        <f>IF(AND(ISNUMBER(C29),ISNUMBER(J29)),IF(OR(J29&gt;0,AND(J29&lt;0,C29&lt;0)),C29/J29-1,"n/m"),"n/a")</f>
        <v>0.05738969453872267</v>
      </c>
      <c r="D30" s="18">
        <f>IF(AND(ISNUMBER(D29),ISNUMBER(K29)),IF(OR(K29&gt;0,AND(K29&lt;0,D29&lt;0)),D29/K29-1,"n/m"),"n/a")</f>
        <v>0.00484370963575298</v>
      </c>
      <c r="E30" s="18">
        <f>IF(AND(ISNUMBER(E29),ISNUMBER(L29)),IF(OR(L29&gt;0,AND(L29&lt;0,E29&lt;0)),E29/L29-1,"n/m"),"n/a")</f>
        <v>0.008581752484191574</v>
      </c>
      <c r="F30" s="18">
        <f>IF(AND(ISNUMBER(F29),ISNUMBER(M29)),IF(OR(M29&gt;0,AND(M29&lt;0,F29&lt;0)),F29/M29-1,"n/m"),"n/a")</f>
        <v>0.04105328633630512</v>
      </c>
      <c r="G30" s="18">
        <f>IF(AND(ISNUMBER(G29),ISNUMBER(N29)),IF(OR(N29&gt;0,AND(N29&lt;0,G29&lt;0)),G29/N29-1,"n/m"),"n/a")</f>
        <v>0.039524538758841876</v>
      </c>
      <c r="H30" s="21">
        <f>IF(AND(ISNUMBER(H29),ISNUMBER(C29)),IF(OR(C29&gt;0,AND(C29&lt;0,H29&lt;0)),H29/C29-1,"n/m"),"n/a")</f>
        <v>0.10348584206302869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8" t="s">
        <v>101</v>
      </c>
      <c r="C31" s="2">
        <f>IF(AND(ISNUMBER(C29),ISNUMBER(M29)),C29-M29,"n/a")</f>
        <v>761</v>
      </c>
      <c r="D31" s="2">
        <f>IF(AND(ISNUMBER(D29),ISNUMBER(C29)),D29-C29,"n/a")</f>
        <v>-1851</v>
      </c>
      <c r="E31" s="2">
        <f>IF(AND(ISNUMBER(E29),ISNUMBER(D29)),E29-D29,"n/a")</f>
        <v>2161</v>
      </c>
      <c r="F31" s="2">
        <f>IF(AND(ISNUMBER(F29),ISNUMBER(E29)),F29-E29,"n/a")</f>
        <v>-1665</v>
      </c>
      <c r="G31" s="2" t="s">
        <v>100</v>
      </c>
      <c r="H31" s="7">
        <f>IF(AND(ISNUMBER(H29),ISNUMBER(F29)),H29-F29,"n/a")</f>
        <v>-63.58392299999832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20" t="s">
        <v>232</v>
      </c>
      <c r="C32" s="18">
        <f>-C29/C10</f>
        <v>0.8953040297825093</v>
      </c>
      <c r="D32" s="18">
        <f>-D29/D10</f>
        <v>0.9015529030015066</v>
      </c>
      <c r="E32" s="18">
        <f>-E29/E10</f>
        <v>0.903378059470029</v>
      </c>
      <c r="F32" s="18">
        <f>-F29/F10</f>
        <v>0.8975153429065126</v>
      </c>
      <c r="G32" s="18">
        <f>-G29/G10</f>
        <v>0.9100775688703036</v>
      </c>
      <c r="H32" s="32">
        <v>0.9</v>
      </c>
      <c r="I32" s="1"/>
      <c r="J32" s="18">
        <f>-J29/J10</f>
        <v>0.8957987838584853</v>
      </c>
      <c r="K32" s="18">
        <f>-K29/K10</f>
        <v>0.9989677419354839</v>
      </c>
      <c r="L32" s="18">
        <f>-L29/L10</f>
        <v>0.8893947509373327</v>
      </c>
      <c r="M32" s="18">
        <f>-M29/M10</f>
        <v>0.9551125486830814</v>
      </c>
      <c r="N32" s="18">
        <f>-N29/N10</f>
        <v>0.9253504732020851</v>
      </c>
      <c r="O32" s="18">
        <f>-O29/O10</f>
        <v>0.8992850126778902</v>
      </c>
      <c r="P32" s="18">
        <f>-P29/P10</f>
        <v>0.9133183540400035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37" t="s">
        <v>103</v>
      </c>
      <c r="C33" s="5">
        <f>IF(AND(ISNUMBER(C32),ISNUMBER(J32)),(C32-J32)*10000,"n/a")</f>
        <v>-4.947540759759894</v>
      </c>
      <c r="D33" s="5">
        <f>IF(AND(ISNUMBER(D32),ISNUMBER(K32)),(D32-K32)*10000,"n/a")</f>
        <v>-974.1483893397728</v>
      </c>
      <c r="E33" s="5">
        <f>IF(AND(ISNUMBER(E32),ISNUMBER(L32)),(E32-L32)*10000,"n/a")</f>
        <v>139.83308532696358</v>
      </c>
      <c r="F33" s="5">
        <f>IF(AND(ISNUMBER(F32),ISNUMBER(M32)),(F32-M32)*10000,"n/a")</f>
        <v>-575.972057765688</v>
      </c>
      <c r="G33" s="5">
        <f>IF(AND(ISNUMBER(G32),ISNUMBER(N32)),(G32-N32)*10000,"n/a")</f>
        <v>-152.72904331781524</v>
      </c>
      <c r="H33" s="30">
        <f>IF(AND(ISNUMBER(H32),ISNUMBER(C32)),(H32-C32)*10000,"n/a")</f>
        <v>46.95970217490686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37" t="s">
        <v>104</v>
      </c>
      <c r="C34" s="5">
        <f>IF(AND(ISNUMBER(C32),ISNUMBER(M32)),(C32-M32)*10000,"n/a")</f>
        <v>-598.0851890057204</v>
      </c>
      <c r="D34" s="5">
        <f>IF(AND(ISNUMBER(D32),ISNUMBER(C32)),(D32-C32)*10000,"n/a")</f>
        <v>62.48873218997253</v>
      </c>
      <c r="E34" s="5">
        <f>IF(AND(ISNUMBER(E32),ISNUMBER(D32)),(E32-D32)*10000,"n/a")</f>
        <v>18.251564685224373</v>
      </c>
      <c r="F34" s="5">
        <f>IF(AND(ISNUMBER(F32),ISNUMBER(E32)),(F32-E32)*10000,"n/a")</f>
        <v>-58.62716563516446</v>
      </c>
      <c r="G34" s="5" t="s">
        <v>100</v>
      </c>
      <c r="H34" s="30">
        <f>IF(AND(ISNUMBER(H32),ISNUMBER(F32)),(H32-F32)*10000,"n/a")</f>
        <v>24.846570934874414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4" t="s">
        <v>233</v>
      </c>
      <c r="C35" s="3">
        <v>-2871</v>
      </c>
      <c r="D35" s="2">
        <f>G35-P35</f>
        <v>-2698</v>
      </c>
      <c r="E35" s="3">
        <v>-2784</v>
      </c>
      <c r="F35" s="3">
        <v>-2862</v>
      </c>
      <c r="G35" s="3">
        <v>-11339</v>
      </c>
      <c r="H35" s="7">
        <f>H45-H29-H41-H42</f>
        <v>-2948.3529409999974</v>
      </c>
      <c r="I35" s="1"/>
      <c r="J35" s="3">
        <v>-2272</v>
      </c>
      <c r="K35" s="2">
        <f>N35-O35</f>
        <v>-2760</v>
      </c>
      <c r="L35" s="3">
        <v>-2640</v>
      </c>
      <c r="M35" s="3">
        <v>-3130</v>
      </c>
      <c r="N35" s="3">
        <v>-10217</v>
      </c>
      <c r="O35" s="3">
        <v>-7457</v>
      </c>
      <c r="P35" s="3">
        <v>-8641</v>
      </c>
      <c r="Q35" s="1"/>
      <c r="R35" s="9" t="s">
        <v>234</v>
      </c>
      <c r="S35" s="1"/>
      <c r="T35" s="1"/>
      <c r="U35" s="1"/>
      <c r="V35" s="1"/>
      <c r="W35" s="1"/>
      <c r="X35" s="1"/>
      <c r="Y35" s="1"/>
      <c r="Z35" s="1"/>
    </row>
    <row r="36">
      <c r="A36" s="1"/>
      <c r="B36" s="20" t="s">
        <v>98</v>
      </c>
      <c r="C36" s="18">
        <f>IF(AND(ISNUMBER(C35),ISNUMBER(J35)),IF(OR(J35&gt;0,AND(J35&lt;0,C35&lt;0)),C35/J35-1,"n/m"),"n/a")</f>
        <v>0.263644366197183</v>
      </c>
      <c r="D36" s="18">
        <f>IF(AND(ISNUMBER(D35),ISNUMBER(K35)),IF(OR(K35&gt;0,AND(K35&lt;0,D35&lt;0)),D35/K35-1,"n/m"),"n/a")</f>
        <v>-0.022463768115942084</v>
      </c>
      <c r="E36" s="18">
        <f>IF(AND(ISNUMBER(E35),ISNUMBER(L35)),IF(OR(L35&gt;0,AND(L35&lt;0,E35&lt;0)),E35/L35-1,"n/m"),"n/a")</f>
        <v>0.05454545454545445</v>
      </c>
      <c r="F36" s="18">
        <f>IF(AND(ISNUMBER(F35),ISNUMBER(M35)),IF(OR(M35&gt;0,AND(M35&lt;0,F35&lt;0)),F35/M35-1,"n/m"),"n/a")</f>
        <v>-0.08562300319488814</v>
      </c>
      <c r="G36" s="18">
        <f>IF(AND(ISNUMBER(G35),ISNUMBER(N35)),IF(OR(N35&gt;0,AND(N35&lt;0,G35&lt;0)),G35/N35-1,"n/m"),"n/a")</f>
        <v>0.10981697171381022</v>
      </c>
      <c r="H36" s="21">
        <f>IF(AND(ISNUMBER(H35),ISNUMBER(C35)),IF(OR(C35&gt;0,AND(C35&lt;0,H35&lt;0)),H35/C35-1,"n/m"),"n/a")</f>
        <v>0.026942856495993484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8" t="s">
        <v>101</v>
      </c>
      <c r="C37" s="2">
        <f>IF(AND(ISNUMBER(C35),ISNUMBER(M35)),C35-M35,"n/a")</f>
        <v>259</v>
      </c>
      <c r="D37" s="2">
        <f>IF(AND(ISNUMBER(D35),ISNUMBER(C35)),D35-C35,"n/a")</f>
        <v>173</v>
      </c>
      <c r="E37" s="2">
        <f>IF(AND(ISNUMBER(E35),ISNUMBER(D35)),E35-D35,"n/a")</f>
        <v>-86</v>
      </c>
      <c r="F37" s="2">
        <f>IF(AND(ISNUMBER(F35),ISNUMBER(E35)),F35-E35,"n/a")</f>
        <v>-78</v>
      </c>
      <c r="G37" s="2" t="s">
        <v>100</v>
      </c>
      <c r="H37" s="7">
        <f>IF(AND(ISNUMBER(H35),ISNUMBER(F35)),H35-F35,"n/a")</f>
        <v>-86.35294099999737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0" t="s">
        <v>235</v>
      </c>
      <c r="C38" s="18">
        <f>-C35/C16</f>
        <v>0.8705275924802911</v>
      </c>
      <c r="D38" s="18">
        <f>-D35/D16</f>
        <v>0.880835781913157</v>
      </c>
      <c r="E38" s="18">
        <f>-E35/E16</f>
        <v>0.8727272727272727</v>
      </c>
      <c r="F38" s="18">
        <f>-F35/F16</f>
        <v>0.8725609756097561</v>
      </c>
      <c r="G38" s="18">
        <f>-G35/G16</f>
        <v>0.9148781668549298</v>
      </c>
      <c r="H38" s="21">
        <f>-H35/H16</f>
        <v>0.881973947652012</v>
      </c>
      <c r="I38" s="1"/>
      <c r="J38" s="18">
        <f>-J35/J16</f>
        <v>0.8632218844984803</v>
      </c>
      <c r="K38" s="18">
        <f>-K35/K16</f>
        <v>0.8840486867392697</v>
      </c>
      <c r="L38" s="18">
        <f>-L35/L16</f>
        <v>0.8721506442021804</v>
      </c>
      <c r="M38" s="18">
        <f>-M35/M16</f>
        <v>1.0412508316699933</v>
      </c>
      <c r="N38" s="18">
        <f>-N35/N16</f>
        <v>0.8683494815570287</v>
      </c>
      <c r="O38" s="18">
        <f>-O35/O16</f>
        <v>0.8626793151318833</v>
      </c>
      <c r="P38" s="18">
        <f>-P35/P16</f>
        <v>0.9260529418068802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37" t="s">
        <v>103</v>
      </c>
      <c r="C39" s="5">
        <f>IF(AND(ISNUMBER(C38),ISNUMBER(J38)),(C38-J38)*10000,"n/a")</f>
        <v>73.05707981810849</v>
      </c>
      <c r="D39" s="5">
        <f>IF(AND(ISNUMBER(D38),ISNUMBER(K38)),(D38-K38)*10000,"n/a")</f>
        <v>-32.12904826112695</v>
      </c>
      <c r="E39" s="5">
        <f>IF(AND(ISNUMBER(E38),ISNUMBER(L38)),(E38-L38)*10000,"n/a")</f>
        <v>5.766285250923264</v>
      </c>
      <c r="F39" s="5">
        <f>IF(AND(ISNUMBER(F38),ISNUMBER(M38)),(F38-M38)*10000,"n/a")</f>
        <v>-1686.8985606023723</v>
      </c>
      <c r="G39" s="5">
        <f>IF(AND(ISNUMBER(G38),ISNUMBER(N38)),(G38-N38)*10000,"n/a")</f>
        <v>465.2868529790111</v>
      </c>
      <c r="H39" s="30">
        <f>IF(AND(ISNUMBER(H38),ISNUMBER(C38)),(H38-C38)*10000,"n/a")</f>
        <v>114.46355171720879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37" t="s">
        <v>104</v>
      </c>
      <c r="C40" s="5">
        <f>IF(AND(ISNUMBER(C38),ISNUMBER(M38)),(C38-M38)*10000,"n/a")</f>
        <v>-1707.2323918970224</v>
      </c>
      <c r="D40" s="5">
        <f>IF(AND(ISNUMBER(D38),ISNUMBER(C38)),(D38-C38)*10000,"n/a")</f>
        <v>103.08189432865933</v>
      </c>
      <c r="E40" s="5">
        <f>IF(AND(ISNUMBER(E38),ISNUMBER(D38)),(E38-D38)*10000,"n/a")</f>
        <v>-81.0850918588435</v>
      </c>
      <c r="F40" s="5">
        <f>IF(AND(ISNUMBER(F38),ISNUMBER(E38)),(F38-E38)*10000,"n/a")</f>
        <v>-1.6629711751658949</v>
      </c>
      <c r="G40" s="5" t="s">
        <v>100</v>
      </c>
      <c r="H40" s="30">
        <f>IF(AND(ISNUMBER(H38),ISNUMBER(F38)),(H38-F38)*10000,"n/a")</f>
        <v>94.12972042255885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4" t="s">
        <v>236</v>
      </c>
      <c r="C41" s="2">
        <f>C96</f>
        <v>0</v>
      </c>
      <c r="D41" s="2">
        <f>D96</f>
        <v>0</v>
      </c>
      <c r="E41" s="2">
        <f>E96</f>
        <v>0</v>
      </c>
      <c r="F41" s="2">
        <f>F96</f>
        <v>0</v>
      </c>
      <c r="G41" s="2">
        <f>G96</f>
        <v>-66</v>
      </c>
      <c r="H41" s="7">
        <f>H96</f>
        <v>0</v>
      </c>
      <c r="I41" s="1"/>
      <c r="J41" s="2">
        <f>J96</f>
        <v>0</v>
      </c>
      <c r="K41" s="2">
        <f>K96</f>
        <v>0</v>
      </c>
      <c r="L41" s="2">
        <f>L96</f>
        <v>0</v>
      </c>
      <c r="M41" s="2">
        <f>M96</f>
        <v>-66</v>
      </c>
      <c r="N41" s="2">
        <f>N96</f>
        <v>-87</v>
      </c>
      <c r="O41" s="2">
        <f>O96</f>
        <v>-87</v>
      </c>
      <c r="P41" s="2">
        <f>P96</f>
        <v>-66</v>
      </c>
      <c r="Q41" s="1"/>
      <c r="R41" s="9" t="s">
        <v>237</v>
      </c>
      <c r="S41" s="1"/>
      <c r="T41" s="1"/>
      <c r="U41" s="1"/>
      <c r="V41" s="1"/>
      <c r="W41" s="1"/>
      <c r="X41" s="1"/>
      <c r="Y41" s="1"/>
      <c r="Z41" s="1"/>
    </row>
    <row r="42">
      <c r="A42" s="1"/>
      <c r="B42" s="4" t="s">
        <v>238</v>
      </c>
      <c r="C42" s="3">
        <v>210</v>
      </c>
      <c r="D42" s="2">
        <f>G42-P42</f>
        <v>258</v>
      </c>
      <c r="E42" s="3">
        <v>239</v>
      </c>
      <c r="F42" s="3">
        <v>308</v>
      </c>
      <c r="G42" s="3">
        <v>996</v>
      </c>
      <c r="H42" s="7">
        <f>H93+H99+H102</f>
        <v>276</v>
      </c>
      <c r="I42" s="1"/>
      <c r="J42" s="3">
        <v>249</v>
      </c>
      <c r="K42" s="2">
        <f>N42-O42</f>
        <v>312</v>
      </c>
      <c r="L42" s="3">
        <v>284</v>
      </c>
      <c r="M42" s="3">
        <v>244</v>
      </c>
      <c r="N42" s="3">
        <v>1043</v>
      </c>
      <c r="O42" s="3">
        <v>731</v>
      </c>
      <c r="P42" s="3">
        <v>738</v>
      </c>
      <c r="Q42" s="1"/>
      <c r="R42" s="9" t="s">
        <v>239</v>
      </c>
      <c r="S42" s="1"/>
      <c r="T42" s="1"/>
      <c r="U42" s="1"/>
      <c r="V42" s="1"/>
      <c r="W42" s="1"/>
      <c r="X42" s="1"/>
      <c r="Y42" s="1"/>
      <c r="Z42" s="1"/>
    </row>
    <row r="43">
      <c r="A43" s="1"/>
      <c r="B43" s="20" t="s">
        <v>98</v>
      </c>
      <c r="C43" s="18">
        <f>IF(AND(ISNUMBER(C42),ISNUMBER(J42)),IF(OR(J42&gt;0,AND(J42&lt;0,C42&lt;0)),C42/J42-1,"n/m"),"n/a")</f>
        <v>-0.15662650602409633</v>
      </c>
      <c r="D43" s="18">
        <f>IF(AND(ISNUMBER(D42),ISNUMBER(K42)),IF(OR(K42&gt;0,AND(K42&lt;0,D42&lt;0)),D42/K42-1,"n/m"),"n/a")</f>
        <v>-0.17307692307692313</v>
      </c>
      <c r="E43" s="18">
        <f>IF(AND(ISNUMBER(E42),ISNUMBER(L42)),IF(OR(L42&gt;0,AND(L42&lt;0,E42&lt;0)),E42/L42-1,"n/m"),"n/a")</f>
        <v>-0.15845070422535212</v>
      </c>
      <c r="F43" s="18">
        <f>IF(AND(ISNUMBER(F42),ISNUMBER(M42)),IF(OR(M42&gt;0,AND(M42&lt;0,F42&lt;0)),F42/M42-1,"n/m"),"n/a")</f>
        <v>0.2622950819672132</v>
      </c>
      <c r="G43" s="18">
        <f>IF(AND(ISNUMBER(G42),ISNUMBER(N42)),IF(OR(N42&gt;0,AND(N42&lt;0,G42&lt;0)),G42/N42-1,"n/m"),"n/a")</f>
        <v>-0.04506232023010548</v>
      </c>
      <c r="H43" s="21">
        <f>IF(AND(ISNUMBER(H42),ISNUMBER(C42)),IF(OR(C42&gt;0,AND(C42&lt;0,H42&lt;0)),H42/C42-1,"n/m"),"n/a")</f>
        <v>0.3142857142857143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8" t="s">
        <v>101</v>
      </c>
      <c r="C44" s="2">
        <f>IF(AND(ISNUMBER(C42),ISNUMBER(M42)),C42-M42,"n/a")</f>
        <v>-34</v>
      </c>
      <c r="D44" s="2">
        <f>IF(AND(ISNUMBER(D42),ISNUMBER(C42)),D42-C42,"n/a")</f>
        <v>48</v>
      </c>
      <c r="E44" s="2">
        <f>IF(AND(ISNUMBER(E42),ISNUMBER(D42)),E42-D42,"n/a")</f>
        <v>-19</v>
      </c>
      <c r="F44" s="2">
        <f>IF(AND(ISNUMBER(F42),ISNUMBER(E42)),F42-E42,"n/a")</f>
        <v>69</v>
      </c>
      <c r="G44" s="2" t="s">
        <v>100</v>
      </c>
      <c r="H44" s="7">
        <f>IF(AND(ISNUMBER(H42),ISNUMBER(F42)),H42-F42,"n/a")</f>
        <v>-32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46" t="s">
        <v>240</v>
      </c>
      <c r="C45" s="14">
        <f>C29+C35+C41+C42</f>
        <v>-16369</v>
      </c>
      <c r="D45" s="14">
        <f>D29+D35+D41+D42</f>
        <v>-17999</v>
      </c>
      <c r="E45" s="14">
        <f>E29+E35+E41+E42</f>
        <v>-15943</v>
      </c>
      <c r="F45" s="14">
        <f>F29+F35+F41+F42</f>
        <v>-17617</v>
      </c>
      <c r="G45" s="14">
        <f>G29+G35+G41+G42</f>
        <v>-67429</v>
      </c>
      <c r="H45" s="48">
        <f>H49-H22</f>
        <v>-17798.936863999996</v>
      </c>
      <c r="I45" s="1"/>
      <c r="J45" s="14">
        <f>J29+J35+J41+J42</f>
        <v>-14987</v>
      </c>
      <c r="K45" s="14">
        <f>K29+K35+K41+K42</f>
        <v>-17932</v>
      </c>
      <c r="L45" s="14">
        <f>L29+L35+L41+L42</f>
        <v>-15640</v>
      </c>
      <c r="M45" s="14">
        <f>M29+M35+M41+M42</f>
        <v>-17421</v>
      </c>
      <c r="N45" s="14">
        <f>N29+N35+N41+N42</f>
        <v>-64113</v>
      </c>
      <c r="O45" s="14">
        <f>O29+O35+O41+O42</f>
        <v>-46181</v>
      </c>
      <c r="P45" s="14">
        <f>P29+P35+P41+P42</f>
        <v>-49430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25" t="s">
        <v>98</v>
      </c>
      <c r="C46" s="18">
        <f>IF(AND(ISNUMBER(C45),ISNUMBER(J45)),IF(OR(J45&gt;0,AND(J45&lt;0,C45&lt;0)),C45/J45-1,"n/m"),"n/a")</f>
        <v>0.0922132514846199</v>
      </c>
      <c r="D46" s="18">
        <f>IF(AND(ISNUMBER(D45),ISNUMBER(K45)),IF(OR(K45&gt;0,AND(K45&lt;0,D45&lt;0)),D45/K45-1,"n/m"),"n/a")</f>
        <v>0.003736337274146795</v>
      </c>
      <c r="E46" s="18">
        <f>IF(AND(ISNUMBER(E45),ISNUMBER(L45)),IF(OR(L45&gt;0,AND(L45&lt;0,E45&lt;0)),E45/L45-1,"n/m"),"n/a")</f>
        <v>0.019373401534526824</v>
      </c>
      <c r="F46" s="18">
        <f>IF(AND(ISNUMBER(F45),ISNUMBER(M45)),IF(OR(M45&gt;0,AND(M45&lt;0,F45&lt;0)),F45/M45-1,"n/m"),"n/a")</f>
        <v>0.011250789277309048</v>
      </c>
      <c r="G46" s="18">
        <f>IF(AND(ISNUMBER(G45),ISNUMBER(N45)),IF(OR(N45&gt;0,AND(N45&lt;0,G45&lt;0)),G45/N45-1,"n/m"),"n/a")</f>
        <v>0.05172117979192992</v>
      </c>
      <c r="H46" s="21">
        <f>IF(AND(ISNUMBER(H45),ISNUMBER(C45)),IF(OR(C45&gt;0,AND(C45&lt;0,H45&lt;0)),H45/C45-1,"n/m"),"n/a")</f>
        <v>0.08735639709206411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4" t="s">
        <v>101</v>
      </c>
      <c r="C47" s="2">
        <f>IF(AND(ISNUMBER(C45),ISNUMBER(M45)),C45-M45,"n/a")</f>
        <v>1052</v>
      </c>
      <c r="D47" s="2">
        <f>IF(AND(ISNUMBER(D45),ISNUMBER(C45)),D45-C45,"n/a")</f>
        <v>-1630</v>
      </c>
      <c r="E47" s="2">
        <f>IF(AND(ISNUMBER(E45),ISNUMBER(D45)),E45-D45,"n/a")</f>
        <v>2056</v>
      </c>
      <c r="F47" s="2">
        <f>IF(AND(ISNUMBER(F45),ISNUMBER(E45)),F45-E45,"n/a")</f>
        <v>-1674</v>
      </c>
      <c r="G47" s="2" t="s">
        <v>100</v>
      </c>
      <c r="H47" s="7">
        <f>IF(AND(ISNUMBER(H45),ISNUMBER(F45)),H45-F45,"n/a")</f>
        <v>-181.9368639999957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5" t="s">
        <v>241</v>
      </c>
      <c r="C48" s="19">
        <f>C45-(C29+C35+C41+C42)</f>
        <v>0</v>
      </c>
      <c r="D48" s="19">
        <f>D45-(D29+D35+D41+D42)</f>
        <v>0</v>
      </c>
      <c r="E48" s="19">
        <f>E45-(E29+E35+E41+E42)</f>
        <v>0</v>
      </c>
      <c r="F48" s="19">
        <f>F45-(F29+F35+F41+F42)</f>
        <v>0</v>
      </c>
      <c r="G48" s="19">
        <f>G45-(G29+G35+G41+G42)</f>
        <v>0</v>
      </c>
      <c r="H48" s="49">
        <f>H45-(H29+H35+H41+H42)</f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46" t="s">
        <v>242</v>
      </c>
      <c r="C49" s="14">
        <f>C22+C45</f>
        <v>2240</v>
      </c>
      <c r="D49" s="14">
        <f>D22+D45</f>
        <v>2322</v>
      </c>
      <c r="E49" s="14">
        <f>E22+E45</f>
        <v>2078</v>
      </c>
      <c r="F49" s="14">
        <f>F22+F45</f>
        <v>2446</v>
      </c>
      <c r="G49" s="14">
        <f>G22+G45</f>
        <v>7619</v>
      </c>
      <c r="H49" s="48">
        <f>H108-H55</f>
        <v>2351.2811359999996</v>
      </c>
      <c r="I49" s="1"/>
      <c r="J49" s="14">
        <f>J22+J45</f>
        <v>2117</v>
      </c>
      <c r="K49" s="14">
        <f>K22+K45</f>
        <v>690</v>
      </c>
      <c r="L49" s="14">
        <f>L22+L45</f>
        <v>2323</v>
      </c>
      <c r="M49" s="14">
        <f>M22+M45</f>
        <v>734</v>
      </c>
      <c r="N49" s="14">
        <f>N22+N45</f>
        <v>6930</v>
      </c>
      <c r="O49" s="14">
        <f>O22+O45</f>
        <v>6240</v>
      </c>
      <c r="P49" s="14">
        <f>P22+P45</f>
        <v>5297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25" t="s">
        <v>98</v>
      </c>
      <c r="C50" s="18">
        <f>IF(AND(ISNUMBER(C49),ISNUMBER(J49)),IF(OR(J49&gt;0,AND(J49&lt;0,C49&lt;0)),C49/J49-1,"n/m"),"n/a")</f>
        <v>0.058101086443079764</v>
      </c>
      <c r="D50" s="18">
        <f>IF(AND(ISNUMBER(D49),ISNUMBER(K49)),IF(OR(K49&gt;0,AND(K49&lt;0,D49&lt;0)),D49/K49-1,"n/m"),"n/a")</f>
        <v>2.365217391304348</v>
      </c>
      <c r="E50" s="18">
        <f>IF(AND(ISNUMBER(E49),ISNUMBER(L49)),IF(OR(L49&gt;0,AND(L49&lt;0,E49&lt;0)),E49/L49-1,"n/m"),"n/a")</f>
        <v>-0.10546706844597509</v>
      </c>
      <c r="F50" s="18">
        <f>IF(AND(ISNUMBER(F49),ISNUMBER(M49)),IF(OR(M49&gt;0,AND(M49&lt;0,F49&lt;0)),F49/M49-1,"n/m"),"n/a")</f>
        <v>2.332425068119891</v>
      </c>
      <c r="G50" s="18">
        <f>IF(AND(ISNUMBER(G49),ISNUMBER(N49)),IF(OR(N49&gt;0,AND(N49&lt;0,G49&lt;0)),G49/N49-1,"n/m"),"n/a")</f>
        <v>0.09942279942279941</v>
      </c>
      <c r="H50" s="21">
        <f>IF(AND(ISNUMBER(H49),ISNUMBER(C49)),IF(OR(C49&gt;0,AND(C49&lt;0,H49&lt;0)),H49/C49-1,"n/m"),"n/a")</f>
        <v>0.0496790785714285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4" t="s">
        <v>101</v>
      </c>
      <c r="C51" s="2">
        <f>IF(AND(ISNUMBER(C49),ISNUMBER(M49)),C49-M49,"n/a")</f>
        <v>1506</v>
      </c>
      <c r="D51" s="2">
        <f>IF(AND(ISNUMBER(D49),ISNUMBER(C49)),D49-C49,"n/a")</f>
        <v>82</v>
      </c>
      <c r="E51" s="2">
        <f>IF(AND(ISNUMBER(E49),ISNUMBER(D49)),E49-D49,"n/a")</f>
        <v>-244</v>
      </c>
      <c r="F51" s="2">
        <f>IF(AND(ISNUMBER(F49),ISNUMBER(E49)),F49-E49,"n/a")</f>
        <v>368</v>
      </c>
      <c r="G51" s="2" t="s">
        <v>100</v>
      </c>
      <c r="H51" s="7">
        <f>IF(AND(ISNUMBER(H49),ISNUMBER(F49)),H49-F49,"n/a")</f>
        <v>-94.7188640000004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25" t="s">
        <v>243</v>
      </c>
      <c r="C52" s="18">
        <f>C49/C22</f>
        <v>0.12037186307700574</v>
      </c>
      <c r="D52" s="18">
        <f>D49/D22</f>
        <v>0.11426603021504847</v>
      </c>
      <c r="E52" s="18">
        <f>E49/E22</f>
        <v>0.11530991620886744</v>
      </c>
      <c r="F52" s="18">
        <f>F49/F22</f>
        <v>0.12191596471115984</v>
      </c>
      <c r="G52" s="18">
        <f>G49/G22</f>
        <v>0.10152169278328536</v>
      </c>
      <c r="H52" s="21">
        <f>H49/H22</f>
        <v>0.11668762769712962</v>
      </c>
      <c r="I52" s="1"/>
      <c r="J52" s="18">
        <f>J49/J22</f>
        <v>0.12377221702525724</v>
      </c>
      <c r="K52" s="18">
        <f>K49/K22</f>
        <v>0.03705294812587263</v>
      </c>
      <c r="L52" s="18">
        <f>L49/L22</f>
        <v>0.1293213828425096</v>
      </c>
      <c r="M52" s="18">
        <f>M49/M22</f>
        <v>0.040429633709721836</v>
      </c>
      <c r="N52" s="18">
        <f>N49/N22</f>
        <v>0.09754655631096659</v>
      </c>
      <c r="O52" s="18">
        <f>O49/O22</f>
        <v>0.11903626409263462</v>
      </c>
      <c r="P52" s="18">
        <f>P49/P22</f>
        <v>0.0967895188846456</v>
      </c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20" t="s">
        <v>103</v>
      </c>
      <c r="C53" s="5">
        <f>IF(AND(ISNUMBER(C52),ISNUMBER(J52)),(C52-J52)*10000,"n/a")</f>
        <v>-34.003539482515</v>
      </c>
      <c r="D53" s="5">
        <f>IF(AND(ISNUMBER(D52),ISNUMBER(K52)),(D52-K52)*10000,"n/a")</f>
        <v>772.1308208917585</v>
      </c>
      <c r="E53" s="5">
        <f>IF(AND(ISNUMBER(E52),ISNUMBER(L52)),(E52-L52)*10000,"n/a")</f>
        <v>-140.11466633642166</v>
      </c>
      <c r="F53" s="5">
        <f>IF(AND(ISNUMBER(F52),ISNUMBER(M52)),(F52-M52)*10000,"n/a")</f>
        <v>814.8633100143801</v>
      </c>
      <c r="G53" s="5">
        <f>IF(AND(ISNUMBER(G52),ISNUMBER(N52)),(G52-N52)*10000,"n/a")</f>
        <v>39.75136472318771</v>
      </c>
      <c r="H53" s="30">
        <f>IF(AND(ISNUMBER(H52),ISNUMBER(C52)),(H52-C52)*10000,"n/a")</f>
        <v>-36.842353798761245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0" t="s">
        <v>104</v>
      </c>
      <c r="C54" s="5">
        <f>IF(AND(ISNUMBER(C52),ISNUMBER(M52)),(C52-M52)*10000,"n/a")</f>
        <v>799.422293672839</v>
      </c>
      <c r="D54" s="5">
        <f>IF(AND(ISNUMBER(D52),ISNUMBER(C52)),(D52-C52)*10000,"n/a")</f>
        <v>-61.05832861957275</v>
      </c>
      <c r="E54" s="5">
        <f>IF(AND(ISNUMBER(E52),ISNUMBER(D52)),(E52-D52)*10000,"n/a")</f>
        <v>10.43885993818966</v>
      </c>
      <c r="F54" s="5">
        <f>IF(AND(ISNUMBER(F52),ISNUMBER(E52)),(F52-E52)*10000,"n/a")</f>
        <v>66.06048502292406</v>
      </c>
      <c r="G54" s="5" t="s">
        <v>100</v>
      </c>
      <c r="H54" s="30">
        <f>IF(AND(ISNUMBER(H52),ISNUMBER(F52)),(H52-F52)*10000,"n/a")</f>
        <v>-52.28337014030221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4" t="s">
        <v>244</v>
      </c>
      <c r="C55" s="3">
        <v>40</v>
      </c>
      <c r="D55" s="3">
        <v>9</v>
      </c>
      <c r="E55" s="3">
        <v>-15</v>
      </c>
      <c r="F55" s="3">
        <v>33</v>
      </c>
      <c r="G55" s="2">
        <f>P55+D55</f>
        <v>112</v>
      </c>
      <c r="H55" s="33">
        <v>15</v>
      </c>
      <c r="I55" s="1"/>
      <c r="J55" s="3">
        <v>23</v>
      </c>
      <c r="K55" s="3">
        <v>6</v>
      </c>
      <c r="L55" s="3">
        <v>49</v>
      </c>
      <c r="M55" s="3">
        <v>14</v>
      </c>
      <c r="N55" s="2">
        <f>O55+K55</f>
        <v>83</v>
      </c>
      <c r="O55" s="3">
        <v>77</v>
      </c>
      <c r="P55" s="3">
        <v>103</v>
      </c>
      <c r="Q55" s="1"/>
      <c r="R55" s="9" t="s">
        <v>245</v>
      </c>
      <c r="S55" s="1"/>
      <c r="T55" s="1"/>
      <c r="U55" s="1"/>
      <c r="V55" s="1"/>
      <c r="W55" s="1"/>
      <c r="X55" s="1"/>
      <c r="Y55" s="1"/>
      <c r="Z55" s="1"/>
    </row>
    <row r="56">
      <c r="A56" s="1"/>
      <c r="B56" s="20" t="s">
        <v>98</v>
      </c>
      <c r="C56" s="18">
        <f>IF(AND(ISNUMBER(C55),ISNUMBER(J55)),IF(OR(J55&gt;0,AND(J55&lt;0,C55&lt;0)),C55/J55-1,"n/m"),"n/a")</f>
        <v>0.7391304347826086</v>
      </c>
      <c r="D56" s="18">
        <f>IF(AND(ISNUMBER(D55),ISNUMBER(K55)),IF(OR(K55&gt;0,AND(K55&lt;0,D55&lt;0)),D55/K55-1,"n/m"),"n/a")</f>
        <v>0.5</v>
      </c>
      <c r="E56" s="18">
        <f>IF(AND(ISNUMBER(E55),ISNUMBER(L55)),IF(OR(L55&gt;0,AND(L55&lt;0,E55&lt;0)),E55/L55-1,"n/m"),"n/a")</f>
        <v>-1.306122448979592</v>
      </c>
      <c r="F56" s="18">
        <f>IF(AND(ISNUMBER(F55),ISNUMBER(M55)),IF(OR(M55&gt;0,AND(M55&lt;0,F55&lt;0)),F55/M55-1,"n/m"),"n/a")</f>
        <v>1.3571428571428572</v>
      </c>
      <c r="G56" s="18">
        <f>IF(AND(ISNUMBER(G55),ISNUMBER(N55)),IF(OR(N55&gt;0,AND(N55&lt;0,G55&lt;0)),G55/N55-1,"n/m"),"n/a")</f>
        <v>0.3493975903614457</v>
      </c>
      <c r="H56" s="21">
        <f>IF(AND(ISNUMBER(H55),ISNUMBER(C55)),IF(OR(C55&gt;0,AND(C55&lt;0,H55&lt;0)),H55/C55-1,"n/m"),"n/a")</f>
        <v>-0.625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8" t="s">
        <v>101</v>
      </c>
      <c r="C57" s="2">
        <f>IF(AND(ISNUMBER(C55),ISNUMBER(M55)),C55-M55,"n/a")</f>
        <v>26</v>
      </c>
      <c r="D57" s="2">
        <f>IF(AND(ISNUMBER(D55),ISNUMBER(C55)),D55-C55,"n/a")</f>
        <v>-31</v>
      </c>
      <c r="E57" s="2">
        <f>IF(AND(ISNUMBER(E55),ISNUMBER(D55)),E55-D55,"n/a")</f>
        <v>-24</v>
      </c>
      <c r="F57" s="2">
        <f>IF(AND(ISNUMBER(F55),ISNUMBER(E55)),F55-E55,"n/a")</f>
        <v>48</v>
      </c>
      <c r="G57" s="2" t="s">
        <v>100</v>
      </c>
      <c r="H57" s="7">
        <f>IF(AND(ISNUMBER(H55),ISNUMBER(F55)),H55-F55,"n/a")</f>
        <v>-18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46" t="s">
        <v>246</v>
      </c>
      <c r="C58" s="14">
        <f>C49+C55</f>
        <v>2280</v>
      </c>
      <c r="D58" s="14">
        <f>D49+D55</f>
        <v>2331</v>
      </c>
      <c r="E58" s="14">
        <f>E49+E55</f>
        <v>2063</v>
      </c>
      <c r="F58" s="14">
        <f>F49+F55</f>
        <v>2479</v>
      </c>
      <c r="G58" s="14">
        <f>G49+G55</f>
        <v>7731</v>
      </c>
      <c r="H58" s="48">
        <f>H49+H55</f>
        <v>2366.2811359999996</v>
      </c>
      <c r="I58" s="1"/>
      <c r="J58" s="14">
        <f>J49+J55</f>
        <v>2140</v>
      </c>
      <c r="K58" s="14">
        <f>K49+K55</f>
        <v>696</v>
      </c>
      <c r="L58" s="14">
        <f>L49+L55</f>
        <v>2372</v>
      </c>
      <c r="M58" s="14">
        <f>M49+M55</f>
        <v>748</v>
      </c>
      <c r="N58" s="14">
        <f>N49+N55</f>
        <v>7013</v>
      </c>
      <c r="O58" s="14">
        <f>O49+O55</f>
        <v>6317</v>
      </c>
      <c r="P58" s="14">
        <f>P49+P55</f>
        <v>5400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25" t="s">
        <v>98</v>
      </c>
      <c r="C59" s="18">
        <f>IF(AND(ISNUMBER(C58),ISNUMBER(J58)),IF(OR(J58&gt;0,AND(J58&lt;0,C58&lt;0)),C58/J58-1,"n/m"),"n/a")</f>
        <v>0.06542056074766345</v>
      </c>
      <c r="D59" s="18">
        <f>IF(AND(ISNUMBER(D58),ISNUMBER(K58)),IF(OR(K58&gt;0,AND(K58&lt;0,D58&lt;0)),D58/K58-1,"n/m"),"n/a")</f>
        <v>2.3491379310344827</v>
      </c>
      <c r="E59" s="18">
        <f>IF(AND(ISNUMBER(E58),ISNUMBER(L58)),IF(OR(L58&gt;0,AND(L58&lt;0,E58&lt;0)),E58/L58-1,"n/m"),"n/a")</f>
        <v>-0.1302698145025295</v>
      </c>
      <c r="F59" s="18">
        <f>IF(AND(ISNUMBER(F58),ISNUMBER(M58)),IF(OR(M58&gt;0,AND(M58&lt;0,F58&lt;0)),F58/M58-1,"n/m"),"n/a")</f>
        <v>2.314171122994652</v>
      </c>
      <c r="G59" s="18">
        <f>IF(AND(ISNUMBER(G58),ISNUMBER(N58)),IF(OR(N58&gt;0,AND(N58&lt;0,G58&lt;0)),G58/N58-1,"n/m"),"n/a")</f>
        <v>0.10238129188649658</v>
      </c>
      <c r="H59" s="21">
        <f>IF(AND(ISNUMBER(H58),ISNUMBER(C58)),IF(OR(C58&gt;0,AND(C58&lt;0,H58&lt;0)),H58/C58-1,"n/m"),"n/a")</f>
        <v>0.03784260350877178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4" t="s">
        <v>101</v>
      </c>
      <c r="C60" s="2">
        <f>IF(AND(ISNUMBER(C58),ISNUMBER(M58)),C58-M58,"n/a")</f>
        <v>1532</v>
      </c>
      <c r="D60" s="2">
        <f>IF(AND(ISNUMBER(D58),ISNUMBER(C58)),D58-C58,"n/a")</f>
        <v>51</v>
      </c>
      <c r="E60" s="2">
        <f>IF(AND(ISNUMBER(E58),ISNUMBER(D58)),E58-D58,"n/a")</f>
        <v>-268</v>
      </c>
      <c r="F60" s="2">
        <f>IF(AND(ISNUMBER(F58),ISNUMBER(E58)),F58-E58,"n/a")</f>
        <v>416</v>
      </c>
      <c r="G60" s="2" t="s">
        <v>100</v>
      </c>
      <c r="H60" s="7">
        <f>IF(AND(ISNUMBER(H58),ISNUMBER(F58)),H58-F58,"n/a")</f>
        <v>-112.7188640000004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120</v>
      </c>
      <c r="C61" s="18">
        <f>C58/C22</f>
        <v>0.12252136063195228</v>
      </c>
      <c r="D61" s="18">
        <f>D58/D22</f>
        <v>0.11470892180502928</v>
      </c>
      <c r="E61" s="18">
        <f>E58/E22</f>
        <v>0.11447755396481882</v>
      </c>
      <c r="F61" s="18">
        <f>F58/F22</f>
        <v>0.1235607835318746</v>
      </c>
      <c r="G61" s="18">
        <f>G58/G22</f>
        <v>0.10301407099456347</v>
      </c>
      <c r="H61" s="21">
        <f>H58/H22</f>
        <v>0.11743203651692502</v>
      </c>
      <c r="I61" s="1"/>
      <c r="J61" s="18">
        <f>J58/J22</f>
        <v>0.12511693171188026</v>
      </c>
      <c r="K61" s="18">
        <f>K58/K22</f>
        <v>0.03737514767479325</v>
      </c>
      <c r="L61" s="18">
        <f>L58/L22</f>
        <v>0.13204921226966543</v>
      </c>
      <c r="M61" s="18">
        <f>M58/M22</f>
        <v>0.041200771137427705</v>
      </c>
      <c r="N61" s="18">
        <f>N58/N22</f>
        <v>0.09871486282955393</v>
      </c>
      <c r="O61" s="18">
        <f>O58/O22</f>
        <v>0.12050514106941874</v>
      </c>
      <c r="P61" s="18">
        <f>P58/P22</f>
        <v>0.09867158806439234</v>
      </c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0" t="s">
        <v>103</v>
      </c>
      <c r="C62" s="5">
        <f>IF(AND(ISNUMBER(C61),ISNUMBER(J61)),(C61-J61)*10000,"n/a")</f>
        <v>-25.955710799279856</v>
      </c>
      <c r="D62" s="5">
        <f>IF(AND(ISNUMBER(D61),ISNUMBER(K61)),(D61-K61)*10000,"n/a")</f>
        <v>773.3377413023604</v>
      </c>
      <c r="E62" s="5">
        <f>IF(AND(ISNUMBER(E61),ISNUMBER(L61)),(E61-L61)*10000,"n/a")</f>
        <v>-175.7165830484661</v>
      </c>
      <c r="F62" s="5">
        <f>IF(AND(ISNUMBER(F61),ISNUMBER(M61)),(F61-M61)*10000,"n/a")</f>
        <v>823.6001239444689</v>
      </c>
      <c r="G62" s="5">
        <f>IF(AND(ISNUMBER(G61),ISNUMBER(N61)),(G61-N61)*10000,"n/a")</f>
        <v>42.992081650095464</v>
      </c>
      <c r="H62" s="30">
        <f>IF(AND(ISNUMBER(H61),ISNUMBER(C61)),(H61-C61)*10000,"n/a")</f>
        <v>-50.89324115027258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20" t="s">
        <v>104</v>
      </c>
      <c r="C63" s="5">
        <f>IF(AND(ISNUMBER(C61),ISNUMBER(M61)),(C61-M61)*10000,"n/a")</f>
        <v>813.2058949452457</v>
      </c>
      <c r="D63" s="5">
        <f>IF(AND(ISNUMBER(D61),ISNUMBER(C61)),(D61-C61)*10000,"n/a")</f>
        <v>-78.12438826922994</v>
      </c>
      <c r="E63" s="5">
        <f>IF(AND(ISNUMBER(E61),ISNUMBER(D61)),(E61-D61)*10000,"n/a")</f>
        <v>-2.3136784021046686</v>
      </c>
      <c r="F63" s="5">
        <f>IF(AND(ISNUMBER(F61),ISNUMBER(E61)),(F61-E61)*10000,"n/a")</f>
        <v>90.83229567055776</v>
      </c>
      <c r="G63" s="5" t="s">
        <v>100</v>
      </c>
      <c r="H63" s="30">
        <f>IF(AND(ISNUMBER(H61),ISNUMBER(F61)),(H61-F61)*10000,"n/a")</f>
        <v>-61.28747014949573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4" t="s">
        <v>247</v>
      </c>
      <c r="C64" s="3">
        <v>-286</v>
      </c>
      <c r="D64" s="3">
        <v>-290</v>
      </c>
      <c r="E64" s="3">
        <v>-269</v>
      </c>
      <c r="F64" s="3">
        <v>-266</v>
      </c>
      <c r="G64" s="2">
        <f>P64+D64</f>
        <v>-1118</v>
      </c>
      <c r="H64" s="33">
        <v>-270</v>
      </c>
      <c r="I64" s="1"/>
      <c r="J64" s="3">
        <v>-256</v>
      </c>
      <c r="K64" s="3">
        <v>-264</v>
      </c>
      <c r="L64" s="3">
        <v>-268</v>
      </c>
      <c r="M64" s="3">
        <v>-274</v>
      </c>
      <c r="N64" s="2">
        <f>O64+K64</f>
        <v>-1036</v>
      </c>
      <c r="O64" s="3">
        <v>-772</v>
      </c>
      <c r="P64" s="3">
        <v>-828</v>
      </c>
      <c r="Q64" s="1"/>
      <c r="R64" s="9" t="s">
        <v>245</v>
      </c>
      <c r="S64" s="1"/>
      <c r="T64" s="1"/>
      <c r="U64" s="1"/>
      <c r="V64" s="1"/>
      <c r="W64" s="1"/>
      <c r="X64" s="1"/>
      <c r="Y64" s="1"/>
      <c r="Z64" s="1"/>
    </row>
    <row r="65">
      <c r="A65" s="1"/>
      <c r="B65" s="20" t="s">
        <v>98</v>
      </c>
      <c r="C65" s="18">
        <f>IF(AND(ISNUMBER(C64),ISNUMBER(J64)),IF(OR(J64&gt;0,AND(J64&lt;0,C64&lt;0)),C64/J64-1,"n/m"),"n/a")</f>
        <v>0.1171875</v>
      </c>
      <c r="D65" s="18">
        <f>IF(AND(ISNUMBER(D64),ISNUMBER(K64)),IF(OR(K64&gt;0,AND(K64&lt;0,D64&lt;0)),D64/K64-1,"n/m"),"n/a")</f>
        <v>0.0984848484848484</v>
      </c>
      <c r="E65" s="18">
        <f>IF(AND(ISNUMBER(E64),ISNUMBER(L64)),IF(OR(L64&gt;0,AND(L64&lt;0,E64&lt;0)),E64/L64-1,"n/m"),"n/a")</f>
        <v>0.003731343283582156</v>
      </c>
      <c r="F65" s="18">
        <f>IF(AND(ISNUMBER(F64),ISNUMBER(M64)),IF(OR(M64&gt;0,AND(M64&lt;0,F64&lt;0)),F64/M64-1,"n/m"),"n/a")</f>
        <v>-0.029197080291970767</v>
      </c>
      <c r="G65" s="18">
        <f>IF(AND(ISNUMBER(G64),ISNUMBER(N64)),IF(OR(N64&gt;0,AND(N64&lt;0,G64&lt;0)),G64/N64-1,"n/m"),"n/a")</f>
        <v>0.0791505791505791</v>
      </c>
      <c r="H65" s="21">
        <f>IF(AND(ISNUMBER(H64),ISNUMBER(C64)),IF(OR(C64&gt;0,AND(C64&lt;0,H64&lt;0)),H64/C64-1,"n/m"),"n/a")</f>
        <v>-0.05594405594405594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8" t="s">
        <v>101</v>
      </c>
      <c r="C66" s="2">
        <f>IF(AND(ISNUMBER(C64),ISNUMBER(M64)),C64-M64,"n/a")</f>
        <v>-12</v>
      </c>
      <c r="D66" s="2">
        <f>IF(AND(ISNUMBER(D64),ISNUMBER(C64)),D64-C64,"n/a")</f>
        <v>-4</v>
      </c>
      <c r="E66" s="2">
        <f>IF(AND(ISNUMBER(E64),ISNUMBER(D64)),E64-D64,"n/a")</f>
        <v>21</v>
      </c>
      <c r="F66" s="2">
        <f>IF(AND(ISNUMBER(F64),ISNUMBER(E64)),F64-E64,"n/a")</f>
        <v>3</v>
      </c>
      <c r="G66" s="2" t="s">
        <v>100</v>
      </c>
      <c r="H66" s="7">
        <f>IF(AND(ISNUMBER(H64),ISNUMBER(F64)),H64-F64,"n/a")</f>
        <v>-4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4" t="s">
        <v>248</v>
      </c>
      <c r="C67" s="3">
        <v>-99</v>
      </c>
      <c r="D67" s="3">
        <v>-578</v>
      </c>
      <c r="E67" s="3">
        <v>-80</v>
      </c>
      <c r="F67" s="3">
        <v>-80</v>
      </c>
      <c r="G67" s="2">
        <f>P67+D67</f>
        <v>-874</v>
      </c>
      <c r="H67" s="33">
        <v>-80</v>
      </c>
      <c r="I67" s="1"/>
      <c r="J67" s="3">
        <v>16</v>
      </c>
      <c r="K67" s="3">
        <v>15</v>
      </c>
      <c r="L67" s="3">
        <v>-98</v>
      </c>
      <c r="M67" s="3">
        <v>-99</v>
      </c>
      <c r="N67" s="2">
        <f>O67+K67</f>
        <v>62</v>
      </c>
      <c r="O67" s="3">
        <v>47</v>
      </c>
      <c r="P67" s="3">
        <v>-296</v>
      </c>
      <c r="Q67" s="1"/>
      <c r="R67" s="9" t="s">
        <v>245</v>
      </c>
      <c r="S67" s="1"/>
      <c r="T67" s="1"/>
      <c r="U67" s="1"/>
      <c r="V67" s="1"/>
      <c r="W67" s="1"/>
      <c r="X67" s="1"/>
      <c r="Y67" s="1"/>
      <c r="Z67" s="1"/>
    </row>
    <row r="68">
      <c r="A68" s="1"/>
      <c r="B68" s="20" t="s">
        <v>98</v>
      </c>
      <c r="C68" s="18">
        <f>IF(AND(ISNUMBER(C67),ISNUMBER(J67)),IF(OR(J67&gt;0,AND(J67&lt;0,C67&lt;0)),C67/J67-1,"n/m"),"n/a")</f>
        <v>-7.1875</v>
      </c>
      <c r="D68" s="18">
        <f>IF(AND(ISNUMBER(D67),ISNUMBER(K67)),IF(OR(K67&gt;0,AND(K67&lt;0,D67&lt;0)),D67/K67-1,"n/m"),"n/a")</f>
        <v>-39.53333333333333</v>
      </c>
      <c r="E68" s="18">
        <f>IF(AND(ISNUMBER(E67),ISNUMBER(L67)),IF(OR(L67&gt;0,AND(L67&lt;0,E67&lt;0)),E67/L67-1,"n/m"),"n/a")</f>
        <v>-0.18367346938775508</v>
      </c>
      <c r="F68" s="18">
        <f>IF(AND(ISNUMBER(F67),ISNUMBER(M67)),IF(OR(M67&gt;0,AND(M67&lt;0,F67&lt;0)),F67/M67-1,"n/m"),"n/a")</f>
        <v>-0.19191919191919193</v>
      </c>
      <c r="G68" s="18">
        <f>IF(AND(ISNUMBER(G67),ISNUMBER(N67)),IF(OR(N67&gt;0,AND(N67&lt;0,G67&lt;0)),G67/N67-1,"n/m"),"n/a")</f>
        <v>-15.096774193548388</v>
      </c>
      <c r="H68" s="21">
        <f>IF(AND(ISNUMBER(H67),ISNUMBER(C67)),IF(OR(C67&gt;0,AND(C67&lt;0,H67&lt;0)),H67/C67-1,"n/m"),"n/a")</f>
        <v>-0.19191919191919193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8" t="s">
        <v>101</v>
      </c>
      <c r="C69" s="2">
        <f>IF(AND(ISNUMBER(C67),ISNUMBER(M67)),C67-M67,"n/a")</f>
        <v>0</v>
      </c>
      <c r="D69" s="2">
        <f>IF(AND(ISNUMBER(D67),ISNUMBER(C67)),D67-C67,"n/a")</f>
        <v>-479</v>
      </c>
      <c r="E69" s="2">
        <f>IF(AND(ISNUMBER(E67),ISNUMBER(D67)),E67-D67,"n/a")</f>
        <v>498</v>
      </c>
      <c r="F69" s="2">
        <f>IF(AND(ISNUMBER(F67),ISNUMBER(E67)),F67-E67,"n/a")</f>
        <v>0</v>
      </c>
      <c r="G69" s="2" t="s">
        <v>100</v>
      </c>
      <c r="H69" s="7">
        <f>IF(AND(ISNUMBER(H67),ISNUMBER(F67)),H67-F67,"n/a")</f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4" t="s">
        <v>249</v>
      </c>
      <c r="C70" s="3">
        <v>43</v>
      </c>
      <c r="D70" s="3">
        <v>68</v>
      </c>
      <c r="E70" s="3">
        <v>60</v>
      </c>
      <c r="F70" s="3">
        <v>45</v>
      </c>
      <c r="G70" s="2">
        <f>P70+D70</f>
        <v>183</v>
      </c>
      <c r="H70" s="33">
        <v>45</v>
      </c>
      <c r="I70" s="1"/>
      <c r="J70" s="3">
        <v>18</v>
      </c>
      <c r="K70" s="3">
        <v>72</v>
      </c>
      <c r="L70" s="3">
        <v>30</v>
      </c>
      <c r="M70" s="3">
        <v>42</v>
      </c>
      <c r="N70" s="2">
        <f>O70+K70</f>
        <v>181</v>
      </c>
      <c r="O70" s="3">
        <v>109</v>
      </c>
      <c r="P70" s="3">
        <v>115</v>
      </c>
      <c r="Q70" s="1"/>
      <c r="R70" s="9" t="s">
        <v>245</v>
      </c>
      <c r="S70" s="1"/>
      <c r="T70" s="1"/>
      <c r="U70" s="1"/>
      <c r="V70" s="1"/>
      <c r="W70" s="1"/>
      <c r="X70" s="1"/>
      <c r="Y70" s="1"/>
      <c r="Z70" s="1"/>
    </row>
    <row r="71">
      <c r="A71" s="1"/>
      <c r="B71" s="20" t="s">
        <v>98</v>
      </c>
      <c r="C71" s="18">
        <f>IF(AND(ISNUMBER(C70),ISNUMBER(J70)),IF(OR(J70&gt;0,AND(J70&lt;0,C70&lt;0)),C70/J70-1,"n/m"),"n/a")</f>
        <v>1.3888888888888888</v>
      </c>
      <c r="D71" s="18">
        <f>IF(AND(ISNUMBER(D70),ISNUMBER(K70)),IF(OR(K70&gt;0,AND(K70&lt;0,D70&lt;0)),D70/K70-1,"n/m"),"n/a")</f>
        <v>-0.05555555555555558</v>
      </c>
      <c r="E71" s="18">
        <f>IF(AND(ISNUMBER(E70),ISNUMBER(L70)),IF(OR(L70&gt;0,AND(L70&lt;0,E70&lt;0)),E70/L70-1,"n/m"),"n/a")</f>
        <v>1</v>
      </c>
      <c r="F71" s="18">
        <f>IF(AND(ISNUMBER(F70),ISNUMBER(M70)),IF(OR(M70&gt;0,AND(M70&lt;0,F70&lt;0)),F70/M70-1,"n/m"),"n/a")</f>
        <v>0.0714285714285714</v>
      </c>
      <c r="G71" s="18">
        <f>IF(AND(ISNUMBER(G70),ISNUMBER(N70)),IF(OR(N70&gt;0,AND(N70&lt;0,G70&lt;0)),G70/N70-1,"n/m"),"n/a")</f>
        <v>0.011049723756906049</v>
      </c>
      <c r="H71" s="21">
        <f>IF(AND(ISNUMBER(H70),ISNUMBER(C70)),IF(OR(C70&gt;0,AND(C70&lt;0,H70&lt;0)),H70/C70-1,"n/m"),"n/a")</f>
        <v>0.04651162790697683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8" t="s">
        <v>101</v>
      </c>
      <c r="C72" s="2">
        <f>IF(AND(ISNUMBER(C70),ISNUMBER(M70)),C70-M70,"n/a")</f>
        <v>1</v>
      </c>
      <c r="D72" s="2">
        <f>IF(AND(ISNUMBER(D70),ISNUMBER(C70)),D70-C70,"n/a")</f>
        <v>25</v>
      </c>
      <c r="E72" s="2">
        <f>IF(AND(ISNUMBER(E70),ISNUMBER(D70)),E70-D70,"n/a")</f>
        <v>-8</v>
      </c>
      <c r="F72" s="2">
        <f>IF(AND(ISNUMBER(F70),ISNUMBER(E70)),F70-E70,"n/a")</f>
        <v>-15</v>
      </c>
      <c r="G72" s="2" t="s">
        <v>100</v>
      </c>
      <c r="H72" s="7">
        <f>IF(AND(ISNUMBER(H70),ISNUMBER(F70)),H70-F70,"n/a")</f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46" t="s">
        <v>250</v>
      </c>
      <c r="C73" s="14">
        <f>C58+C64+C67+C70</f>
        <v>1938</v>
      </c>
      <c r="D73" s="14">
        <f>D58+D64+D67+D70</f>
        <v>1531</v>
      </c>
      <c r="E73" s="14">
        <f>E58+E64+E67+E70</f>
        <v>1774</v>
      </c>
      <c r="F73" s="14">
        <f>F58+F64+F67+F70</f>
        <v>2178</v>
      </c>
      <c r="G73" s="14">
        <f>G58+G64+G67+G70</f>
        <v>5922</v>
      </c>
      <c r="H73" s="48">
        <f>H58+H64+H67+H70</f>
        <v>2061.2811359999996</v>
      </c>
      <c r="I73" s="1"/>
      <c r="J73" s="14">
        <f>J58+J64+J67+J70</f>
        <v>1918</v>
      </c>
      <c r="K73" s="14">
        <f>K58+K64+K67+K70</f>
        <v>519</v>
      </c>
      <c r="L73" s="14">
        <f>L58+L64+L67+L70</f>
        <v>2036</v>
      </c>
      <c r="M73" s="14">
        <f>M58+M64+M67+M70</f>
        <v>417</v>
      </c>
      <c r="N73" s="14">
        <f>N58+N64+N67+N70</f>
        <v>6220</v>
      </c>
      <c r="O73" s="14">
        <f>O58+O64+O67+O70</f>
        <v>5701</v>
      </c>
      <c r="P73" s="14">
        <f>P58+P64+P67+P70</f>
        <v>4391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25" t="s">
        <v>98</v>
      </c>
      <c r="C74" s="18">
        <f>IF(AND(ISNUMBER(C73),ISNUMBER(J73)),IF(OR(J73&gt;0,AND(J73&lt;0,C73&lt;0)),C73/J73-1,"n/m"),"n/a")</f>
        <v>0.010427528675703845</v>
      </c>
      <c r="D74" s="18">
        <f>IF(AND(ISNUMBER(D73),ISNUMBER(K73)),IF(OR(K73&gt;0,AND(K73&lt;0,D73&lt;0)),D73/K73-1,"n/m"),"n/a")</f>
        <v>1.9499036608863198</v>
      </c>
      <c r="E74" s="18">
        <f>IF(AND(ISNUMBER(E73),ISNUMBER(L73)),IF(OR(L73&gt;0,AND(L73&lt;0,E73&lt;0)),E73/L73-1,"n/m"),"n/a")</f>
        <v>-0.1286836935166994</v>
      </c>
      <c r="F74" s="18">
        <f>IF(AND(ISNUMBER(F73),ISNUMBER(M73)),IF(OR(M73&gt;0,AND(M73&lt;0,F73&lt;0)),F73/M73-1,"n/m"),"n/a")</f>
        <v>4.223021582733813</v>
      </c>
      <c r="G74" s="18">
        <f>IF(AND(ISNUMBER(G73),ISNUMBER(N73)),IF(OR(N73&gt;0,AND(N73&lt;0,G73&lt;0)),G73/N73-1,"n/m"),"n/a")</f>
        <v>-0.04790996784565915</v>
      </c>
      <c r="H74" s="21">
        <f>IF(AND(ISNUMBER(H73),ISNUMBER(C73)),IF(OR(C73&gt;0,AND(C73&lt;0,H73&lt;0)),H73/C73-1,"n/m"),"n/a")</f>
        <v>0.06361255727554149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101</v>
      </c>
      <c r="C75" s="2">
        <f>IF(AND(ISNUMBER(C73),ISNUMBER(M73)),C73-M73,"n/a")</f>
        <v>1521</v>
      </c>
      <c r="D75" s="2">
        <f>IF(AND(ISNUMBER(D73),ISNUMBER(C73)),D73-C73,"n/a")</f>
        <v>-407</v>
      </c>
      <c r="E75" s="2">
        <f>IF(AND(ISNUMBER(E73),ISNUMBER(D73)),E73-D73,"n/a")</f>
        <v>243</v>
      </c>
      <c r="F75" s="2">
        <f>IF(AND(ISNUMBER(F73),ISNUMBER(E73)),F73-E73,"n/a")</f>
        <v>404</v>
      </c>
      <c r="G75" s="2" t="s">
        <v>100</v>
      </c>
      <c r="H75" s="7">
        <f>IF(AND(ISNUMBER(H73),ISNUMBER(F73)),H73-F73,"n/a")</f>
        <v>-116.7188640000004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4" t="s">
        <v>251</v>
      </c>
      <c r="C76" s="3">
        <v>-319</v>
      </c>
      <c r="D76" s="3">
        <v>-187</v>
      </c>
      <c r="E76" s="3">
        <v>-286</v>
      </c>
      <c r="F76" s="3">
        <v>-342</v>
      </c>
      <c r="G76" s="2">
        <f>P76+D76</f>
        <v>-905</v>
      </c>
      <c r="H76" s="7">
        <f>-H73*H79</f>
        <v>-327.7437006239999</v>
      </c>
      <c r="I76" s="1"/>
      <c r="J76" s="3">
        <v>-295</v>
      </c>
      <c r="K76" s="3">
        <v>8</v>
      </c>
      <c r="L76" s="3">
        <v>-324</v>
      </c>
      <c r="M76" s="3">
        <v>-75</v>
      </c>
      <c r="N76" s="2">
        <f>O76+K76</f>
        <v>-884</v>
      </c>
      <c r="O76" s="3">
        <v>-892</v>
      </c>
      <c r="P76" s="3">
        <v>-718</v>
      </c>
      <c r="Q76" s="1"/>
      <c r="R76" s="9" t="s">
        <v>245</v>
      </c>
      <c r="S76" s="1"/>
      <c r="T76" s="1"/>
      <c r="U76" s="1"/>
      <c r="V76" s="1"/>
      <c r="W76" s="1"/>
      <c r="X76" s="1"/>
      <c r="Y76" s="1"/>
      <c r="Z76" s="1"/>
    </row>
    <row r="77">
      <c r="A77" s="1"/>
      <c r="B77" s="20" t="s">
        <v>98</v>
      </c>
      <c r="C77" s="18">
        <f>IF(AND(ISNUMBER(C76),ISNUMBER(J76)),IF(OR(J76&gt;0,AND(J76&lt;0,C76&lt;0)),C76/J76-1,"n/m"),"n/a")</f>
        <v>0.08135593220338988</v>
      </c>
      <c r="D77" s="18">
        <f>IF(AND(ISNUMBER(D76),ISNUMBER(K76)),IF(OR(K76&gt;0,AND(K76&lt;0,D76&lt;0)),D76/K76-1,"n/m"),"n/a")</f>
        <v>-24.375</v>
      </c>
      <c r="E77" s="18">
        <f>IF(AND(ISNUMBER(E76),ISNUMBER(L76)),IF(OR(L76&gt;0,AND(L76&lt;0,E76&lt;0)),E76/L76-1,"n/m"),"n/a")</f>
        <v>-0.11728395061728392</v>
      </c>
      <c r="F77" s="18">
        <f>IF(AND(ISNUMBER(F76),ISNUMBER(M76)),IF(OR(M76&gt;0,AND(M76&lt;0,F76&lt;0)),F76/M76-1,"n/m"),"n/a")</f>
        <v>3.5599999999999996</v>
      </c>
      <c r="G77" s="18">
        <f>IF(AND(ISNUMBER(G76),ISNUMBER(N76)),IF(OR(N76&gt;0,AND(N76&lt;0,G76&lt;0)),G76/N76-1,"n/m"),"n/a")</f>
        <v>0.0237556561085972</v>
      </c>
      <c r="H77" s="21">
        <f>IF(AND(ISNUMBER(H76),ISNUMBER(C76)),IF(OR(C76&gt;0,AND(C76&lt;0,H76&lt;0)),H76/C76-1,"n/m"),"n/a")</f>
        <v>0.027409719824451173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8" t="s">
        <v>101</v>
      </c>
      <c r="C78" s="2">
        <f>IF(AND(ISNUMBER(C76),ISNUMBER(M76)),C76-M76,"n/a")</f>
        <v>-244</v>
      </c>
      <c r="D78" s="2">
        <f>IF(AND(ISNUMBER(D76),ISNUMBER(C76)),D76-C76,"n/a")</f>
        <v>132</v>
      </c>
      <c r="E78" s="2">
        <f>IF(AND(ISNUMBER(E76),ISNUMBER(D76)),E76-D76,"n/a")</f>
        <v>-99</v>
      </c>
      <c r="F78" s="2">
        <f>IF(AND(ISNUMBER(F76),ISNUMBER(E76)),F76-E76,"n/a")</f>
        <v>-56</v>
      </c>
      <c r="G78" s="2" t="s">
        <v>100</v>
      </c>
      <c r="H78" s="7">
        <f>IF(AND(ISNUMBER(H76),ISNUMBER(F76)),H76-F76,"n/a")</f>
        <v>14.256299376000072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5" t="s">
        <v>60</v>
      </c>
      <c r="C79" s="18">
        <f>-C76/C73</f>
        <v>0.16460268317853458</v>
      </c>
      <c r="D79" s="18">
        <f>-D76/D73</f>
        <v>0.12214239059438275</v>
      </c>
      <c r="E79" s="18">
        <f>-E76/E73</f>
        <v>0.161217587373168</v>
      </c>
      <c r="F79" s="18">
        <f>-F76/F73</f>
        <v>0.15702479338842976</v>
      </c>
      <c r="G79" s="18">
        <f>-G76/G73</f>
        <v>0.15281999324552517</v>
      </c>
      <c r="H79" s="32">
        <v>0.159</v>
      </c>
      <c r="I79" s="1"/>
      <c r="J79" s="18">
        <f>-J76/J73</f>
        <v>0.15380604796663191</v>
      </c>
      <c r="K79" s="18">
        <f>-K76/K73</f>
        <v>-0.015414258188824663</v>
      </c>
      <c r="L79" s="18">
        <f>-L76/L73</f>
        <v>0.15913555992141454</v>
      </c>
      <c r="M79" s="18">
        <f>-M76/M73</f>
        <v>0.17985611510791366</v>
      </c>
      <c r="N79" s="18">
        <f>-N76/N73</f>
        <v>0.14212218649517686</v>
      </c>
      <c r="O79" s="18">
        <f>-O76/O73</f>
        <v>0.1564637782845115</v>
      </c>
      <c r="P79" s="18">
        <f>-P76/P73</f>
        <v>0.16351628330676385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20" t="s">
        <v>103</v>
      </c>
      <c r="C80" s="5">
        <f>IF(AND(ISNUMBER(C79),ISNUMBER(J79)),(C79-J79)*10000,"n/a")</f>
        <v>107.96635211902661</v>
      </c>
      <c r="D80" s="5">
        <f>IF(AND(ISNUMBER(D79),ISNUMBER(K79)),(D79-K79)*10000,"n/a")</f>
        <v>1375.5664878320742</v>
      </c>
      <c r="E80" s="5">
        <f>IF(AND(ISNUMBER(E79),ISNUMBER(L79)),(E79-L79)*10000,"n/a")</f>
        <v>20.820274517534543</v>
      </c>
      <c r="F80" s="5">
        <f>IF(AND(ISNUMBER(F79),ISNUMBER(M79)),(F79-M79)*10000,"n/a")</f>
        <v>-228.31321719483904</v>
      </c>
      <c r="G80" s="5">
        <f>IF(AND(ISNUMBER(G79),ISNUMBER(N79)),(G79-N79)*10000,"n/a")</f>
        <v>106.97806750348316</v>
      </c>
      <c r="H80" s="30">
        <f>IF(AND(ISNUMBER(H79),ISNUMBER(C79)),(H79-C79)*10000,"n/a")</f>
        <v>-56.026831785345735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20" t="s">
        <v>104</v>
      </c>
      <c r="C81" s="5">
        <f>IF(AND(ISNUMBER(C79),ISNUMBER(M79)),(C79-M79)*10000,"n/a")</f>
        <v>-152.53431929379084</v>
      </c>
      <c r="D81" s="5">
        <f>IF(AND(ISNUMBER(D79),ISNUMBER(C79)),(D79-C79)*10000,"n/a")</f>
        <v>-424.6029258415182</v>
      </c>
      <c r="E81" s="5">
        <f>IF(AND(ISNUMBER(E79),ISNUMBER(D79)),(E79-D79)*10000,"n/a")</f>
        <v>390.7519677878524</v>
      </c>
      <c r="F81" s="5">
        <f>IF(AND(ISNUMBER(F79),ISNUMBER(E79)),(F79-E79)*10000,"n/a")</f>
        <v>-41.927939847382355</v>
      </c>
      <c r="G81" s="5" t="s">
        <v>100</v>
      </c>
      <c r="H81" s="30">
        <f>IF(AND(ISNUMBER(H79),ISNUMBER(F79)),(H79-F79)*10000,"n/a")</f>
        <v>19.752066115702462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46" t="s">
        <v>252</v>
      </c>
      <c r="C82" s="14">
        <f>C73+C76</f>
        <v>1619</v>
      </c>
      <c r="D82" s="14">
        <f>D73+D76</f>
        <v>1344</v>
      </c>
      <c r="E82" s="14">
        <f>E73+E76</f>
        <v>1488</v>
      </c>
      <c r="F82" s="14">
        <f>F73+F76</f>
        <v>1836</v>
      </c>
      <c r="G82" s="14">
        <f>G73+G76</f>
        <v>5017</v>
      </c>
      <c r="H82" s="48">
        <f>H73+H76</f>
        <v>1733.5374353759996</v>
      </c>
      <c r="I82" s="1"/>
      <c r="J82" s="14">
        <f>J73+J76</f>
        <v>1623</v>
      </c>
      <c r="K82" s="14">
        <f>K73+K76</f>
        <v>527</v>
      </c>
      <c r="L82" s="14">
        <f>L73+L76</f>
        <v>1712</v>
      </c>
      <c r="M82" s="14">
        <f>M73+M76</f>
        <v>342</v>
      </c>
      <c r="N82" s="14">
        <f>N73+N76</f>
        <v>5336</v>
      </c>
      <c r="O82" s="14">
        <f>O73+O76</f>
        <v>4809</v>
      </c>
      <c r="P82" s="14">
        <f>P73+P76</f>
        <v>3673</v>
      </c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5" t="s">
        <v>98</v>
      </c>
      <c r="C83" s="18">
        <f>IF(AND(ISNUMBER(C82),ISNUMBER(J82)),IF(OR(J82&gt;0,AND(J82&lt;0,C82&lt;0)),C82/J82-1,"n/m"),"n/a")</f>
        <v>-0.0024645717806530687</v>
      </c>
      <c r="D83" s="18">
        <f>IF(AND(ISNUMBER(D82),ISNUMBER(K82)),IF(OR(K82&gt;0,AND(K82&lt;0,D82&lt;0)),D82/K82-1,"n/m"),"n/a")</f>
        <v>1.5502846299810247</v>
      </c>
      <c r="E83" s="18">
        <f>IF(AND(ISNUMBER(E82),ISNUMBER(L82)),IF(OR(L82&gt;0,AND(L82&lt;0,E82&lt;0)),E82/L82-1,"n/m"),"n/a")</f>
        <v>-0.13084112149532712</v>
      </c>
      <c r="F83" s="18">
        <f>IF(AND(ISNUMBER(F82),ISNUMBER(M82)),IF(OR(M82&gt;0,AND(M82&lt;0,F82&lt;0)),F82/M82-1,"n/m"),"n/a")</f>
        <v>4.368421052631579</v>
      </c>
      <c r="G83" s="18">
        <f>IF(AND(ISNUMBER(G82),ISNUMBER(N82)),IF(OR(N82&gt;0,AND(N82&lt;0,G82&lt;0)),G82/N82-1,"n/m"),"n/a")</f>
        <v>-0.05978260869565222</v>
      </c>
      <c r="H83" s="21">
        <f>IF(AND(ISNUMBER(H82),ISNUMBER(C82)),IF(OR(C82&gt;0,AND(C82&lt;0,H82&lt;0)),H82/C82-1,"n/m"),"n/a")</f>
        <v>0.07074579084373056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4" t="s">
        <v>101</v>
      </c>
      <c r="C84" s="2">
        <f>IF(AND(ISNUMBER(C82),ISNUMBER(M82)),C82-M82,"n/a")</f>
        <v>1277</v>
      </c>
      <c r="D84" s="2">
        <f>IF(AND(ISNUMBER(D82),ISNUMBER(C82)),D82-C82,"n/a")</f>
        <v>-275</v>
      </c>
      <c r="E84" s="2">
        <f>IF(AND(ISNUMBER(E82),ISNUMBER(D82)),E82-D82,"n/a")</f>
        <v>144</v>
      </c>
      <c r="F84" s="2">
        <f>IF(AND(ISNUMBER(F82),ISNUMBER(E82)),F82-E82,"n/a")</f>
        <v>348</v>
      </c>
      <c r="G84" s="2" t="s">
        <v>100</v>
      </c>
      <c r="H84" s="7">
        <f>IF(AND(ISNUMBER(H82),ISNUMBER(F82)),H82-F82,"n/a")</f>
        <v>-102.46256462400038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25" t="s">
        <v>253</v>
      </c>
      <c r="C85" s="18">
        <f>C82/C22</f>
        <v>0.08700091353646085</v>
      </c>
      <c r="D85" s="18">
        <f>D82/D22</f>
        <v>0.066138477437134</v>
      </c>
      <c r="E85" s="18">
        <f>E82/E22</f>
        <v>0.08257033460962211</v>
      </c>
      <c r="F85" s="18">
        <f>F82/F22</f>
        <v>0.09151173802522056</v>
      </c>
      <c r="G85" s="18">
        <f>G82/G22</f>
        <v>0.06685054898198486</v>
      </c>
      <c r="H85" s="21">
        <f>H82/H22</f>
        <v>0.08603070375595936</v>
      </c>
      <c r="I85" s="1"/>
      <c r="J85" s="18">
        <f>J82/J22</f>
        <v>0.09489008419083256</v>
      </c>
      <c r="K85" s="18">
        <f>K82/K22</f>
        <v>0.02829986038019547</v>
      </c>
      <c r="L85" s="18">
        <f>L82/L22</f>
        <v>0.0953070199855258</v>
      </c>
      <c r="M85" s="18">
        <f>M82/M22</f>
        <v>0.01883778573395759</v>
      </c>
      <c r="N85" s="18">
        <f>N82/N22</f>
        <v>0.07510944076122912</v>
      </c>
      <c r="O85" s="18">
        <f>O82/O22</f>
        <v>0.0917380439136987</v>
      </c>
      <c r="P85" s="18">
        <f>P82/P22</f>
        <v>0.06711495240009502</v>
      </c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20" t="s">
        <v>103</v>
      </c>
      <c r="C86" s="5">
        <f>IF(AND(ISNUMBER(C85),ISNUMBER(J85)),(C85-J85)*10000,"n/a")</f>
        <v>-78.8917065437171</v>
      </c>
      <c r="D86" s="5">
        <f>IF(AND(ISNUMBER(D85),ISNUMBER(K85)),(D85-K85)*10000,"n/a")</f>
        <v>378.3861705693853</v>
      </c>
      <c r="E86" s="5">
        <f>IF(AND(ISNUMBER(E85),ISNUMBER(L85)),(E85-L85)*10000,"n/a")</f>
        <v>-127.36685375903694</v>
      </c>
      <c r="F86" s="5">
        <f>IF(AND(ISNUMBER(F85),ISNUMBER(M85)),(F85-M85)*10000,"n/a")</f>
        <v>726.7395229126297</v>
      </c>
      <c r="G86" s="5">
        <f>IF(AND(ISNUMBER(G85),ISNUMBER(N85)),(G85-N85)*10000,"n/a")</f>
        <v>-82.58891779244257</v>
      </c>
      <c r="H86" s="30">
        <f>IF(AND(ISNUMBER(H85),ISNUMBER(C85)),(H85-C85)*10000,"n/a")</f>
        <v>-9.702097805014825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20" t="s">
        <v>104</v>
      </c>
      <c r="C87" s="5">
        <f>IF(AND(ISNUMBER(C85),ISNUMBER(M85)),(C85-M85)*10000,"n/a")</f>
        <v>681.6312780250327</v>
      </c>
      <c r="D87" s="5">
        <f>IF(AND(ISNUMBER(D85),ISNUMBER(C85)),(D85-C85)*10000,"n/a")</f>
        <v>-208.6243609932685</v>
      </c>
      <c r="E87" s="5">
        <f>IF(AND(ISNUMBER(E85),ISNUMBER(D85)),(E85-D85)*10000,"n/a")</f>
        <v>164.31857172488114</v>
      </c>
      <c r="F87" s="5">
        <f>IF(AND(ISNUMBER(F85),ISNUMBER(E85)),(F85-E85)*10000,"n/a")</f>
        <v>89.41403415598445</v>
      </c>
      <c r="G87" s="5" t="s">
        <v>100</v>
      </c>
      <c r="H87" s="30">
        <f>IF(AND(ISNUMBER(H85),ISNUMBER(F85)),(H85-F85)*10000,"n/a")</f>
        <v>-54.810342692611925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3" t="s">
        <v>254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1"/>
      <c r="T89" s="1"/>
      <c r="U89" s="1"/>
      <c r="V89" s="1"/>
      <c r="W89" s="1"/>
      <c r="X89" s="1"/>
      <c r="Y89" s="1"/>
      <c r="Z89" s="1"/>
    </row>
    <row r="90">
      <c r="A90" s="1"/>
      <c r="B90" s="9" t="s">
        <v>255</v>
      </c>
      <c r="C90" s="35">
        <f>'Revenue summary'!C84</f>
        <v>2029</v>
      </c>
      <c r="D90" s="35">
        <f>'Revenue summary'!D84</f>
        <v>2058</v>
      </c>
      <c r="E90" s="35">
        <f>'Revenue summary'!E84</f>
        <v>1823</v>
      </c>
      <c r="F90" s="35">
        <f>'Revenue summary'!F84</f>
        <v>2162</v>
      </c>
      <c r="G90" s="35">
        <f>'Revenue summary'!G84</f>
        <v>6743</v>
      </c>
      <c r="H90" s="34">
        <f>'Revenue summary'!H84</f>
        <v>2090.2811359999996</v>
      </c>
      <c r="I90" s="1"/>
      <c r="J90" s="35">
        <f>'Revenue summary'!J84</f>
        <v>1870</v>
      </c>
      <c r="K90" s="35">
        <f>'Revenue summary'!K84</f>
        <v>426</v>
      </c>
      <c r="L90" s="35">
        <f>'Revenue summary'!L84</f>
        <v>2085</v>
      </c>
      <c r="M90" s="35">
        <f>'Revenue summary'!M84</f>
        <v>571</v>
      </c>
      <c r="N90" s="35">
        <f>'Revenue summary'!N84</f>
        <v>6083</v>
      </c>
      <c r="O90" s="35">
        <f>'Revenue summary'!O84</f>
        <v>5657</v>
      </c>
      <c r="P90" s="35">
        <f>'Revenue summary'!P84</f>
        <v>4685</v>
      </c>
      <c r="Q90" s="1"/>
      <c r="R90" s="9" t="s">
        <v>85</v>
      </c>
      <c r="S90" s="1"/>
      <c r="T90" s="1"/>
      <c r="U90" s="1"/>
      <c r="V90" s="1"/>
      <c r="W90" s="1"/>
      <c r="X90" s="1"/>
      <c r="Y90" s="1"/>
      <c r="Z90" s="1"/>
    </row>
    <row r="91">
      <c r="A91" s="1"/>
      <c r="B91" s="25" t="s">
        <v>98</v>
      </c>
      <c r="C91" s="18">
        <f>IF(AND(ISNUMBER(C90),ISNUMBER(J90)),IF(OR(J90&gt;0,AND(J90&lt;0,C90&lt;0)),C90/J90-1,"n/m"),"n/a")</f>
        <v>0.08502673796791438</v>
      </c>
      <c r="D91" s="18">
        <f>IF(AND(ISNUMBER(D90),ISNUMBER(K90)),IF(OR(K90&gt;0,AND(K90&lt;0,D90&lt;0)),D90/K90-1,"n/m"),"n/a")</f>
        <v>3.830985915492958</v>
      </c>
      <c r="E91" s="18">
        <f>IF(AND(ISNUMBER(E90),ISNUMBER(L90)),IF(OR(L90&gt;0,AND(L90&lt;0,E90&lt;0)),E90/L90-1,"n/m"),"n/a")</f>
        <v>-0.12565947242206232</v>
      </c>
      <c r="F91" s="18">
        <f>IF(AND(ISNUMBER(F90),ISNUMBER(M90)),IF(OR(M90&gt;0,AND(M90&lt;0,F90&lt;0)),F90/M90-1,"n/m"),"n/a")</f>
        <v>2.786339754816112</v>
      </c>
      <c r="G91" s="18">
        <f>IF(AND(ISNUMBER(G90),ISNUMBER(N90)),IF(OR(N90&gt;0,AND(N90&lt;0,G90&lt;0)),G90/N90-1,"n/m"),"n/a")</f>
        <v>0.10849909584086803</v>
      </c>
      <c r="H91" s="21">
        <f>IF(AND(ISNUMBER(H90),ISNUMBER(C90)),IF(OR(C90&gt;0,AND(C90&lt;0,H90&lt;0)),H90/C90-1,"n/m"),"n/a")</f>
        <v>0.030202629866929342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4" t="s">
        <v>101</v>
      </c>
      <c r="C92" s="2">
        <f>IF(AND(ISNUMBER(C90),ISNUMBER(M90)),C90-M90,"n/a")</f>
        <v>1458</v>
      </c>
      <c r="D92" s="2">
        <f>IF(AND(ISNUMBER(D90),ISNUMBER(C90)),D90-C90,"n/a")</f>
        <v>29</v>
      </c>
      <c r="E92" s="2">
        <f>IF(AND(ISNUMBER(E90),ISNUMBER(D90)),E90-D90,"n/a")</f>
        <v>-235</v>
      </c>
      <c r="F92" s="2">
        <f>IF(AND(ISNUMBER(F90),ISNUMBER(E90)),F90-E90,"n/a")</f>
        <v>339</v>
      </c>
      <c r="G92" s="2" t="s">
        <v>100</v>
      </c>
      <c r="H92" s="7">
        <f>IF(AND(ISNUMBER(H90),ISNUMBER(F90)),H90-F90,"n/a")</f>
        <v>-71.7188640000004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4" t="s">
        <v>256</v>
      </c>
      <c r="C93" s="3">
        <v>380</v>
      </c>
      <c r="D93" s="3">
        <v>380</v>
      </c>
      <c r="E93" s="3">
        <v>421</v>
      </c>
      <c r="F93" s="3">
        <v>422</v>
      </c>
      <c r="G93" s="2">
        <f>P93+D93</f>
        <v>1518</v>
      </c>
      <c r="H93" s="33">
        <v>421</v>
      </c>
      <c r="I93" s="1"/>
      <c r="J93" s="3">
        <v>406</v>
      </c>
      <c r="K93" s="3">
        <v>406</v>
      </c>
      <c r="L93" s="3">
        <v>379</v>
      </c>
      <c r="M93" s="3">
        <v>379</v>
      </c>
      <c r="N93" s="2">
        <f>O93+K93</f>
        <v>1624</v>
      </c>
      <c r="O93" s="3">
        <v>1218</v>
      </c>
      <c r="P93" s="3">
        <v>1138</v>
      </c>
      <c r="Q93" s="1"/>
      <c r="R93" s="9" t="s">
        <v>245</v>
      </c>
      <c r="S93" s="1"/>
      <c r="T93" s="1"/>
      <c r="U93" s="1"/>
      <c r="V93" s="1"/>
      <c r="W93" s="1"/>
      <c r="X93" s="1"/>
      <c r="Y93" s="1"/>
      <c r="Z93" s="1"/>
    </row>
    <row r="94">
      <c r="A94" s="1"/>
      <c r="B94" s="20" t="s">
        <v>98</v>
      </c>
      <c r="C94" s="18">
        <f>IF(AND(ISNUMBER(C93),ISNUMBER(J93)),IF(OR(J93&gt;0,AND(J93&lt;0,C93&lt;0)),C93/J93-1,"n/m"),"n/a")</f>
        <v>-0.0640394088669951</v>
      </c>
      <c r="D94" s="18">
        <f>IF(AND(ISNUMBER(D93),ISNUMBER(K93)),IF(OR(K93&gt;0,AND(K93&lt;0,D93&lt;0)),D93/K93-1,"n/m"),"n/a")</f>
        <v>-0.0640394088669951</v>
      </c>
      <c r="E94" s="18">
        <f>IF(AND(ISNUMBER(E93),ISNUMBER(L93)),IF(OR(L93&gt;0,AND(L93&lt;0,E93&lt;0)),E93/L93-1,"n/m"),"n/a")</f>
        <v>0.1108179419525066</v>
      </c>
      <c r="F94" s="18">
        <f>IF(AND(ISNUMBER(F93),ISNUMBER(M93)),IF(OR(M93&gt;0,AND(M93&lt;0,F93&lt;0)),F93/M93-1,"n/m"),"n/a")</f>
        <v>0.11345646437994716</v>
      </c>
      <c r="G94" s="18">
        <f>IF(AND(ISNUMBER(G93),ISNUMBER(N93)),IF(OR(N93&gt;0,AND(N93&lt;0,G93&lt;0)),G93/N93-1,"n/m"),"n/a")</f>
        <v>-0.06527093596059108</v>
      </c>
      <c r="H94" s="21">
        <f>IF(AND(ISNUMBER(H93),ISNUMBER(C93)),IF(OR(C93&gt;0,AND(C93&lt;0,H93&lt;0)),H93/C93-1,"n/m"),"n/a")</f>
        <v>0.10789473684210527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8" t="s">
        <v>101</v>
      </c>
      <c r="C95" s="2">
        <f>IF(AND(ISNUMBER(C93),ISNUMBER(M93)),C93-M93,"n/a")</f>
        <v>1</v>
      </c>
      <c r="D95" s="2">
        <f>IF(AND(ISNUMBER(D93),ISNUMBER(C93)),D93-C93,"n/a")</f>
        <v>0</v>
      </c>
      <c r="E95" s="2">
        <f>IF(AND(ISNUMBER(E93),ISNUMBER(D93)),E93-D93,"n/a")</f>
        <v>41</v>
      </c>
      <c r="F95" s="2">
        <f>IF(AND(ISNUMBER(F93),ISNUMBER(E93)),F93-E93,"n/a")</f>
        <v>1</v>
      </c>
      <c r="G95" s="2" t="s">
        <v>100</v>
      </c>
      <c r="H95" s="7">
        <f>IF(AND(ISNUMBER(H93),ISNUMBER(F93)),H93-F93,"n/a")</f>
        <v>-1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4" t="s">
        <v>236</v>
      </c>
      <c r="C96" s="3">
        <v>0</v>
      </c>
      <c r="D96" s="3">
        <v>0</v>
      </c>
      <c r="E96" s="3">
        <v>0</v>
      </c>
      <c r="F96" s="3">
        <v>0</v>
      </c>
      <c r="G96" s="2">
        <f>P96+D96</f>
        <v>-66</v>
      </c>
      <c r="H96" s="33">
        <v>0</v>
      </c>
      <c r="I96" s="1"/>
      <c r="J96" s="3">
        <v>0</v>
      </c>
      <c r="K96" s="3">
        <v>0</v>
      </c>
      <c r="L96" s="3">
        <v>0</v>
      </c>
      <c r="M96" s="3">
        <v>-66</v>
      </c>
      <c r="N96" s="2">
        <f>O96+K96</f>
        <v>-87</v>
      </c>
      <c r="O96" s="3">
        <v>-87</v>
      </c>
      <c r="P96" s="3">
        <v>-66</v>
      </c>
      <c r="Q96" s="1"/>
      <c r="R96" s="9" t="s">
        <v>245</v>
      </c>
      <c r="S96" s="1"/>
      <c r="T96" s="1"/>
      <c r="U96" s="1"/>
      <c r="V96" s="1"/>
      <c r="W96" s="1"/>
      <c r="X96" s="1"/>
      <c r="Y96" s="1"/>
      <c r="Z96" s="1"/>
    </row>
    <row r="97">
      <c r="A97" s="1"/>
      <c r="B97" s="20" t="s">
        <v>98</v>
      </c>
      <c r="C97" s="18" t="str">
        <f>IF(AND(ISNUMBER(C96),ISNUMBER(J96)),IF(OR(J96&gt;0,AND(J96&lt;0,C96&lt;0)),C96/J96-1,"n/m"),"n/a")</f>
        <v>n/m</v>
      </c>
      <c r="D97" s="18" t="str">
        <f>IF(AND(ISNUMBER(D96),ISNUMBER(K96)),IF(OR(K96&gt;0,AND(K96&lt;0,D96&lt;0)),D96/K96-1,"n/m"),"n/a")</f>
        <v>n/m</v>
      </c>
      <c r="E97" s="18" t="str">
        <f>IF(AND(ISNUMBER(E96),ISNUMBER(L96)),IF(OR(L96&gt;0,AND(L96&lt;0,E96&lt;0)),E96/L96-1,"n/m"),"n/a")</f>
        <v>n/m</v>
      </c>
      <c r="F97" s="18" t="str">
        <f>IF(AND(ISNUMBER(F96),ISNUMBER(M96)),IF(OR(M96&gt;0,AND(M96&lt;0,F96&lt;0)),F96/M96-1,"n/m"),"n/a")</f>
        <v>n/m</v>
      </c>
      <c r="G97" s="18">
        <f>IF(AND(ISNUMBER(G96),ISNUMBER(N96)),IF(OR(N96&gt;0,AND(N96&lt;0,G96&lt;0)),G96/N96-1,"n/m"),"n/a")</f>
        <v>-0.24137931034482762</v>
      </c>
      <c r="H97" s="21" t="str">
        <f>IF(AND(ISNUMBER(H96),ISNUMBER(C96)),IF(OR(C96&gt;0,AND(C96&lt;0,H96&lt;0)),H96/C96-1,"n/m"),"n/a")</f>
        <v>n/m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8" t="s">
        <v>101</v>
      </c>
      <c r="C98" s="2">
        <f>IF(AND(ISNUMBER(C96),ISNUMBER(M96)),C96-M96,"n/a")</f>
        <v>66</v>
      </c>
      <c r="D98" s="2">
        <f>IF(AND(ISNUMBER(D96),ISNUMBER(C96)),D96-C96,"n/a")</f>
        <v>0</v>
      </c>
      <c r="E98" s="2">
        <f>IF(AND(ISNUMBER(E96),ISNUMBER(D96)),E96-D96,"n/a")</f>
        <v>0</v>
      </c>
      <c r="F98" s="2">
        <f>IF(AND(ISNUMBER(F96),ISNUMBER(E96)),F96-E96,"n/a")</f>
        <v>0</v>
      </c>
      <c r="G98" s="2" t="s">
        <v>100</v>
      </c>
      <c r="H98" s="7">
        <f>IF(AND(ISNUMBER(H96),ISNUMBER(F96)),H96-F96,"n/a")</f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4" t="s">
        <v>257</v>
      </c>
      <c r="C99" s="3">
        <v>-70</v>
      </c>
      <c r="D99" s="3">
        <v>-57</v>
      </c>
      <c r="E99" s="3">
        <v>-50</v>
      </c>
      <c r="F99" s="3">
        <v>-50</v>
      </c>
      <c r="G99" s="2">
        <f>P99+D99</f>
        <v>-254</v>
      </c>
      <c r="H99" s="33">
        <v>-50</v>
      </c>
      <c r="I99" s="1"/>
      <c r="J99" s="3">
        <v>-61</v>
      </c>
      <c r="K99" s="3">
        <v>-64</v>
      </c>
      <c r="L99" s="3">
        <v>-64</v>
      </c>
      <c r="M99" s="3">
        <v>-63</v>
      </c>
      <c r="N99" s="2">
        <f>O99+K99</f>
        <v>-247</v>
      </c>
      <c r="O99" s="3">
        <v>-183</v>
      </c>
      <c r="P99" s="3">
        <v>-197</v>
      </c>
      <c r="Q99" s="1"/>
      <c r="R99" s="9" t="s">
        <v>245</v>
      </c>
      <c r="S99" s="1"/>
      <c r="T99" s="1"/>
      <c r="U99" s="1"/>
      <c r="V99" s="1"/>
      <c r="W99" s="1"/>
      <c r="X99" s="1"/>
      <c r="Y99" s="1"/>
      <c r="Z99" s="1"/>
    </row>
    <row r="100">
      <c r="A100" s="1"/>
      <c r="B100" s="20" t="s">
        <v>98</v>
      </c>
      <c r="C100" s="18">
        <f>IF(AND(ISNUMBER(C99),ISNUMBER(J99)),IF(OR(J99&gt;0,AND(J99&lt;0,C99&lt;0)),C99/J99-1,"n/m"),"n/a")</f>
        <v>0.14754098360655732</v>
      </c>
      <c r="D100" s="18">
        <f>IF(AND(ISNUMBER(D99),ISNUMBER(K99)),IF(OR(K99&gt;0,AND(K99&lt;0,D99&lt;0)),D99/K99-1,"n/m"),"n/a")</f>
        <v>-0.109375</v>
      </c>
      <c r="E100" s="18">
        <f>IF(AND(ISNUMBER(E99),ISNUMBER(L99)),IF(OR(L99&gt;0,AND(L99&lt;0,E99&lt;0)),E99/L99-1,"n/m"),"n/a")</f>
        <v>-0.21875</v>
      </c>
      <c r="F100" s="18">
        <f>IF(AND(ISNUMBER(F99),ISNUMBER(M99)),IF(OR(M99&gt;0,AND(M99&lt;0,F99&lt;0)),F99/M99-1,"n/m"),"n/a")</f>
        <v>-0.2063492063492064</v>
      </c>
      <c r="G100" s="18">
        <f>IF(AND(ISNUMBER(G99),ISNUMBER(N99)),IF(OR(N99&gt;0,AND(N99&lt;0,G99&lt;0)),G99/N99-1,"n/m"),"n/a")</f>
        <v>0.028340080971659853</v>
      </c>
      <c r="H100" s="21">
        <f>IF(AND(ISNUMBER(H99),ISNUMBER(C99)),IF(OR(C99&gt;0,AND(C99&lt;0,H99&lt;0)),H99/C99-1,"n/m"),"n/a")</f>
        <v>-0.2857142857142857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8" t="s">
        <v>101</v>
      </c>
      <c r="C101" s="2">
        <f>IF(AND(ISNUMBER(C99),ISNUMBER(M99)),C99-M99,"n/a")</f>
        <v>-7</v>
      </c>
      <c r="D101" s="2">
        <f>IF(AND(ISNUMBER(D99),ISNUMBER(C99)),D99-C99,"n/a")</f>
        <v>13</v>
      </c>
      <c r="E101" s="2">
        <f>IF(AND(ISNUMBER(E99),ISNUMBER(D99)),E99-D99,"n/a")</f>
        <v>7</v>
      </c>
      <c r="F101" s="2">
        <f>IF(AND(ISNUMBER(F99),ISNUMBER(E99)),F99-E99,"n/a")</f>
        <v>0</v>
      </c>
      <c r="G101" s="2" t="s">
        <v>100</v>
      </c>
      <c r="H101" s="7">
        <f>IF(AND(ISNUMBER(H99),ISNUMBER(F99)),H99-F99,"n/a")</f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4" t="s">
        <v>258</v>
      </c>
      <c r="C102" s="3">
        <v>-59</v>
      </c>
      <c r="D102" s="3">
        <v>-50</v>
      </c>
      <c r="E102" s="3">
        <v>-131</v>
      </c>
      <c r="F102" s="3">
        <v>-55</v>
      </c>
      <c r="G102" s="2">
        <f>P102+D102</f>
        <v>-210</v>
      </c>
      <c r="H102" s="33">
        <v>-95</v>
      </c>
      <c r="I102" s="1"/>
      <c r="J102" s="3">
        <v>-75</v>
      </c>
      <c r="K102" s="3">
        <v>-72</v>
      </c>
      <c r="L102" s="3">
        <v>-28</v>
      </c>
      <c r="M102" s="3">
        <v>-73</v>
      </c>
      <c r="N102" s="2">
        <f>O102+K102</f>
        <v>-360</v>
      </c>
      <c r="O102" s="3">
        <v>-288</v>
      </c>
      <c r="P102" s="3">
        <v>-160</v>
      </c>
      <c r="Q102" s="1"/>
      <c r="R102" s="9" t="s">
        <v>259</v>
      </c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20" t="s">
        <v>98</v>
      </c>
      <c r="C103" s="18">
        <f>IF(AND(ISNUMBER(C102),ISNUMBER(J102)),IF(OR(J102&gt;0,AND(J102&lt;0,C102&lt;0)),C102/J102-1,"n/m"),"n/a")</f>
        <v>-0.21333333333333337</v>
      </c>
      <c r="D103" s="18">
        <f>IF(AND(ISNUMBER(D102),ISNUMBER(K102)),IF(OR(K102&gt;0,AND(K102&lt;0,D102&lt;0)),D102/K102-1,"n/m"),"n/a")</f>
        <v>-0.3055555555555556</v>
      </c>
      <c r="E103" s="18">
        <f>IF(AND(ISNUMBER(E102),ISNUMBER(L102)),IF(OR(L102&gt;0,AND(L102&lt;0,E102&lt;0)),E102/L102-1,"n/m"),"n/a")</f>
        <v>3.678571428571429</v>
      </c>
      <c r="F103" s="18">
        <f>IF(AND(ISNUMBER(F102),ISNUMBER(M102)),IF(OR(M102&gt;0,AND(M102&lt;0,F102&lt;0)),F102/M102-1,"n/m"),"n/a")</f>
        <v>-0.2465753424657534</v>
      </c>
      <c r="G103" s="18">
        <f>IF(AND(ISNUMBER(G102),ISNUMBER(N102)),IF(OR(N102&gt;0,AND(N102&lt;0,G102&lt;0)),G102/N102-1,"n/m"),"n/a")</f>
        <v>-0.41666666666666663</v>
      </c>
      <c r="H103" s="21">
        <f>IF(AND(ISNUMBER(H102),ISNUMBER(C102)),IF(OR(C102&gt;0,AND(C102&lt;0,H102&lt;0)),H102/C102-1,"n/m"),"n/a")</f>
        <v>0.6101694915254237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8" t="s">
        <v>101</v>
      </c>
      <c r="C104" s="2">
        <f>IF(AND(ISNUMBER(C102),ISNUMBER(M102)),C102-M102,"n/a")</f>
        <v>14</v>
      </c>
      <c r="D104" s="2">
        <f>IF(AND(ISNUMBER(D102),ISNUMBER(C102)),D102-C102,"n/a")</f>
        <v>9</v>
      </c>
      <c r="E104" s="2">
        <f>IF(AND(ISNUMBER(E102),ISNUMBER(D102)),E102-D102,"n/a")</f>
        <v>-81</v>
      </c>
      <c r="F104" s="2">
        <f>IF(AND(ISNUMBER(F102),ISNUMBER(E102)),F102-E102,"n/a")</f>
        <v>76</v>
      </c>
      <c r="G104" s="2" t="s">
        <v>100</v>
      </c>
      <c r="H104" s="7">
        <f>IF(AND(ISNUMBER(H102),ISNUMBER(F102)),H102-F102,"n/a")</f>
        <v>-40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43" t="s">
        <v>260</v>
      </c>
      <c r="C105" s="14">
        <f>C93+C96+C99+C102</f>
        <v>251</v>
      </c>
      <c r="D105" s="14">
        <f>D93+D96+D99+D102</f>
        <v>273</v>
      </c>
      <c r="E105" s="14">
        <f>E93+E96+E99+E102</f>
        <v>240</v>
      </c>
      <c r="F105" s="14">
        <f>F93+F96+F99+F102</f>
        <v>317</v>
      </c>
      <c r="G105" s="14">
        <f>G93+G96+G99+G102</f>
        <v>988</v>
      </c>
      <c r="H105" s="48">
        <f>H93+H96+H99+H102</f>
        <v>276</v>
      </c>
      <c r="I105" s="1"/>
      <c r="J105" s="14">
        <f>J93+J96+J99+J102</f>
        <v>270</v>
      </c>
      <c r="K105" s="14">
        <f>K93+K96+K99+K102</f>
        <v>270</v>
      </c>
      <c r="L105" s="14">
        <f>L93+L96+L99+L102</f>
        <v>287</v>
      </c>
      <c r="M105" s="14">
        <f>M93+M96+M99+M102</f>
        <v>177</v>
      </c>
      <c r="N105" s="14">
        <f>N93+N96+N99+N102</f>
        <v>930</v>
      </c>
      <c r="O105" s="14">
        <f>O93+O96+O99+O102</f>
        <v>660</v>
      </c>
      <c r="P105" s="14">
        <f>P93+P96+P99+P102</f>
        <v>715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0" t="s">
        <v>98</v>
      </c>
      <c r="C106" s="18">
        <f>IF(AND(ISNUMBER(C105),ISNUMBER(J105)),IF(OR(J105&gt;0,AND(J105&lt;0,C105&lt;0)),C105/J105-1,"n/m"),"n/a")</f>
        <v>-0.07037037037037042</v>
      </c>
      <c r="D106" s="18">
        <f>IF(AND(ISNUMBER(D105),ISNUMBER(K105)),IF(OR(K105&gt;0,AND(K105&lt;0,D105&lt;0)),D105/K105-1,"n/m"),"n/a")</f>
        <v>0.011111111111111072</v>
      </c>
      <c r="E106" s="18">
        <f>IF(AND(ISNUMBER(E105),ISNUMBER(L105)),IF(OR(L105&gt;0,AND(L105&lt;0,E105&lt;0)),E105/L105-1,"n/m"),"n/a")</f>
        <v>-0.16376306620209058</v>
      </c>
      <c r="F106" s="18">
        <f>IF(AND(ISNUMBER(F105),ISNUMBER(M105)),IF(OR(M105&gt;0,AND(M105&lt;0,F105&lt;0)),F105/M105-1,"n/m"),"n/a")</f>
        <v>0.7909604519774012</v>
      </c>
      <c r="G106" s="18">
        <f>IF(AND(ISNUMBER(G105),ISNUMBER(N105)),IF(OR(N105&gt;0,AND(N105&lt;0,G105&lt;0)),G105/N105-1,"n/m"),"n/a")</f>
        <v>0.06236559139784936</v>
      </c>
      <c r="H106" s="21">
        <f>IF(AND(ISNUMBER(H105),ISNUMBER(C105)),IF(OR(C105&gt;0,AND(C105&lt;0,H105&lt;0)),H105/C105-1,"n/m"),"n/a")</f>
        <v>0.09960159362549792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8" t="s">
        <v>101</v>
      </c>
      <c r="C107" s="2">
        <f>IF(AND(ISNUMBER(C105),ISNUMBER(M105)),C105-M105,"n/a")</f>
        <v>74</v>
      </c>
      <c r="D107" s="2">
        <f>IF(AND(ISNUMBER(D105),ISNUMBER(C105)),D105-C105,"n/a")</f>
        <v>22</v>
      </c>
      <c r="E107" s="2">
        <f>IF(AND(ISNUMBER(E105),ISNUMBER(D105)),E105-D105,"n/a")</f>
        <v>-33</v>
      </c>
      <c r="F107" s="2">
        <f>IF(AND(ISNUMBER(F105),ISNUMBER(E105)),F105-E105,"n/a")</f>
        <v>77</v>
      </c>
      <c r="G107" s="2" t="s">
        <v>100</v>
      </c>
      <c r="H107" s="7">
        <f>IF(AND(ISNUMBER(H105),ISNUMBER(F105)),H105-F105,"n/a")</f>
        <v>-41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46" t="s">
        <v>261</v>
      </c>
      <c r="C108" s="14">
        <f>C90+C105</f>
        <v>2280</v>
      </c>
      <c r="D108" s="14">
        <f>D90+D105</f>
        <v>2331</v>
      </c>
      <c r="E108" s="14">
        <f>E90+E105</f>
        <v>2063</v>
      </c>
      <c r="F108" s="14">
        <f>F90+F105</f>
        <v>2479</v>
      </c>
      <c r="G108" s="14">
        <f>G90+G105</f>
        <v>7731</v>
      </c>
      <c r="H108" s="48">
        <f>H90+H105</f>
        <v>2366.2811359999996</v>
      </c>
      <c r="I108" s="1"/>
      <c r="J108" s="14">
        <f>J90+J105</f>
        <v>2140</v>
      </c>
      <c r="K108" s="14">
        <f>K90+K105</f>
        <v>696</v>
      </c>
      <c r="L108" s="14">
        <f>L90+L105</f>
        <v>2372</v>
      </c>
      <c r="M108" s="14">
        <f>M90+M105</f>
        <v>748</v>
      </c>
      <c r="N108" s="14">
        <f>N90+N105</f>
        <v>7013</v>
      </c>
      <c r="O108" s="14">
        <f>O90+O105</f>
        <v>6317</v>
      </c>
      <c r="P108" s="14">
        <f>P90+P105</f>
        <v>5400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25" t="s">
        <v>98</v>
      </c>
      <c r="C109" s="18">
        <f>IF(AND(ISNUMBER(C108),ISNUMBER(J108)),IF(OR(J108&gt;0,AND(J108&lt;0,C108&lt;0)),C108/J108-1,"n/m"),"n/a")</f>
        <v>0.06542056074766345</v>
      </c>
      <c r="D109" s="18">
        <f>IF(AND(ISNUMBER(D108),ISNUMBER(K108)),IF(OR(K108&gt;0,AND(K108&lt;0,D108&lt;0)),D108/K108-1,"n/m"),"n/a")</f>
        <v>2.3491379310344827</v>
      </c>
      <c r="E109" s="18">
        <f>IF(AND(ISNUMBER(E108),ISNUMBER(L108)),IF(OR(L108&gt;0,AND(L108&lt;0,E108&lt;0)),E108/L108-1,"n/m"),"n/a")</f>
        <v>-0.1302698145025295</v>
      </c>
      <c r="F109" s="18">
        <f>IF(AND(ISNUMBER(F108),ISNUMBER(M108)),IF(OR(M108&gt;0,AND(M108&lt;0,F108&lt;0)),F108/M108-1,"n/m"),"n/a")</f>
        <v>2.314171122994652</v>
      </c>
      <c r="G109" s="18">
        <f>IF(AND(ISNUMBER(G108),ISNUMBER(N108)),IF(OR(N108&gt;0,AND(N108&lt;0,G108&lt;0)),G108/N108-1,"n/m"),"n/a")</f>
        <v>0.10238129188649658</v>
      </c>
      <c r="H109" s="21">
        <f>IF(AND(ISNUMBER(H108),ISNUMBER(C108)),IF(OR(C108&gt;0,AND(C108&lt;0,H108&lt;0)),H108/C108-1,"n/m"),"n/a")</f>
        <v>0.03784260350877178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4" t="s">
        <v>101</v>
      </c>
      <c r="C110" s="2">
        <f>IF(AND(ISNUMBER(C108),ISNUMBER(M108)),C108-M108,"n/a")</f>
        <v>1532</v>
      </c>
      <c r="D110" s="2">
        <f>IF(AND(ISNUMBER(D108),ISNUMBER(C108)),D108-C108,"n/a")</f>
        <v>51</v>
      </c>
      <c r="E110" s="2">
        <f>IF(AND(ISNUMBER(E108),ISNUMBER(D108)),E108-D108,"n/a")</f>
        <v>-268</v>
      </c>
      <c r="F110" s="2">
        <f>IF(AND(ISNUMBER(F108),ISNUMBER(E108)),F108-E108,"n/a")</f>
        <v>416</v>
      </c>
      <c r="G110" s="2" t="s">
        <v>100</v>
      </c>
      <c r="H110" s="7">
        <f>IF(AND(ISNUMBER(H108),ISNUMBER(F108)),H108-F108,"n/a")</f>
        <v>-112.7188640000004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1" t="s">
        <v>262</v>
      </c>
      <c r="C111" s="19">
        <f>C108-C58</f>
        <v>0</v>
      </c>
      <c r="D111" s="19">
        <f>D108-D58</f>
        <v>0</v>
      </c>
      <c r="E111" s="19">
        <f>E108-E58</f>
        <v>0</v>
      </c>
      <c r="F111" s="19">
        <f>F108-F58</f>
        <v>0</v>
      </c>
      <c r="G111" s="19">
        <f>G108-G58</f>
        <v>0</v>
      </c>
      <c r="H111" s="49">
        <f>H108-H58</f>
        <v>0</v>
      </c>
      <c r="I111" s="1"/>
      <c r="J111" s="19">
        <f>J108-J58</f>
        <v>0</v>
      </c>
      <c r="K111" s="19">
        <f>K108-K58</f>
        <v>0</v>
      </c>
      <c r="L111" s="19">
        <f>L108-L58</f>
        <v>0</v>
      </c>
      <c r="M111" s="19">
        <f>M108-M58</f>
        <v>0</v>
      </c>
      <c r="N111" s="19">
        <f>N108-N58</f>
        <v>0</v>
      </c>
      <c r="O111" s="19">
        <f>O108-O58</f>
        <v>0</v>
      </c>
      <c r="P111" s="19">
        <f>P108-P58</f>
        <v>0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3" t="s">
        <v>263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9" t="s">
        <v>264</v>
      </c>
      <c r="C114" s="35">
        <f>'Share Count'!C10</f>
        <v>231.9</v>
      </c>
      <c r="D114" s="35">
        <f>'Share Count'!D10</f>
        <v>230.9</v>
      </c>
      <c r="E114" s="35">
        <f>'Share Count'!E10</f>
        <v>229.9</v>
      </c>
      <c r="F114" s="35">
        <f>'Share Count'!F10</f>
        <v>230.2</v>
      </c>
      <c r="G114" s="35">
        <f>'Share Count'!G10</f>
        <v>232.7</v>
      </c>
      <c r="H114" s="34">
        <f>'Share Count'!H10</f>
        <v>230.29999999999998</v>
      </c>
      <c r="I114" s="1"/>
      <c r="J114" s="35">
        <f>'Share Count'!J10</f>
        <v>237.5</v>
      </c>
      <c r="K114" s="35">
        <f>'Share Count'!K10</f>
        <v>236</v>
      </c>
      <c r="L114" s="35">
        <f>'Share Count'!L10</f>
        <v>234.4</v>
      </c>
      <c r="M114" s="35">
        <f>'Share Count'!M10</f>
        <v>233.5</v>
      </c>
      <c r="N114" s="35">
        <f>'Share Count'!N10</f>
        <v>238.3</v>
      </c>
      <c r="O114" s="1"/>
      <c r="P114" s="1"/>
      <c r="Q114" s="1"/>
      <c r="R114" s="9" t="s">
        <v>265</v>
      </c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25" t="s">
        <v>98</v>
      </c>
      <c r="C115" s="18">
        <f>IF(AND(ISNUMBER(C114),ISNUMBER(J114)),IF(OR(J114&gt;0,AND(J114&lt;0,C114&lt;0)),C114/J114-1,"n/m"),"n/a")</f>
        <v>-0.023578947368421033</v>
      </c>
      <c r="D115" s="18">
        <f>IF(AND(ISNUMBER(D114),ISNUMBER(K114)),IF(OR(K114&gt;0,AND(K114&lt;0,D114&lt;0)),D114/K114-1,"n/m"),"n/a")</f>
        <v>-0.02161016949152539</v>
      </c>
      <c r="E115" s="18">
        <f>IF(AND(ISNUMBER(E114),ISNUMBER(L114)),IF(OR(L114&gt;0,AND(L114&lt;0,E114&lt;0)),E114/L114-1,"n/m"),"n/a")</f>
        <v>-0.019197952218430014</v>
      </c>
      <c r="F115" s="18">
        <f>IF(AND(ISNUMBER(F114),ISNUMBER(M114)),IF(OR(M114&gt;0,AND(M114&lt;0,F114&lt;0)),F114/M114-1,"n/m"),"n/a")</f>
        <v>-0.014132762312633829</v>
      </c>
      <c r="G115" s="18">
        <f>IF(AND(ISNUMBER(G114),ISNUMBER(N114)),IF(OR(N114&gt;0,AND(N114&lt;0,G114&lt;0)),G114/N114-1,"n/m"),"n/a")</f>
        <v>-0.0234997901804449</v>
      </c>
      <c r="H115" s="21">
        <f>IF(AND(ISNUMBER(H114),ISNUMBER(C114)),IF(OR(C114&gt;0,AND(C114&lt;0,H114&lt;0)),H114/C114-1,"n/m"),"n/a")</f>
        <v>-0.006899525657611094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4" t="s">
        <v>101</v>
      </c>
      <c r="C116" s="2">
        <f>IF(AND(ISNUMBER(C114),ISNUMBER(M114)),C114-M114,"n/a")</f>
        <v>-1.5999999999999943</v>
      </c>
      <c r="D116" s="2">
        <f>IF(AND(ISNUMBER(D114),ISNUMBER(C114)),D114-C114,"n/a")</f>
        <v>-1</v>
      </c>
      <c r="E116" s="2">
        <f>IF(AND(ISNUMBER(E114),ISNUMBER(D114)),E114-D114,"n/a")</f>
        <v>-1</v>
      </c>
      <c r="F116" s="2">
        <f>IF(AND(ISNUMBER(F114),ISNUMBER(E114)),F114-E114,"n/a")</f>
        <v>0.29999999999998295</v>
      </c>
      <c r="G116" s="2" t="s">
        <v>100</v>
      </c>
      <c r="H116" s="7">
        <f>IF(AND(ISNUMBER(H114),ISNUMBER(F114)),H114-F114,"n/a")</f>
        <v>0.09999999999999432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9" t="s">
        <v>266</v>
      </c>
      <c r="C117" s="35">
        <f>'Share Count'!C17</f>
        <v>232.8</v>
      </c>
      <c r="D117" s="35">
        <f>'Share Count'!D17</f>
        <v>231.9</v>
      </c>
      <c r="E117" s="35">
        <f>'Share Count'!E17</f>
        <v>231.1</v>
      </c>
      <c r="F117" s="35">
        <f>'Share Count'!F17</f>
        <v>231.1</v>
      </c>
      <c r="G117" s="35">
        <f>'Share Count'!G17</f>
        <v>233.5</v>
      </c>
      <c r="H117" s="34">
        <f>'Share Count'!H17</f>
        <v>231.2</v>
      </c>
      <c r="I117" s="1"/>
      <c r="J117" s="35">
        <f>'Share Count'!J17</f>
        <v>238.6</v>
      </c>
      <c r="K117" s="35">
        <f>'Share Count'!K17</f>
        <v>237</v>
      </c>
      <c r="L117" s="35">
        <f>'Share Count'!L17</f>
        <v>235.3</v>
      </c>
      <c r="M117" s="35">
        <f>'Share Count'!M17</f>
        <v>234.3</v>
      </c>
      <c r="N117" s="35">
        <f>'Share Count'!N17</f>
        <v>239.2</v>
      </c>
      <c r="O117" s="1"/>
      <c r="P117" s="1"/>
      <c r="Q117" s="1"/>
      <c r="R117" s="9" t="s">
        <v>265</v>
      </c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5" t="s">
        <v>98</v>
      </c>
      <c r="C118" s="18">
        <f>IF(AND(ISNUMBER(C117),ISNUMBER(J117)),IF(OR(J117&gt;0,AND(J117&lt;0,C117&lt;0)),C117/J117-1,"n/m"),"n/a")</f>
        <v>-0.02430846605196979</v>
      </c>
      <c r="D118" s="18">
        <f>IF(AND(ISNUMBER(D117),ISNUMBER(K117)),IF(OR(K117&gt;0,AND(K117&lt;0,D117&lt;0)),D117/K117-1,"n/m"),"n/a")</f>
        <v>-0.021518987341772156</v>
      </c>
      <c r="E118" s="18">
        <f>IF(AND(ISNUMBER(E117),ISNUMBER(L117)),IF(OR(L117&gt;0,AND(L117&lt;0,E117&lt;0)),E117/L117-1,"n/m"),"n/a")</f>
        <v>-0.017849553761156045</v>
      </c>
      <c r="F118" s="18">
        <f>IF(AND(ISNUMBER(F117),ISNUMBER(M117)),IF(OR(M117&gt;0,AND(M117&lt;0,F117&lt;0)),F117/M117-1,"n/m"),"n/a")</f>
        <v>-0.013657703798548915</v>
      </c>
      <c r="G118" s="18">
        <f>IF(AND(ISNUMBER(G117),ISNUMBER(N117)),IF(OR(N117&gt;0,AND(N117&lt;0,G117&lt;0)),G117/N117-1,"n/m"),"n/a")</f>
        <v>-0.02382943143812699</v>
      </c>
      <c r="H118" s="21">
        <f>IF(AND(ISNUMBER(H117),ISNUMBER(C117)),IF(OR(C117&gt;0,AND(C117&lt;0,H117&lt;0)),H117/C117-1,"n/m"),"n/a")</f>
        <v>-0.0068728522336770626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4" t="s">
        <v>101</v>
      </c>
      <c r="C119" s="2">
        <f>IF(AND(ISNUMBER(C117),ISNUMBER(M117)),C117-M117,"n/a")</f>
        <v>-1.5</v>
      </c>
      <c r="D119" s="2">
        <f>IF(AND(ISNUMBER(D117),ISNUMBER(C117)),D117-C117,"n/a")</f>
        <v>-0.9000000000000057</v>
      </c>
      <c r="E119" s="2">
        <f>IF(AND(ISNUMBER(E117),ISNUMBER(D117)),E117-D117,"n/a")</f>
        <v>-0.8000000000000114</v>
      </c>
      <c r="F119" s="2">
        <f>IF(AND(ISNUMBER(F117),ISNUMBER(E117)),F117-E117,"n/a")</f>
        <v>0</v>
      </c>
      <c r="G119" s="2" t="s">
        <v>100</v>
      </c>
      <c r="H119" s="7">
        <f>IF(AND(ISNUMBER(H117),ISNUMBER(F117)),H117-F117,"n/a")</f>
        <v>0.09999999999999432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9" t="s">
        <v>267</v>
      </c>
      <c r="C120" s="31">
        <f>C82/C114</f>
        <v>6.98145752479517</v>
      </c>
      <c r="D120" s="31">
        <f>D82/D114</f>
        <v>5.820701602425292</v>
      </c>
      <c r="E120" s="31">
        <f>E82/E114</f>
        <v>6.472379295345802</v>
      </c>
      <c r="F120" s="31">
        <f>F82/F114</f>
        <v>7.975673327541269</v>
      </c>
      <c r="G120" s="31">
        <f>G82/G114</f>
        <v>21.559948431456814</v>
      </c>
      <c r="H120" s="74">
        <f>H82/H114</f>
        <v>7.5273010654624395</v>
      </c>
      <c r="I120" s="1"/>
      <c r="J120" s="31">
        <f>J82/J114</f>
        <v>6.833684210526315</v>
      </c>
      <c r="K120" s="31">
        <f>K82/K114</f>
        <v>2.233050847457627</v>
      </c>
      <c r="L120" s="31">
        <f>L82/L114</f>
        <v>7.3037542662116035</v>
      </c>
      <c r="M120" s="31">
        <f>M82/M114</f>
        <v>1.4646680942184154</v>
      </c>
      <c r="N120" s="31">
        <f>N82/N114</f>
        <v>22.39194292908099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25" t="s">
        <v>98</v>
      </c>
      <c r="C121" s="18">
        <f>IF(AND(ISNUMBER(C120),ISNUMBER(J120)),IF(OR(J120&gt;0,AND(J120&lt;0,C120&lt;0)),C120/J120-1,"n/m"),"n/a")</f>
        <v>0.021624252704160796</v>
      </c>
      <c r="D121" s="18">
        <f>IF(AND(ISNUMBER(D120),ISNUMBER(K120)),IF(OR(K120&gt;0,AND(K120&lt;0,D120&lt;0)),D120/K120-1,"n/m"),"n/a")</f>
        <v>1.6066140003270757</v>
      </c>
      <c r="E121" s="18">
        <f>IF(AND(ISNUMBER(E120),ISNUMBER(L120)),IF(OR(L120&gt;0,AND(L120&lt;0,E120&lt;0)),E120/L120-1,"n/m"),"n/a")</f>
        <v>-0.11382844227274758</v>
      </c>
      <c r="F121" s="18">
        <f>IF(AND(ISNUMBER(F120),ISNUMBER(M120)),IF(OR(M120&gt;0,AND(M120&lt;0,F120&lt;0)),F120/M120-1,"n/m"),"n/a")</f>
        <v>4.4453793040376794</v>
      </c>
      <c r="G121" s="18">
        <f>IF(AND(ISNUMBER(G120),ISNUMBER(N120)),IF(OR(N120&gt;0,AND(N120&lt;0,G120&lt;0)),G120/N120-1,"n/m"),"n/a")</f>
        <v>-0.03715597615889077</v>
      </c>
      <c r="H121" s="21">
        <f>IF(AND(ISNUMBER(H120),ISNUMBER(C120)),IF(OR(C120&gt;0,AND(C120&lt;0,H120&lt;0)),H120/C120-1,"n/m"),"n/a")</f>
        <v>0.07818475421911053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4" t="s">
        <v>101</v>
      </c>
      <c r="C122" s="31">
        <f>IF(AND(ISNUMBER(C120),ISNUMBER(M120)),C120-M120,"n/a")</f>
        <v>5.516789430576754</v>
      </c>
      <c r="D122" s="31">
        <f>IF(AND(ISNUMBER(D120),ISNUMBER(C120)),D120-C120,"n/a")</f>
        <v>-1.1607559223698773</v>
      </c>
      <c r="E122" s="31">
        <f>IF(AND(ISNUMBER(E120),ISNUMBER(D120)),E120-D120,"n/a")</f>
        <v>0.6516776929205097</v>
      </c>
      <c r="F122" s="31">
        <f>IF(AND(ISNUMBER(F120),ISNUMBER(E120)),F120-E120,"n/a")</f>
        <v>1.503294032195467</v>
      </c>
      <c r="G122" s="31" t="s">
        <v>100</v>
      </c>
      <c r="H122" s="74">
        <f>IF(AND(ISNUMBER(H120),ISNUMBER(F120)),H120-F120,"n/a")</f>
        <v>-0.44837226207882974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46" t="s">
        <v>268</v>
      </c>
      <c r="C123" s="81">
        <f>C82/C117</f>
        <v>6.954467353951889</v>
      </c>
      <c r="D123" s="81">
        <f>D82/D117</f>
        <v>5.795601552393273</v>
      </c>
      <c r="E123" s="81">
        <f>E82/E117</f>
        <v>6.438771094764172</v>
      </c>
      <c r="F123" s="81">
        <f>F82/F117</f>
        <v>7.94461272176547</v>
      </c>
      <c r="G123" s="81">
        <f>G82/G117</f>
        <v>21.48608137044968</v>
      </c>
      <c r="H123" s="87">
        <f>H82/H117</f>
        <v>7.497999287958476</v>
      </c>
      <c r="I123" s="1"/>
      <c r="J123" s="81">
        <f>J82/J117</f>
        <v>6.802179379715004</v>
      </c>
      <c r="K123" s="81">
        <f>K82/K117</f>
        <v>2.2236286919831225</v>
      </c>
      <c r="L123" s="81">
        <f>L82/L117</f>
        <v>7.275818104547386</v>
      </c>
      <c r="M123" s="81">
        <f>M82/M117</f>
        <v>1.4596670934699103</v>
      </c>
      <c r="N123" s="81">
        <f>N82/N117</f>
        <v>22.30769230769231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25" t="s">
        <v>98</v>
      </c>
      <c r="C124" s="18">
        <f>IF(AND(ISNUMBER(C123),ISNUMBER(J123)),IF(OR(J123&gt;0,AND(J123&lt;0,C123&lt;0)),C123/J123-1,"n/m"),"n/a")</f>
        <v>0.02238811500488036</v>
      </c>
      <c r="D124" s="18">
        <f>IF(AND(ISNUMBER(D123),ISNUMBER(K123)),IF(OR(K123&gt;0,AND(K123&lt;0,D123&lt;0)),D123/K123-1,"n/m"),"n/a")</f>
        <v>1.6063710966170883</v>
      </c>
      <c r="E124" s="18">
        <f>IF(AND(ISNUMBER(E123),ISNUMBER(L123)),IF(OR(L123&gt;0,AND(L123&lt;0,E123&lt;0)),E123/L123-1,"n/m"),"n/a")</f>
        <v>-0.11504507091237759</v>
      </c>
      <c r="F124" s="18">
        <f>IF(AND(ISNUMBER(F123),ISNUMBER(M123)),IF(OR(M123&gt;0,AND(M123&lt;0,F123&lt;0)),F123/M123-1,"n/m"),"n/a")</f>
        <v>4.442756610262133</v>
      </c>
      <c r="G124" s="18">
        <f>IF(AND(ISNUMBER(G123),ISNUMBER(N123)),IF(OR(N123&gt;0,AND(N123&lt;0,G123&lt;0)),G123/N123-1,"n/m"),"n/a")</f>
        <v>-0.036830835117773186</v>
      </c>
      <c r="H124" s="21">
        <f>IF(AND(ISNUMBER(H123),ISNUMBER(C123)),IF(OR(C123&gt;0,AND(C123&lt;0,H123&lt;0)),H123/C123-1,"n/m"),"n/a")</f>
        <v>0.07815579631669767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4" t="s">
        <v>101</v>
      </c>
      <c r="C125" s="31">
        <f>IF(AND(ISNUMBER(C123),ISNUMBER(M123)),C123-M123,"n/a")</f>
        <v>5.494800260481979</v>
      </c>
      <c r="D125" s="31">
        <f>IF(AND(ISNUMBER(D123),ISNUMBER(C123)),D123-C123,"n/a")</f>
        <v>-1.1588658015586164</v>
      </c>
      <c r="E125" s="31">
        <f>IF(AND(ISNUMBER(E123),ISNUMBER(D123)),E123-D123,"n/a")</f>
        <v>0.6431695423708987</v>
      </c>
      <c r="F125" s="31">
        <f>IF(AND(ISNUMBER(F123),ISNUMBER(E123)),F123-E123,"n/a")</f>
        <v>1.5058416270012982</v>
      </c>
      <c r="G125" s="31" t="s">
        <v>100</v>
      </c>
      <c r="H125" s="74">
        <f>IF(AND(ISNUMBER(H123),ISNUMBER(F123)),H123-F123,"n/a")</f>
        <v>-0.44661343380699403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3" t="s">
        <v>269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9" t="s">
        <v>270</v>
      </c>
      <c r="C128" s="2">
        <f>C82</f>
        <v>1619</v>
      </c>
      <c r="D128" s="2">
        <f>D82</f>
        <v>1344</v>
      </c>
      <c r="E128" s="2">
        <f>E82</f>
        <v>1488</v>
      </c>
      <c r="F128" s="2">
        <f>F82</f>
        <v>1836</v>
      </c>
      <c r="G128" s="2">
        <f>G82</f>
        <v>5017</v>
      </c>
      <c r="H128" s="7">
        <f>H82</f>
        <v>1733.5374353759996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4" t="s">
        <v>271</v>
      </c>
      <c r="C129" s="3">
        <v>0</v>
      </c>
      <c r="D129" s="3">
        <v>0</v>
      </c>
      <c r="E129" s="3">
        <v>0</v>
      </c>
      <c r="F129" s="3">
        <v>0</v>
      </c>
      <c r="G129" s="3">
        <v>1212</v>
      </c>
      <c r="H129" s="33"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9" t="s">
        <v>272</v>
      </c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4" t="s">
        <v>273</v>
      </c>
      <c r="C130" s="3">
        <v>0</v>
      </c>
      <c r="D130" s="3">
        <v>0</v>
      </c>
      <c r="E130" s="3">
        <v>0</v>
      </c>
      <c r="F130" s="3">
        <v>0</v>
      </c>
      <c r="G130" s="3">
        <v>52</v>
      </c>
      <c r="H130" s="33"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9" t="s">
        <v>272</v>
      </c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4" t="s">
        <v>274</v>
      </c>
      <c r="C131" s="3">
        <v>0</v>
      </c>
      <c r="D131" s="3">
        <v>377</v>
      </c>
      <c r="E131" s="3">
        <v>0</v>
      </c>
      <c r="F131" s="3">
        <v>0</v>
      </c>
      <c r="G131" s="3">
        <v>377</v>
      </c>
      <c r="H131" s="33"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9" t="s">
        <v>272</v>
      </c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4" t="s">
        <v>275</v>
      </c>
      <c r="C132" s="3">
        <v>0</v>
      </c>
      <c r="D132" s="3">
        <v>-109</v>
      </c>
      <c r="E132" s="3">
        <v>0</v>
      </c>
      <c r="F132" s="3">
        <v>0</v>
      </c>
      <c r="G132" s="3">
        <v>-6</v>
      </c>
      <c r="H132" s="33"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9" t="s">
        <v>272</v>
      </c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43" t="s">
        <v>276</v>
      </c>
      <c r="C133" s="14">
        <f>C129+C130+C131+C132</f>
        <v>0</v>
      </c>
      <c r="D133" s="14">
        <f>D129+D130+D131+D132</f>
        <v>268</v>
      </c>
      <c r="E133" s="14">
        <f>E129+E130+E131+E132</f>
        <v>0</v>
      </c>
      <c r="F133" s="14">
        <f>F129+F130+F131+F132</f>
        <v>0</v>
      </c>
      <c r="G133" s="14">
        <f>G129+G130+G131+G132</f>
        <v>1635</v>
      </c>
      <c r="H133" s="48">
        <f>H129+H130+H131+H132</f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46" t="s">
        <v>277</v>
      </c>
      <c r="C134" s="14">
        <f>C128+C133</f>
        <v>1619</v>
      </c>
      <c r="D134" s="14">
        <f>D128+D133</f>
        <v>1612</v>
      </c>
      <c r="E134" s="14">
        <f>E128+E133</f>
        <v>1488</v>
      </c>
      <c r="F134" s="14">
        <f>F128+F133</f>
        <v>1836</v>
      </c>
      <c r="G134" s="14">
        <f>G128+G133</f>
        <v>6652</v>
      </c>
      <c r="H134" s="48">
        <f>H128+H133</f>
        <v>1733.5374353759996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4" t="s">
        <v>278</v>
      </c>
      <c r="C135" s="31">
        <f>C134/C117</f>
        <v>6.954467353951889</v>
      </c>
      <c r="D135" s="31">
        <f>D134/D117</f>
        <v>6.951272100043122</v>
      </c>
      <c r="E135" s="31">
        <f>E134/E117</f>
        <v>6.438771094764172</v>
      </c>
      <c r="F135" s="31">
        <f>F134/F117</f>
        <v>7.94461272176547</v>
      </c>
      <c r="G135" s="31">
        <f>G134/G117</f>
        <v>28.488222698072803</v>
      </c>
      <c r="H135" s="74">
        <f>H134/H117</f>
        <v>7.497999287958476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4" t="s">
        <v>279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3"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46" t="s">
        <v>280</v>
      </c>
      <c r="C137" s="14">
        <f>C128+C136</f>
        <v>1619</v>
      </c>
      <c r="D137" s="14">
        <f>D128+D136</f>
        <v>1344</v>
      </c>
      <c r="E137" s="14">
        <f>E128+E136</f>
        <v>1488</v>
      </c>
      <c r="F137" s="14">
        <f>F128+F136</f>
        <v>1836</v>
      </c>
      <c r="G137" s="14">
        <f>G128+G136</f>
        <v>5017</v>
      </c>
      <c r="H137" s="48">
        <f>H128+H136</f>
        <v>1733.5374353759996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46" t="s">
        <v>281</v>
      </c>
      <c r="C138" s="63">
        <f>C137/C117</f>
        <v>6.954467353951889</v>
      </c>
      <c r="D138" s="63">
        <f>D137/D117</f>
        <v>5.795601552393273</v>
      </c>
      <c r="E138" s="63">
        <f>E137/E117</f>
        <v>6.438771094764172</v>
      </c>
      <c r="F138" s="63">
        <f>F137/F117</f>
        <v>7.94461272176547</v>
      </c>
      <c r="G138" s="63">
        <f>G137/G117</f>
        <v>21.48608137044968</v>
      </c>
      <c r="H138" s="79">
        <f>H137/H117</f>
        <v>7.497999287958476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3" t="s">
        <v>282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4" t="s">
        <v>283</v>
      </c>
      <c r="C141" s="59">
        <f>Inputs!E85</f>
        <v>6.95</v>
      </c>
      <c r="D141" s="59">
        <f>Inputs!E86</f>
        <v>5.8</v>
      </c>
      <c r="E141" s="59">
        <f>Inputs!E87</f>
        <v>6.44</v>
      </c>
      <c r="F141" s="59">
        <f>Inputs!E88</f>
        <v>7.94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4" t="s">
        <v>284</v>
      </c>
      <c r="C142" s="59">
        <f>Inputs!G85</f>
        <v>6.95</v>
      </c>
      <c r="D142" s="59">
        <f>Inputs!G86</f>
        <v>5.8</v>
      </c>
      <c r="E142" s="59">
        <f>Inputs!G87</f>
        <v>6.44</v>
      </c>
      <c r="F142" s="59">
        <f>Inputs!G88</f>
        <v>7.94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4" t="s">
        <v>285</v>
      </c>
      <c r="C143" s="60">
        <v>6.95</v>
      </c>
      <c r="D143" s="60">
        <v>5.8</v>
      </c>
      <c r="E143" s="60">
        <v>6.44</v>
      </c>
      <c r="F143" s="60">
        <v>7.94</v>
      </c>
      <c r="G143" s="60">
        <v>21.49</v>
      </c>
      <c r="H143" s="74" t="s">
        <v>100</v>
      </c>
      <c r="I143" s="1"/>
      <c r="J143" s="60">
        <v>6.8</v>
      </c>
      <c r="K143" s="60">
        <v>2.22</v>
      </c>
      <c r="L143" s="60">
        <v>7.28</v>
      </c>
      <c r="M143" s="60">
        <v>1.46</v>
      </c>
      <c r="N143" s="60">
        <v>22.31</v>
      </c>
      <c r="O143" s="1"/>
      <c r="P143" s="1"/>
      <c r="Q143" s="1"/>
      <c r="R143" s="9" t="s">
        <v>245</v>
      </c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25" t="s">
        <v>286</v>
      </c>
      <c r="C144" s="85">
        <f>ROUND(C123-C143,2)</f>
        <v>0</v>
      </c>
      <c r="D144" s="85">
        <f>ROUND(D123-D143,2)</f>
        <v>0</v>
      </c>
      <c r="E144" s="85">
        <f>ROUND(E123-E143,2)</f>
        <v>0</v>
      </c>
      <c r="F144" s="85">
        <f>ROUND(F123-F143,2)</f>
        <v>0</v>
      </c>
      <c r="G144" s="85">
        <f>ROUND(G123-G143,2)</f>
        <v>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5" t="s">
        <v>287</v>
      </c>
      <c r="C145" s="85">
        <f>ROUND(C138-C141,2)</f>
        <v>0</v>
      </c>
      <c r="D145" s="85">
        <f>ROUND(D138-D141,2)</f>
        <v>0</v>
      </c>
      <c r="E145" s="85">
        <f>ROUND(E138-E141,2)</f>
        <v>0</v>
      </c>
      <c r="F145" s="85">
        <f>ROUND(F138-F141,2)</f>
        <v>0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46" t="s">
        <v>288</v>
      </c>
      <c r="C146" s="26" t="b">
        <f>AND(ABS(C111)&lt;0.5,ABS(C28)&lt;0.5,ABS(C48)&lt;0.5,ABS(C144)&lt;0.01,ABS(C145)&lt;0.01)</f>
        <v>1</v>
      </c>
      <c r="D146" s="26" t="b">
        <f>AND(ABS(D111)&lt;0.5,ABS(D28)&lt;0.5,ABS(D48)&lt;0.5,ABS(D144)&lt;0.01,ABS(D145)&lt;0.01)</f>
        <v>1</v>
      </c>
      <c r="E146" s="26" t="b">
        <f>AND(ABS(E111)&lt;0.5,ABS(E28)&lt;0.5,ABS(E48)&lt;0.5,ABS(E144)&lt;0.01,ABS(E145)&lt;0.01)</f>
        <v>1</v>
      </c>
      <c r="F146" s="26" t="b">
        <f>AND(ABS(F111)&lt;0.5,ABS(F28)&lt;0.5,ABS(F48)&lt;0.5,ABS(F144)&lt;0.01,ABS(F145)&lt;0.01)</f>
        <v>1</v>
      </c>
      <c r="G146" s="26" t="b">
        <f>AND(ABS(G111)&lt;0.5,ABS(G28)&lt;0.5,ABS(G48)&lt;0.5,ABS(G144)&lt;0.01)</f>
        <v>1</v>
      </c>
      <c r="H146" s="22" t="b">
        <f>AND(ABS(H111)&lt;0.5,ABS(H28)&lt;0.5,ABS(H48)&lt;0.5)</f>
        <v>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0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289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44" t="s">
        <v>93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5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290</v>
      </c>
      <c r="C9" s="6"/>
      <c r="D9" s="6"/>
      <c r="E9" s="6"/>
      <c r="F9" s="6"/>
      <c r="G9" s="6"/>
      <c r="H9" s="6"/>
      <c r="I9" s="6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291</v>
      </c>
      <c r="C10" s="3">
        <v>3470</v>
      </c>
      <c r="D10" s="3">
        <v>4121</v>
      </c>
      <c r="E10" s="3">
        <v>1894</v>
      </c>
      <c r="F10" s="3">
        <v>3791</v>
      </c>
      <c r="G10" s="2">
        <f>D10</f>
        <v>4121</v>
      </c>
      <c r="H10" s="34">
        <f>'Cash Flow Statement'!H95</f>
        <v>4960.309337526</v>
      </c>
      <c r="I10" s="1"/>
      <c r="J10" s="9" t="s">
        <v>292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8" t="s">
        <v>101</v>
      </c>
      <c r="C11" s="2" t="s">
        <v>100</v>
      </c>
      <c r="D11" s="2">
        <f>IF(AND(ISNUMBER(D10),ISNUMBER(C10)),D10-C10,"n/a")</f>
        <v>651</v>
      </c>
      <c r="E11" s="2">
        <f>IF(AND(ISNUMBER(E10),ISNUMBER(D10)),E10-D10,"n/a")</f>
        <v>-2227</v>
      </c>
      <c r="F11" s="2">
        <f>IF(AND(ISNUMBER(F10),ISNUMBER(E10)),F10-E10,"n/a")</f>
        <v>1897</v>
      </c>
      <c r="G11" s="2" t="s">
        <v>100</v>
      </c>
      <c r="H11" s="7">
        <f>IF(AND(ISNUMBER(H10),ISNUMBER(F10)),H10-F10,"n/a")</f>
        <v>1169.3093375259996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129</v>
      </c>
      <c r="C12" s="2" t="s">
        <v>100</v>
      </c>
      <c r="D12" s="2" t="s">
        <v>100</v>
      </c>
      <c r="E12" s="2" t="s">
        <v>100</v>
      </c>
      <c r="F12" s="2" t="s">
        <v>100</v>
      </c>
      <c r="G12" s="2" t="s">
        <v>100</v>
      </c>
      <c r="H12" s="7">
        <f>IF(AND(ISNUMBER(H10),ISNUMBER(C10)),H10-C10,"n/a")</f>
        <v>1490.3093375259996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293</v>
      </c>
      <c r="C13" s="3">
        <v>3844</v>
      </c>
      <c r="D13" s="3">
        <v>3901</v>
      </c>
      <c r="E13" s="3">
        <v>2322</v>
      </c>
      <c r="F13" s="3">
        <v>3356</v>
      </c>
      <c r="G13" s="2">
        <f>D13</f>
        <v>3901</v>
      </c>
      <c r="H13" s="34">
        <f>F13-'Cash Flow Statement'!H34</f>
        <v>3556</v>
      </c>
      <c r="I13" s="1"/>
      <c r="J13" s="9" t="s">
        <v>292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8" t="s">
        <v>101</v>
      </c>
      <c r="C14" s="2" t="s">
        <v>100</v>
      </c>
      <c r="D14" s="2">
        <f>IF(AND(ISNUMBER(D13),ISNUMBER(C13)),D13-C13,"n/a")</f>
        <v>57</v>
      </c>
      <c r="E14" s="2">
        <f>IF(AND(ISNUMBER(E13),ISNUMBER(D13)),E13-D13,"n/a")</f>
        <v>-1579</v>
      </c>
      <c r="F14" s="2">
        <f>IF(AND(ISNUMBER(F13),ISNUMBER(E13)),F13-E13,"n/a")</f>
        <v>1034</v>
      </c>
      <c r="G14" s="2" t="s">
        <v>100</v>
      </c>
      <c r="H14" s="7">
        <f>IF(AND(ISNUMBER(H13),ISNUMBER(F13)),H13-F13,"n/a")</f>
        <v>200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8" t="s">
        <v>129</v>
      </c>
      <c r="C15" s="2" t="s">
        <v>100</v>
      </c>
      <c r="D15" s="2" t="s">
        <v>100</v>
      </c>
      <c r="E15" s="2" t="s">
        <v>100</v>
      </c>
      <c r="F15" s="2" t="s">
        <v>100</v>
      </c>
      <c r="G15" s="2" t="s">
        <v>100</v>
      </c>
      <c r="H15" s="7">
        <f>IF(AND(ISNUMBER(H13),ISNUMBER(C13)),H13-C13,"n/a")</f>
        <v>-288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294</v>
      </c>
      <c r="C16" s="3">
        <v>13949</v>
      </c>
      <c r="D16" s="3">
        <v>13001</v>
      </c>
      <c r="E16" s="3">
        <v>15885</v>
      </c>
      <c r="F16" s="3">
        <v>16038</v>
      </c>
      <c r="G16" s="2">
        <f>D16</f>
        <v>13001</v>
      </c>
      <c r="H16" s="34">
        <f>F16-'Cash Flow Statement'!H37-'Cash Flow Statement'!H28</f>
        <v>16638</v>
      </c>
      <c r="I16" s="1"/>
      <c r="J16" s="9" t="s">
        <v>292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8" t="s">
        <v>101</v>
      </c>
      <c r="C17" s="2" t="s">
        <v>100</v>
      </c>
      <c r="D17" s="2">
        <f>IF(AND(ISNUMBER(D16),ISNUMBER(C16)),D16-C16,"n/a")</f>
        <v>-948</v>
      </c>
      <c r="E17" s="2">
        <f>IF(AND(ISNUMBER(E16),ISNUMBER(D16)),E16-D16,"n/a")</f>
        <v>2884</v>
      </c>
      <c r="F17" s="2">
        <f>IF(AND(ISNUMBER(F16),ISNUMBER(E16)),F16-E16,"n/a")</f>
        <v>153</v>
      </c>
      <c r="G17" s="2" t="s">
        <v>100</v>
      </c>
      <c r="H17" s="7">
        <f>IF(AND(ISNUMBER(H16),ISNUMBER(F16)),H16-F16,"n/a")</f>
        <v>600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129</v>
      </c>
      <c r="C18" s="2" t="s">
        <v>100</v>
      </c>
      <c r="D18" s="2" t="s">
        <v>100</v>
      </c>
      <c r="E18" s="2" t="s">
        <v>100</v>
      </c>
      <c r="F18" s="2" t="s">
        <v>100</v>
      </c>
      <c r="G18" s="2" t="s">
        <v>100</v>
      </c>
      <c r="H18" s="7">
        <f>IF(AND(ISNUMBER(H16),ISNUMBER(C16)),H16-C16,"n/a")</f>
        <v>2689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" t="s">
        <v>295</v>
      </c>
      <c r="C19" s="3">
        <v>3749</v>
      </c>
      <c r="D19" s="3">
        <v>3524</v>
      </c>
      <c r="E19" s="3">
        <v>4251</v>
      </c>
      <c r="F19" s="3">
        <v>4411</v>
      </c>
      <c r="G19" s="2">
        <f>D19</f>
        <v>3524</v>
      </c>
      <c r="H19" s="34">
        <f>F19-'Cash Flow Statement'!H40</f>
        <v>4561</v>
      </c>
      <c r="I19" s="1"/>
      <c r="J19" s="9" t="s">
        <v>292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8" t="s">
        <v>101</v>
      </c>
      <c r="C20" s="2" t="s">
        <v>100</v>
      </c>
      <c r="D20" s="2">
        <f>IF(AND(ISNUMBER(D19),ISNUMBER(C19)),D19-C19,"n/a")</f>
        <v>-225</v>
      </c>
      <c r="E20" s="2">
        <f>IF(AND(ISNUMBER(E19),ISNUMBER(D19)),E19-D19,"n/a")</f>
        <v>727</v>
      </c>
      <c r="F20" s="2">
        <f>IF(AND(ISNUMBER(F19),ISNUMBER(E19)),F19-E19,"n/a")</f>
        <v>160</v>
      </c>
      <c r="G20" s="2" t="s">
        <v>100</v>
      </c>
      <c r="H20" s="7">
        <f>IF(AND(ISNUMBER(H19),ISNUMBER(F19)),H19-F19,"n/a")</f>
        <v>150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8" t="s">
        <v>129</v>
      </c>
      <c r="C21" s="2" t="s">
        <v>100</v>
      </c>
      <c r="D21" s="2" t="s">
        <v>100</v>
      </c>
      <c r="E21" s="2" t="s">
        <v>100</v>
      </c>
      <c r="F21" s="2" t="s">
        <v>100</v>
      </c>
      <c r="G21" s="2" t="s">
        <v>100</v>
      </c>
      <c r="H21" s="7">
        <f>IF(AND(ISNUMBER(H19),ISNUMBER(C19)),H19-C19,"n/a")</f>
        <v>812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" t="s">
        <v>296</v>
      </c>
      <c r="C22" s="3">
        <v>924</v>
      </c>
      <c r="D22" s="3">
        <v>815</v>
      </c>
      <c r="E22" s="3">
        <v>728</v>
      </c>
      <c r="F22" s="3">
        <v>805</v>
      </c>
      <c r="G22" s="2">
        <f>D22</f>
        <v>815</v>
      </c>
      <c r="H22" s="7">
        <f>F22</f>
        <v>805</v>
      </c>
      <c r="I22" s="1"/>
      <c r="J22" s="9" t="s">
        <v>292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8" t="s">
        <v>101</v>
      </c>
      <c r="C23" s="2" t="s">
        <v>100</v>
      </c>
      <c r="D23" s="2">
        <f>IF(AND(ISNUMBER(D22),ISNUMBER(C22)),D22-C22,"n/a")</f>
        <v>-109</v>
      </c>
      <c r="E23" s="2">
        <f>IF(AND(ISNUMBER(E22),ISNUMBER(D22)),E22-D22,"n/a")</f>
        <v>-87</v>
      </c>
      <c r="F23" s="2">
        <f>IF(AND(ISNUMBER(F22),ISNUMBER(E22)),F22-E22,"n/a")</f>
        <v>77</v>
      </c>
      <c r="G23" s="2" t="s">
        <v>100</v>
      </c>
      <c r="H23" s="7">
        <f>IF(AND(ISNUMBER(H22),ISNUMBER(F22)),H22-F22,"n/a")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129</v>
      </c>
      <c r="C24" s="2" t="s">
        <v>100</v>
      </c>
      <c r="D24" s="2" t="s">
        <v>100</v>
      </c>
      <c r="E24" s="2" t="s">
        <v>100</v>
      </c>
      <c r="F24" s="2" t="s">
        <v>100</v>
      </c>
      <c r="G24" s="2" t="s">
        <v>100</v>
      </c>
      <c r="H24" s="7">
        <f>IF(AND(ISNUMBER(H22),ISNUMBER(C22)),H22-C22,"n/a")</f>
        <v>-119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6" t="s">
        <v>297</v>
      </c>
      <c r="C25" s="14">
        <f>C10+C13+C16+C19+C22</f>
        <v>25936</v>
      </c>
      <c r="D25" s="14">
        <f>D10+D13+D16+D19+D22</f>
        <v>25362</v>
      </c>
      <c r="E25" s="14">
        <f>E10+E13+E16+E19+E22</f>
        <v>25080</v>
      </c>
      <c r="F25" s="14">
        <f>F10+F13+F16+F19+F22</f>
        <v>28401</v>
      </c>
      <c r="G25" s="14">
        <f>G10+G13+G16+G19+G22</f>
        <v>25362</v>
      </c>
      <c r="H25" s="48">
        <f>H10+H13+H16+H19+H22</f>
        <v>30520.309337526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4" t="s">
        <v>101</v>
      </c>
      <c r="C26" s="2" t="s">
        <v>100</v>
      </c>
      <c r="D26" s="2">
        <f>IF(AND(ISNUMBER(D25),ISNUMBER(C25)),D25-C25,"n/a")</f>
        <v>-574</v>
      </c>
      <c r="E26" s="2">
        <f>IF(AND(ISNUMBER(E25),ISNUMBER(D25)),E25-D25,"n/a")</f>
        <v>-282</v>
      </c>
      <c r="F26" s="2">
        <f>IF(AND(ISNUMBER(F25),ISNUMBER(E25)),F25-E25,"n/a")</f>
        <v>3321</v>
      </c>
      <c r="G26" s="2" t="s">
        <v>100</v>
      </c>
      <c r="H26" s="7">
        <f>IF(AND(ISNUMBER(H25),ISNUMBER(F25)),H25-F25,"n/a")</f>
        <v>2119.3093375259996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4" t="s">
        <v>129</v>
      </c>
      <c r="C27" s="2" t="s">
        <v>100</v>
      </c>
      <c r="D27" s="2" t="s">
        <v>100</v>
      </c>
      <c r="E27" s="2" t="s">
        <v>100</v>
      </c>
      <c r="F27" s="2" t="s">
        <v>100</v>
      </c>
      <c r="G27" s="2" t="s">
        <v>100</v>
      </c>
      <c r="H27" s="7">
        <f>IF(AND(ISNUMBER(H25),ISNUMBER(C25)),H25-C25,"n/a")</f>
        <v>4584.309337526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4" t="s">
        <v>298</v>
      </c>
      <c r="C28" s="3">
        <v>8722</v>
      </c>
      <c r="D28" s="3">
        <v>11292</v>
      </c>
      <c r="E28" s="3">
        <v>11283</v>
      </c>
      <c r="F28" s="3">
        <v>11390</v>
      </c>
      <c r="G28" s="2">
        <f>D28</f>
        <v>11292</v>
      </c>
      <c r="H28" s="34">
        <f>F28-'Cash Flow Statement'!H59-('Cash Flow Statement'!H13+'Income Statement'!H99)-'Cash Flow Statement'!H25</f>
        <v>11635</v>
      </c>
      <c r="I28" s="1"/>
      <c r="J28" s="9" t="s">
        <v>299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8" t="s">
        <v>101</v>
      </c>
      <c r="C29" s="2" t="s">
        <v>100</v>
      </c>
      <c r="D29" s="2">
        <f>IF(AND(ISNUMBER(D28),ISNUMBER(C28)),D28-C28,"n/a")</f>
        <v>2570</v>
      </c>
      <c r="E29" s="2">
        <f>IF(AND(ISNUMBER(E28),ISNUMBER(D28)),E28-D28,"n/a")</f>
        <v>-9</v>
      </c>
      <c r="F29" s="2">
        <f>IF(AND(ISNUMBER(F28),ISNUMBER(E28)),F28-E28,"n/a")</f>
        <v>107</v>
      </c>
      <c r="G29" s="2" t="s">
        <v>100</v>
      </c>
      <c r="H29" s="7">
        <f>IF(AND(ISNUMBER(H28),ISNUMBER(F28)),H28-F28,"n/a")</f>
        <v>245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8" t="s">
        <v>129</v>
      </c>
      <c r="C30" s="2" t="s">
        <v>100</v>
      </c>
      <c r="D30" s="2" t="s">
        <v>100</v>
      </c>
      <c r="E30" s="2" t="s">
        <v>100</v>
      </c>
      <c r="F30" s="2" t="s">
        <v>100</v>
      </c>
      <c r="G30" s="2" t="s">
        <v>100</v>
      </c>
      <c r="H30" s="7">
        <f>IF(AND(ISNUMBER(H28),ISNUMBER(C28)),H28-C28,"n/a")</f>
        <v>2913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4" t="s">
        <v>300</v>
      </c>
      <c r="C31" s="3">
        <v>11313</v>
      </c>
      <c r="D31" s="3">
        <v>11314</v>
      </c>
      <c r="E31" s="3">
        <v>11306</v>
      </c>
      <c r="F31" s="3">
        <v>11298</v>
      </c>
      <c r="G31" s="2">
        <f>D31</f>
        <v>11314</v>
      </c>
      <c r="H31" s="7">
        <f>F31</f>
        <v>11298</v>
      </c>
      <c r="I31" s="1"/>
      <c r="J31" s="9" t="s">
        <v>292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8" t="s">
        <v>101</v>
      </c>
      <c r="C32" s="2" t="s">
        <v>100</v>
      </c>
      <c r="D32" s="2">
        <f>IF(AND(ISNUMBER(D31),ISNUMBER(C31)),D31-C31,"n/a")</f>
        <v>1</v>
      </c>
      <c r="E32" s="2">
        <f>IF(AND(ISNUMBER(E31),ISNUMBER(D31)),E31-D31,"n/a")</f>
        <v>-8</v>
      </c>
      <c r="F32" s="2">
        <f>IF(AND(ISNUMBER(F31),ISNUMBER(E31)),F31-E31,"n/a")</f>
        <v>-8</v>
      </c>
      <c r="G32" s="2" t="s">
        <v>100</v>
      </c>
      <c r="H32" s="7">
        <f>IF(AND(ISNUMBER(H31),ISNUMBER(F31)),H31-F31,"n/a")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8" t="s">
        <v>129</v>
      </c>
      <c r="C33" s="2" t="s">
        <v>100</v>
      </c>
      <c r="D33" s="2" t="s">
        <v>100</v>
      </c>
      <c r="E33" s="2" t="s">
        <v>100</v>
      </c>
      <c r="F33" s="2" t="s">
        <v>100</v>
      </c>
      <c r="G33" s="2" t="s">
        <v>100</v>
      </c>
      <c r="H33" s="7">
        <f>IF(AND(ISNUMBER(H31),ISNUMBER(C31)),H31-C31,"n/a")</f>
        <v>-15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4" t="s">
        <v>301</v>
      </c>
      <c r="C34" s="3">
        <v>1943</v>
      </c>
      <c r="D34" s="3">
        <v>1887</v>
      </c>
      <c r="E34" s="3">
        <v>1837</v>
      </c>
      <c r="F34" s="3">
        <v>1787</v>
      </c>
      <c r="G34" s="2">
        <f>D34</f>
        <v>1887</v>
      </c>
      <c r="H34" s="34">
        <f>F34+'Income Statement'!H99</f>
        <v>1737</v>
      </c>
      <c r="I34" s="1"/>
      <c r="J34" s="9" t="s">
        <v>292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8" t="s">
        <v>101</v>
      </c>
      <c r="C35" s="2" t="s">
        <v>100</v>
      </c>
      <c r="D35" s="2">
        <f>IF(AND(ISNUMBER(D34),ISNUMBER(C34)),D34-C34,"n/a")</f>
        <v>-56</v>
      </c>
      <c r="E35" s="2">
        <f>IF(AND(ISNUMBER(E34),ISNUMBER(D34)),E34-D34,"n/a")</f>
        <v>-50</v>
      </c>
      <c r="F35" s="2">
        <f>IF(AND(ISNUMBER(F34),ISNUMBER(E34)),F34-E34,"n/a")</f>
        <v>-50</v>
      </c>
      <c r="G35" s="2" t="s">
        <v>100</v>
      </c>
      <c r="H35" s="7">
        <f>IF(AND(ISNUMBER(H34),ISNUMBER(F34)),H34-F34,"n/a")</f>
        <v>-50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8" t="s">
        <v>129</v>
      </c>
      <c r="C36" s="2" t="s">
        <v>100</v>
      </c>
      <c r="D36" s="2" t="s">
        <v>100</v>
      </c>
      <c r="E36" s="2" t="s">
        <v>100</v>
      </c>
      <c r="F36" s="2" t="s">
        <v>100</v>
      </c>
      <c r="G36" s="2" t="s">
        <v>100</v>
      </c>
      <c r="H36" s="7">
        <f>IF(AND(ISNUMBER(H34),ISNUMBER(C34)),H34-C34,"n/a")</f>
        <v>-206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4" t="s">
        <v>302</v>
      </c>
      <c r="C37" s="3">
        <v>3413</v>
      </c>
      <c r="D37" s="3">
        <v>2975</v>
      </c>
      <c r="E37" s="3">
        <v>2802</v>
      </c>
      <c r="F37" s="3">
        <v>2414</v>
      </c>
      <c r="G37" s="2">
        <f>D37</f>
        <v>2975</v>
      </c>
      <c r="H37" s="34">
        <f>F37-'Cash Flow Statement'!H19</f>
        <v>2264</v>
      </c>
      <c r="I37" s="1"/>
      <c r="J37" s="9" t="s">
        <v>292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8" t="s">
        <v>101</v>
      </c>
      <c r="C38" s="2" t="s">
        <v>100</v>
      </c>
      <c r="D38" s="2">
        <f>IF(AND(ISNUMBER(D37),ISNUMBER(C37)),D37-C37,"n/a")</f>
        <v>-438</v>
      </c>
      <c r="E38" s="2">
        <f>IF(AND(ISNUMBER(E37),ISNUMBER(D37)),E37-D37,"n/a")</f>
        <v>-173</v>
      </c>
      <c r="F38" s="2">
        <f>IF(AND(ISNUMBER(F37),ISNUMBER(E37)),F37-E37,"n/a")</f>
        <v>-388</v>
      </c>
      <c r="G38" s="2" t="s">
        <v>100</v>
      </c>
      <c r="H38" s="7">
        <f>IF(AND(ISNUMBER(H37),ISNUMBER(F37)),H37-F37,"n/a")</f>
        <v>-150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8" t="s">
        <v>129</v>
      </c>
      <c r="C39" s="2" t="s">
        <v>100</v>
      </c>
      <c r="D39" s="2" t="s">
        <v>100</v>
      </c>
      <c r="E39" s="2" t="s">
        <v>100</v>
      </c>
      <c r="F39" s="2" t="s">
        <v>100</v>
      </c>
      <c r="G39" s="2" t="s">
        <v>100</v>
      </c>
      <c r="H39" s="7">
        <f>IF(AND(ISNUMBER(H37),ISNUMBER(C37)),H37-C37,"n/a")</f>
        <v>-1149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4" t="s">
        <v>303</v>
      </c>
      <c r="C40" s="3">
        <v>8949</v>
      </c>
      <c r="D40" s="3">
        <v>7010</v>
      </c>
      <c r="E40" s="3">
        <v>6930</v>
      </c>
      <c r="F40" s="3">
        <v>7160</v>
      </c>
      <c r="G40" s="2">
        <f>D40</f>
        <v>7010</v>
      </c>
      <c r="H40" s="34">
        <f>F40-'Cash Flow Statement'!H62</f>
        <v>7190</v>
      </c>
      <c r="I40" s="1"/>
      <c r="J40" s="9" t="s">
        <v>304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8" t="s">
        <v>101</v>
      </c>
      <c r="C41" s="2" t="s">
        <v>100</v>
      </c>
      <c r="D41" s="2">
        <f>IF(AND(ISNUMBER(D40),ISNUMBER(C40)),D40-C40,"n/a")</f>
        <v>-1939</v>
      </c>
      <c r="E41" s="2">
        <f>IF(AND(ISNUMBER(E40),ISNUMBER(D40)),E40-D40,"n/a")</f>
        <v>-80</v>
      </c>
      <c r="F41" s="2">
        <f>IF(AND(ISNUMBER(F40),ISNUMBER(E40)),F40-E40,"n/a")</f>
        <v>230</v>
      </c>
      <c r="G41" s="2" t="s">
        <v>100</v>
      </c>
      <c r="H41" s="7">
        <f>IF(AND(ISNUMBER(H40),ISNUMBER(F40)),H40-F40,"n/a")</f>
        <v>30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8" t="s">
        <v>129</v>
      </c>
      <c r="C42" s="2" t="s">
        <v>100</v>
      </c>
      <c r="D42" s="2" t="s">
        <v>100</v>
      </c>
      <c r="E42" s="2" t="s">
        <v>100</v>
      </c>
      <c r="F42" s="2" t="s">
        <v>100</v>
      </c>
      <c r="G42" s="2" t="s">
        <v>100</v>
      </c>
      <c r="H42" s="7">
        <f>IF(AND(ISNUMBER(H40),ISNUMBER(C40)),H40-C40,"n/a")</f>
        <v>-1759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46" t="s">
        <v>305</v>
      </c>
      <c r="C43" s="14">
        <f>C25+C28+C31+C34+C37+C40</f>
        <v>60276</v>
      </c>
      <c r="D43" s="14">
        <f>D25+D28+D31+D34+D37+D40</f>
        <v>59840</v>
      </c>
      <c r="E43" s="14">
        <f>E25+E28+E31+E34+E37+E40</f>
        <v>59238</v>
      </c>
      <c r="F43" s="14">
        <f>F25+F28+F31+F34+F37+F40</f>
        <v>62450</v>
      </c>
      <c r="G43" s="14">
        <f>G25+G28+G31+G34+G37+G40</f>
        <v>59840</v>
      </c>
      <c r="H43" s="48">
        <f>H25+H28+H31+H34+H37+H40</f>
        <v>64644.309337526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4" t="s">
        <v>101</v>
      </c>
      <c r="C44" s="2" t="s">
        <v>100</v>
      </c>
      <c r="D44" s="2">
        <f>IF(AND(ISNUMBER(D43),ISNUMBER(C43)),D43-C43,"n/a")</f>
        <v>-436</v>
      </c>
      <c r="E44" s="2">
        <f>IF(AND(ISNUMBER(E43),ISNUMBER(D43)),E43-D43,"n/a")</f>
        <v>-602</v>
      </c>
      <c r="F44" s="2">
        <f>IF(AND(ISNUMBER(F43),ISNUMBER(E43)),F43-E43,"n/a")</f>
        <v>3212</v>
      </c>
      <c r="G44" s="2" t="s">
        <v>100</v>
      </c>
      <c r="H44" s="7">
        <f>IF(AND(ISNUMBER(H43),ISNUMBER(F43)),H43-F43,"n/a")</f>
        <v>2194.3093375259996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4" t="s">
        <v>129</v>
      </c>
      <c r="C45" s="2" t="s">
        <v>100</v>
      </c>
      <c r="D45" s="2" t="s">
        <v>100</v>
      </c>
      <c r="E45" s="2" t="s">
        <v>100</v>
      </c>
      <c r="F45" s="2" t="s">
        <v>100</v>
      </c>
      <c r="G45" s="2" t="s">
        <v>100</v>
      </c>
      <c r="H45" s="7">
        <f>IF(AND(ISNUMBER(H43),ISNUMBER(C43)),H43-C43,"n/a")</f>
        <v>4368.309337526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3" t="s">
        <v>306</v>
      </c>
      <c r="C46" s="6"/>
      <c r="D46" s="6"/>
      <c r="E46" s="6"/>
      <c r="F46" s="6"/>
      <c r="G46" s="6"/>
      <c r="H46" s="6"/>
      <c r="I46" s="6"/>
      <c r="J46" s="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4" t="s">
        <v>307</v>
      </c>
      <c r="C47" s="3">
        <v>3834</v>
      </c>
      <c r="D47" s="3">
        <v>3630</v>
      </c>
      <c r="E47" s="3">
        <v>4707</v>
      </c>
      <c r="F47" s="3">
        <v>4915</v>
      </c>
      <c r="G47" s="2">
        <f>D47</f>
        <v>3630</v>
      </c>
      <c r="H47" s="34">
        <f>F47+'Cash Flow Statement'!H43</f>
        <v>5215</v>
      </c>
      <c r="I47" s="1"/>
      <c r="J47" s="9" t="s">
        <v>292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8" t="s">
        <v>101</v>
      </c>
      <c r="C48" s="2" t="s">
        <v>100</v>
      </c>
      <c r="D48" s="2">
        <f>IF(AND(ISNUMBER(D47),ISNUMBER(C47)),D47-C47,"n/a")</f>
        <v>-204</v>
      </c>
      <c r="E48" s="2">
        <f>IF(AND(ISNUMBER(E47),ISNUMBER(D47)),E47-D47,"n/a")</f>
        <v>1077</v>
      </c>
      <c r="F48" s="2">
        <f>IF(AND(ISNUMBER(F47),ISNUMBER(E47)),F47-E47,"n/a")</f>
        <v>208</v>
      </c>
      <c r="G48" s="2" t="s">
        <v>100</v>
      </c>
      <c r="H48" s="7">
        <f>IF(AND(ISNUMBER(H47),ISNUMBER(F47)),H47-F47,"n/a")</f>
        <v>300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8" t="s">
        <v>129</v>
      </c>
      <c r="C49" s="2" t="s">
        <v>100</v>
      </c>
      <c r="D49" s="2" t="s">
        <v>100</v>
      </c>
      <c r="E49" s="2" t="s">
        <v>100</v>
      </c>
      <c r="F49" s="2" t="s">
        <v>100</v>
      </c>
      <c r="G49" s="2" t="s">
        <v>100</v>
      </c>
      <c r="H49" s="7">
        <f>IF(AND(ISNUMBER(H47),ISNUMBER(C47)),H47-C47,"n/a")</f>
        <v>1381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4" t="s">
        <v>308</v>
      </c>
      <c r="C50" s="3">
        <v>3065</v>
      </c>
      <c r="D50" s="3">
        <v>3184</v>
      </c>
      <c r="E50" s="3">
        <v>2676</v>
      </c>
      <c r="F50" s="3">
        <v>3003</v>
      </c>
      <c r="G50" s="2">
        <f>D50</f>
        <v>3184</v>
      </c>
      <c r="H50" s="7">
        <f>F50</f>
        <v>3003</v>
      </c>
      <c r="I50" s="1"/>
      <c r="J50" s="9" t="s">
        <v>292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8" t="s">
        <v>101</v>
      </c>
      <c r="C51" s="2" t="s">
        <v>100</v>
      </c>
      <c r="D51" s="2">
        <f>IF(AND(ISNUMBER(D50),ISNUMBER(C50)),D50-C50,"n/a")</f>
        <v>119</v>
      </c>
      <c r="E51" s="2">
        <f>IF(AND(ISNUMBER(E50),ISNUMBER(D50)),E50-D50,"n/a")</f>
        <v>-508</v>
      </c>
      <c r="F51" s="2">
        <f>IF(AND(ISNUMBER(F50),ISNUMBER(E50)),F50-E50,"n/a")</f>
        <v>327</v>
      </c>
      <c r="G51" s="2" t="s">
        <v>100</v>
      </c>
      <c r="H51" s="7">
        <f>IF(AND(ISNUMBER(H50),ISNUMBER(F50)),H50-F50,"n/a")</f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8" t="s">
        <v>129</v>
      </c>
      <c r="C52" s="2" t="s">
        <v>100</v>
      </c>
      <c r="D52" s="2" t="s">
        <v>100</v>
      </c>
      <c r="E52" s="2" t="s">
        <v>100</v>
      </c>
      <c r="F52" s="2" t="s">
        <v>100</v>
      </c>
      <c r="G52" s="2" t="s">
        <v>100</v>
      </c>
      <c r="H52" s="7">
        <f>IF(AND(ISNUMBER(H50),ISNUMBER(C50)),H50-C50,"n/a")</f>
        <v>-62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4" t="s">
        <v>309</v>
      </c>
      <c r="C53" s="3">
        <v>10259</v>
      </c>
      <c r="D53" s="3">
        <v>11440</v>
      </c>
      <c r="E53" s="3">
        <v>10735</v>
      </c>
      <c r="F53" s="3">
        <v>12151</v>
      </c>
      <c r="G53" s="2">
        <f>D53</f>
        <v>11440</v>
      </c>
      <c r="H53" s="34">
        <f>F53+'Cash Flow Statement'!H46</f>
        <v>12851</v>
      </c>
      <c r="I53" s="1"/>
      <c r="J53" s="9" t="s">
        <v>292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8" t="s">
        <v>101</v>
      </c>
      <c r="C54" s="2" t="s">
        <v>100</v>
      </c>
      <c r="D54" s="2">
        <f>IF(AND(ISNUMBER(D53),ISNUMBER(C53)),D53-C53,"n/a")</f>
        <v>1181</v>
      </c>
      <c r="E54" s="2">
        <f>IF(AND(ISNUMBER(E53),ISNUMBER(D53)),E53-D53,"n/a")</f>
        <v>-705</v>
      </c>
      <c r="F54" s="2">
        <f>IF(AND(ISNUMBER(F53),ISNUMBER(E53)),F53-E53,"n/a")</f>
        <v>1416</v>
      </c>
      <c r="G54" s="2" t="s">
        <v>100</v>
      </c>
      <c r="H54" s="7">
        <f>IF(AND(ISNUMBER(H53),ISNUMBER(F53)),H53-F53,"n/a")</f>
        <v>700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8" t="s">
        <v>129</v>
      </c>
      <c r="C55" s="2" t="s">
        <v>100</v>
      </c>
      <c r="D55" s="2" t="s">
        <v>100</v>
      </c>
      <c r="E55" s="2" t="s">
        <v>100</v>
      </c>
      <c r="F55" s="2" t="s">
        <v>100</v>
      </c>
      <c r="G55" s="2" t="s">
        <v>100</v>
      </c>
      <c r="H55" s="7">
        <f>IF(AND(ISNUMBER(H53),ISNUMBER(C53)),H53-C53,"n/a")</f>
        <v>2592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4" t="s">
        <v>310</v>
      </c>
      <c r="C56" s="3">
        <v>1669</v>
      </c>
      <c r="D56" s="3">
        <v>1168</v>
      </c>
      <c r="E56" s="3">
        <v>168</v>
      </c>
      <c r="F56" s="3">
        <v>0</v>
      </c>
      <c r="G56" s="2">
        <f>D56</f>
        <v>1168</v>
      </c>
      <c r="H56" s="7">
        <f>F56</f>
        <v>0</v>
      </c>
      <c r="I56" s="1"/>
      <c r="J56" s="9" t="s">
        <v>292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8" t="s">
        <v>101</v>
      </c>
      <c r="C57" s="2" t="s">
        <v>100</v>
      </c>
      <c r="D57" s="2">
        <f>IF(AND(ISNUMBER(D56),ISNUMBER(C56)),D56-C56,"n/a")</f>
        <v>-501</v>
      </c>
      <c r="E57" s="2">
        <f>IF(AND(ISNUMBER(E56),ISNUMBER(D56)),E56-D56,"n/a")</f>
        <v>-1000</v>
      </c>
      <c r="F57" s="2">
        <f>IF(AND(ISNUMBER(F56),ISNUMBER(E56)),F56-E56,"n/a")</f>
        <v>-168</v>
      </c>
      <c r="G57" s="2" t="s">
        <v>100</v>
      </c>
      <c r="H57" s="7">
        <f>IF(AND(ISNUMBER(H56),ISNUMBER(F56)),H56-F56,"n/a")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8" t="s">
        <v>129</v>
      </c>
      <c r="C58" s="2" t="s">
        <v>100</v>
      </c>
      <c r="D58" s="2" t="s">
        <v>100</v>
      </c>
      <c r="E58" s="2" t="s">
        <v>100</v>
      </c>
      <c r="F58" s="2" t="s">
        <v>100</v>
      </c>
      <c r="G58" s="2" t="s">
        <v>100</v>
      </c>
      <c r="H58" s="7">
        <f>IF(AND(ISNUMBER(H56),ISNUMBER(C56)),H56-C56,"n/a")</f>
        <v>-1669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4" t="s">
        <v>311</v>
      </c>
      <c r="C59" s="3">
        <v>4147</v>
      </c>
      <c r="D59" s="3">
        <v>3913</v>
      </c>
      <c r="E59" s="3">
        <v>3804</v>
      </c>
      <c r="F59" s="3">
        <v>3740</v>
      </c>
      <c r="G59" s="2">
        <f>D59</f>
        <v>3913</v>
      </c>
      <c r="H59" s="34">
        <f>F59+'Cash Flow Statement'!H49+'Cash Flow Statement'!H52</f>
        <v>3840</v>
      </c>
      <c r="I59" s="1"/>
      <c r="J59" s="9" t="s">
        <v>292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8" t="s">
        <v>101</v>
      </c>
      <c r="C60" s="2" t="s">
        <v>100</v>
      </c>
      <c r="D60" s="2">
        <f>IF(AND(ISNUMBER(D59),ISNUMBER(C59)),D59-C59,"n/a")</f>
        <v>-234</v>
      </c>
      <c r="E60" s="2">
        <f>IF(AND(ISNUMBER(E59),ISNUMBER(D59)),E59-D59,"n/a")</f>
        <v>-109</v>
      </c>
      <c r="F60" s="2">
        <f>IF(AND(ISNUMBER(F59),ISNUMBER(E59)),F59-E59,"n/a")</f>
        <v>-64</v>
      </c>
      <c r="G60" s="2" t="s">
        <v>100</v>
      </c>
      <c r="H60" s="7">
        <f>IF(AND(ISNUMBER(H59),ISNUMBER(F59)),H59-F59,"n/a")</f>
        <v>100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8" t="s">
        <v>129</v>
      </c>
      <c r="C61" s="2" t="s">
        <v>100</v>
      </c>
      <c r="D61" s="2" t="s">
        <v>100</v>
      </c>
      <c r="E61" s="2" t="s">
        <v>100</v>
      </c>
      <c r="F61" s="2" t="s">
        <v>100</v>
      </c>
      <c r="G61" s="2" t="s">
        <v>100</v>
      </c>
      <c r="H61" s="7">
        <f>IF(AND(ISNUMBER(H59),ISNUMBER(C59)),H59-C59,"n/a")</f>
        <v>-307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46" t="s">
        <v>312</v>
      </c>
      <c r="C62" s="14">
        <f>C47+C50+C53+C56+C59</f>
        <v>22974</v>
      </c>
      <c r="D62" s="14">
        <f>D47+D50+D53+D56+D59</f>
        <v>23335</v>
      </c>
      <c r="E62" s="14">
        <f>E47+E50+E53+E56+E59</f>
        <v>22090</v>
      </c>
      <c r="F62" s="14">
        <f>F47+F50+F53+F56+F59</f>
        <v>23809</v>
      </c>
      <c r="G62" s="14">
        <f>G47+G50+G53+G56+G59</f>
        <v>23335</v>
      </c>
      <c r="H62" s="48">
        <f>H47+H50+H53+H56+H59</f>
        <v>24909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4" t="s">
        <v>101</v>
      </c>
      <c r="C63" s="2" t="s">
        <v>100</v>
      </c>
      <c r="D63" s="2">
        <f>IF(AND(ISNUMBER(D62),ISNUMBER(C62)),D62-C62,"n/a")</f>
        <v>361</v>
      </c>
      <c r="E63" s="2">
        <f>IF(AND(ISNUMBER(E62),ISNUMBER(D62)),E62-D62,"n/a")</f>
        <v>-1245</v>
      </c>
      <c r="F63" s="2">
        <f>IF(AND(ISNUMBER(F62),ISNUMBER(E62)),F62-E62,"n/a")</f>
        <v>1719</v>
      </c>
      <c r="G63" s="2" t="s">
        <v>100</v>
      </c>
      <c r="H63" s="7">
        <f>IF(AND(ISNUMBER(H62),ISNUMBER(F62)),H62-F62,"n/a")</f>
        <v>1100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4" t="s">
        <v>129</v>
      </c>
      <c r="C64" s="2" t="s">
        <v>100</v>
      </c>
      <c r="D64" s="2" t="s">
        <v>100</v>
      </c>
      <c r="E64" s="2" t="s">
        <v>100</v>
      </c>
      <c r="F64" s="2" t="s">
        <v>100</v>
      </c>
      <c r="G64" s="2" t="s">
        <v>100</v>
      </c>
      <c r="H64" s="7">
        <f>IF(AND(ISNUMBER(H62),ISNUMBER(C62)),H62-C62,"n/a")</f>
        <v>1935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4" t="s">
        <v>313</v>
      </c>
      <c r="C65" s="3">
        <v>20520</v>
      </c>
      <c r="D65" s="3">
        <v>20532</v>
      </c>
      <c r="E65" s="3">
        <v>20529</v>
      </c>
      <c r="F65" s="3">
        <v>20538</v>
      </c>
      <c r="G65" s="2">
        <f>D65</f>
        <v>20532</v>
      </c>
      <c r="H65" s="34">
        <f>F65+'Cash Flow Statement'!H69+'Cash Flow Statement'!H72+'Cash Flow Statement'!H75</f>
        <v>20538</v>
      </c>
      <c r="I65" s="1"/>
      <c r="J65" s="9" t="s">
        <v>292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8" t="s">
        <v>101</v>
      </c>
      <c r="C66" s="2" t="s">
        <v>100</v>
      </c>
      <c r="D66" s="2">
        <f>IF(AND(ISNUMBER(D65),ISNUMBER(C65)),D65-C65,"n/a")</f>
        <v>12</v>
      </c>
      <c r="E66" s="2">
        <f>IF(AND(ISNUMBER(E65),ISNUMBER(D65)),E65-D65,"n/a")</f>
        <v>-3</v>
      </c>
      <c r="F66" s="2">
        <f>IF(AND(ISNUMBER(F65),ISNUMBER(E65)),F65-E65,"n/a")</f>
        <v>9</v>
      </c>
      <c r="G66" s="2" t="s">
        <v>100</v>
      </c>
      <c r="H66" s="7">
        <f>IF(AND(ISNUMBER(H65),ISNUMBER(F65)),H65-F65,"n/a")</f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8" t="s">
        <v>129</v>
      </c>
      <c r="C67" s="2" t="s">
        <v>100</v>
      </c>
      <c r="D67" s="2" t="s">
        <v>100</v>
      </c>
      <c r="E67" s="2" t="s">
        <v>100</v>
      </c>
      <c r="F67" s="2" t="s">
        <v>100</v>
      </c>
      <c r="G67" s="2" t="s">
        <v>100</v>
      </c>
      <c r="H67" s="7">
        <f>IF(AND(ISNUMBER(H65),ISNUMBER(C65)),H65-C65,"n/a")</f>
        <v>18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4" t="s">
        <v>314</v>
      </c>
      <c r="C68" s="3">
        <v>4861</v>
      </c>
      <c r="D68" s="3">
        <v>3915</v>
      </c>
      <c r="E68" s="3">
        <v>3923</v>
      </c>
      <c r="F68" s="3">
        <v>3931</v>
      </c>
      <c r="G68" s="2">
        <f>D68</f>
        <v>3915</v>
      </c>
      <c r="H68" s="34">
        <f>F68+'Cash Flow Statement'!H31+'Cash Flow Statement'!H22</f>
        <v>4023</v>
      </c>
      <c r="I68" s="1"/>
      <c r="J68" s="9" t="s">
        <v>292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8" t="s">
        <v>101</v>
      </c>
      <c r="C69" s="2" t="s">
        <v>100</v>
      </c>
      <c r="D69" s="2">
        <f>IF(AND(ISNUMBER(D68),ISNUMBER(C68)),D68-C68,"n/a")</f>
        <v>-946</v>
      </c>
      <c r="E69" s="2">
        <f>IF(AND(ISNUMBER(E68),ISNUMBER(D68)),E68-D68,"n/a")</f>
        <v>8</v>
      </c>
      <c r="F69" s="2">
        <f>IF(AND(ISNUMBER(F68),ISNUMBER(E68)),F68-E68,"n/a")</f>
        <v>8</v>
      </c>
      <c r="G69" s="2" t="s">
        <v>100</v>
      </c>
      <c r="H69" s="7">
        <f>IF(AND(ISNUMBER(H68),ISNUMBER(F68)),H68-F68,"n/a")</f>
        <v>92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8" t="s">
        <v>129</v>
      </c>
      <c r="C70" s="2" t="s">
        <v>100</v>
      </c>
      <c r="D70" s="2" t="s">
        <v>100</v>
      </c>
      <c r="E70" s="2" t="s">
        <v>100</v>
      </c>
      <c r="F70" s="2" t="s">
        <v>100</v>
      </c>
      <c r="G70" s="2" t="s">
        <v>100</v>
      </c>
      <c r="H70" s="7">
        <f>IF(AND(ISNUMBER(H68),ISNUMBER(C68)),H68-C68,"n/a")</f>
        <v>-838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4" t="s">
        <v>315</v>
      </c>
      <c r="C71" s="3">
        <v>5740</v>
      </c>
      <c r="D71" s="3">
        <v>5337</v>
      </c>
      <c r="E71" s="3">
        <v>5207</v>
      </c>
      <c r="F71" s="3">
        <v>5404</v>
      </c>
      <c r="G71" s="2">
        <f>D71</f>
        <v>5337</v>
      </c>
      <c r="H71" s="7">
        <f>F71</f>
        <v>5404</v>
      </c>
      <c r="I71" s="1"/>
      <c r="J71" s="9" t="s">
        <v>292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8" t="s">
        <v>101</v>
      </c>
      <c r="C72" s="2" t="s">
        <v>100</v>
      </c>
      <c r="D72" s="2">
        <f>IF(AND(ISNUMBER(D71),ISNUMBER(C71)),D71-C71,"n/a")</f>
        <v>-403</v>
      </c>
      <c r="E72" s="2">
        <f>IF(AND(ISNUMBER(E71),ISNUMBER(D71)),E71-D71,"n/a")</f>
        <v>-130</v>
      </c>
      <c r="F72" s="2">
        <f>IF(AND(ISNUMBER(F71),ISNUMBER(E71)),F71-E71,"n/a")</f>
        <v>197</v>
      </c>
      <c r="G72" s="2" t="s">
        <v>100</v>
      </c>
      <c r="H72" s="7">
        <f>IF(AND(ISNUMBER(H71),ISNUMBER(F71)),H71-F71,"n/a")</f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8" t="s">
        <v>129</v>
      </c>
      <c r="C73" s="2" t="s">
        <v>100</v>
      </c>
      <c r="D73" s="2" t="s">
        <v>100</v>
      </c>
      <c r="E73" s="2" t="s">
        <v>100</v>
      </c>
      <c r="F73" s="2" t="s">
        <v>100</v>
      </c>
      <c r="G73" s="2" t="s">
        <v>100</v>
      </c>
      <c r="H73" s="7">
        <f>IF(AND(ISNUMBER(H71),ISNUMBER(C71)),H71-C71,"n/a")</f>
        <v>-336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46" t="s">
        <v>316</v>
      </c>
      <c r="C74" s="14">
        <f>C62+C65+C68+C71</f>
        <v>54095</v>
      </c>
      <c r="D74" s="14">
        <f>D62+D65+D68+D71</f>
        <v>53119</v>
      </c>
      <c r="E74" s="14">
        <f>E62+E65+E68+E71</f>
        <v>51749</v>
      </c>
      <c r="F74" s="14">
        <f>F62+F65+F68+F71</f>
        <v>53682</v>
      </c>
      <c r="G74" s="14">
        <f>G62+G65+G68+G71</f>
        <v>53119</v>
      </c>
      <c r="H74" s="48">
        <f>H62+H65+H68+H71</f>
        <v>54874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101</v>
      </c>
      <c r="C75" s="2" t="s">
        <v>100</v>
      </c>
      <c r="D75" s="2">
        <f>IF(AND(ISNUMBER(D74),ISNUMBER(C74)),D74-C74,"n/a")</f>
        <v>-976</v>
      </c>
      <c r="E75" s="2">
        <f>IF(AND(ISNUMBER(E74),ISNUMBER(D74)),E74-D74,"n/a")</f>
        <v>-1370</v>
      </c>
      <c r="F75" s="2">
        <f>IF(AND(ISNUMBER(F74),ISNUMBER(E74)),F74-E74,"n/a")</f>
        <v>1933</v>
      </c>
      <c r="G75" s="2" t="s">
        <v>100</v>
      </c>
      <c r="H75" s="7">
        <f>IF(AND(ISNUMBER(H74),ISNUMBER(F74)),H74-F74,"n/a")</f>
        <v>1192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4" t="s">
        <v>129</v>
      </c>
      <c r="C76" s="2" t="s">
        <v>100</v>
      </c>
      <c r="D76" s="2" t="s">
        <v>100</v>
      </c>
      <c r="E76" s="2" t="s">
        <v>100</v>
      </c>
      <c r="F76" s="2" t="s">
        <v>100</v>
      </c>
      <c r="G76" s="2" t="s">
        <v>100</v>
      </c>
      <c r="H76" s="7">
        <f>IF(AND(ISNUMBER(H74),ISNUMBER(C74)),H74-C74,"n/a")</f>
        <v>779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3" t="s">
        <v>317</v>
      </c>
      <c r="C77" s="6"/>
      <c r="D77" s="6"/>
      <c r="E77" s="6"/>
      <c r="F77" s="6"/>
      <c r="G77" s="6"/>
      <c r="H77" s="6"/>
      <c r="I77" s="6"/>
      <c r="J77" s="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4" t="s">
        <v>318</v>
      </c>
      <c r="C78" s="3">
        <v>230</v>
      </c>
      <c r="D78" s="3">
        <v>229</v>
      </c>
      <c r="E78" s="3">
        <v>230</v>
      </c>
      <c r="F78" s="3">
        <v>230</v>
      </c>
      <c r="G78" s="2">
        <f>D78</f>
        <v>229</v>
      </c>
      <c r="H78" s="7">
        <f>F78</f>
        <v>230</v>
      </c>
      <c r="I78" s="1"/>
      <c r="J78" s="9" t="s">
        <v>292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8" t="s">
        <v>101</v>
      </c>
      <c r="C79" s="2" t="s">
        <v>100</v>
      </c>
      <c r="D79" s="2">
        <f>IF(AND(ISNUMBER(D78),ISNUMBER(C78)),D78-C78,"n/a")</f>
        <v>-1</v>
      </c>
      <c r="E79" s="2">
        <f>IF(AND(ISNUMBER(E78),ISNUMBER(D78)),E78-D78,"n/a")</f>
        <v>1</v>
      </c>
      <c r="F79" s="2">
        <f>IF(AND(ISNUMBER(F78),ISNUMBER(E78)),F78-E78,"n/a")</f>
        <v>0</v>
      </c>
      <c r="G79" s="2" t="s">
        <v>100</v>
      </c>
      <c r="H79" s="7">
        <f>IF(AND(ISNUMBER(H78),ISNUMBER(F78)),H78-F78,"n/a")</f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8" t="s">
        <v>129</v>
      </c>
      <c r="C80" s="2" t="s">
        <v>100</v>
      </c>
      <c r="D80" s="2" t="s">
        <v>100</v>
      </c>
      <c r="E80" s="2" t="s">
        <v>100</v>
      </c>
      <c r="F80" s="2" t="s">
        <v>100</v>
      </c>
      <c r="G80" s="2" t="s">
        <v>100</v>
      </c>
      <c r="H80" s="7">
        <f>IF(AND(ISNUMBER(H78),ISNUMBER(C78)),H78-C78,"n/a")</f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4" t="s">
        <v>319</v>
      </c>
      <c r="C81" s="3">
        <v>0</v>
      </c>
      <c r="D81" s="3">
        <v>0</v>
      </c>
      <c r="E81" s="3">
        <v>32</v>
      </c>
      <c r="F81" s="3">
        <v>247</v>
      </c>
      <c r="G81" s="2">
        <f>D81</f>
        <v>0</v>
      </c>
      <c r="H81" s="34">
        <f>F81+'Cash Flow Statement'!H16+'Cash Flow Statement'!H84</f>
        <v>312</v>
      </c>
      <c r="I81" s="1"/>
      <c r="J81" s="9" t="s">
        <v>292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8" t="s">
        <v>101</v>
      </c>
      <c r="C82" s="2" t="s">
        <v>100</v>
      </c>
      <c r="D82" s="2">
        <f>IF(AND(ISNUMBER(D81),ISNUMBER(C81)),D81-C81,"n/a")</f>
        <v>0</v>
      </c>
      <c r="E82" s="2">
        <f>IF(AND(ISNUMBER(E81),ISNUMBER(D81)),E81-D81,"n/a")</f>
        <v>32</v>
      </c>
      <c r="F82" s="2">
        <f>IF(AND(ISNUMBER(F81),ISNUMBER(E81)),F81-E81,"n/a")</f>
        <v>215</v>
      </c>
      <c r="G82" s="2" t="s">
        <v>100</v>
      </c>
      <c r="H82" s="7">
        <f>IF(AND(ISNUMBER(H81),ISNUMBER(F81)),H81-F81,"n/a")</f>
        <v>65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8" t="s">
        <v>129</v>
      </c>
      <c r="C83" s="2" t="s">
        <v>100</v>
      </c>
      <c r="D83" s="2" t="s">
        <v>100</v>
      </c>
      <c r="E83" s="2" t="s">
        <v>100</v>
      </c>
      <c r="F83" s="2" t="s">
        <v>100</v>
      </c>
      <c r="G83" s="2" t="s">
        <v>100</v>
      </c>
      <c r="H83" s="7">
        <f>IF(AND(ISNUMBER(H81),ISNUMBER(C81)),H81-C81,"n/a")</f>
        <v>312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4" t="s">
        <v>320</v>
      </c>
      <c r="C84" s="3">
        <v>14053</v>
      </c>
      <c r="D84" s="3">
        <v>14034</v>
      </c>
      <c r="E84" s="3">
        <v>14723</v>
      </c>
      <c r="F84" s="3">
        <v>15759</v>
      </c>
      <c r="G84" s="2">
        <f>D84</f>
        <v>14034</v>
      </c>
      <c r="H84" s="34">
        <f>F84+'Cash Flow Statement'!H10+'Cash Flow Statement'!H81+'Cash Flow Statement'!H78</f>
        <v>16696.309337526</v>
      </c>
      <c r="I84" s="1"/>
      <c r="J84" s="9" t="s">
        <v>292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8" t="s">
        <v>101</v>
      </c>
      <c r="C85" s="2" t="s">
        <v>100</v>
      </c>
      <c r="D85" s="2">
        <f>IF(AND(ISNUMBER(D84),ISNUMBER(C84)),D84-C84,"n/a")</f>
        <v>-19</v>
      </c>
      <c r="E85" s="2">
        <f>IF(AND(ISNUMBER(E84),ISNUMBER(D84)),E84-D84,"n/a")</f>
        <v>689</v>
      </c>
      <c r="F85" s="2">
        <f>IF(AND(ISNUMBER(F84),ISNUMBER(E84)),F84-E84,"n/a")</f>
        <v>1036</v>
      </c>
      <c r="G85" s="2" t="s">
        <v>100</v>
      </c>
      <c r="H85" s="7">
        <f>IF(AND(ISNUMBER(H84),ISNUMBER(F84)),H84-F84,"n/a")</f>
        <v>937.3093375259996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8" t="s">
        <v>129</v>
      </c>
      <c r="C86" s="2" t="s">
        <v>100</v>
      </c>
      <c r="D86" s="2" t="s">
        <v>100</v>
      </c>
      <c r="E86" s="2" t="s">
        <v>100</v>
      </c>
      <c r="F86" s="2" t="s">
        <v>100</v>
      </c>
      <c r="G86" s="2" t="s">
        <v>100</v>
      </c>
      <c r="H86" s="7">
        <f>IF(AND(ISNUMBER(H84),ISNUMBER(C84)),H84-C84,"n/a")</f>
        <v>2643.3093375259996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4" t="s">
        <v>321</v>
      </c>
      <c r="C87" s="3">
        <v>-8102</v>
      </c>
      <c r="D87" s="3">
        <v>-7542</v>
      </c>
      <c r="E87" s="3">
        <v>-7496</v>
      </c>
      <c r="F87" s="3">
        <v>-7468</v>
      </c>
      <c r="G87" s="2">
        <f>D87</f>
        <v>-7542</v>
      </c>
      <c r="H87" s="7">
        <f>F87</f>
        <v>-7468</v>
      </c>
      <c r="I87" s="1"/>
      <c r="J87" s="9" t="s">
        <v>292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8" t="s">
        <v>101</v>
      </c>
      <c r="C88" s="2" t="s">
        <v>100</v>
      </c>
      <c r="D88" s="2">
        <f>IF(AND(ISNUMBER(D87),ISNUMBER(C87)),D87-C87,"n/a")</f>
        <v>560</v>
      </c>
      <c r="E88" s="2">
        <f>IF(AND(ISNUMBER(E87),ISNUMBER(D87)),E87-D87,"n/a")</f>
        <v>46</v>
      </c>
      <c r="F88" s="2">
        <f>IF(AND(ISNUMBER(F87),ISNUMBER(E87)),F87-E87,"n/a")</f>
        <v>28</v>
      </c>
      <c r="G88" s="2" t="s">
        <v>100</v>
      </c>
      <c r="H88" s="7">
        <f>IF(AND(ISNUMBER(H87),ISNUMBER(F87)),H87-F87,"n/a")</f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8" t="s">
        <v>129</v>
      </c>
      <c r="C89" s="2" t="s">
        <v>100</v>
      </c>
      <c r="D89" s="2" t="s">
        <v>100</v>
      </c>
      <c r="E89" s="2" t="s">
        <v>100</v>
      </c>
      <c r="F89" s="2" t="s">
        <v>100</v>
      </c>
      <c r="G89" s="2" t="s">
        <v>100</v>
      </c>
      <c r="H89" s="7">
        <f>IF(AND(ISNUMBER(H87),ISNUMBER(C87)),H87-C87,"n/a")</f>
        <v>634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46" t="s">
        <v>322</v>
      </c>
      <c r="C90" s="14">
        <f>C78+C81+C84+C87</f>
        <v>6181</v>
      </c>
      <c r="D90" s="14">
        <f>D78+D81+D84+D87</f>
        <v>6721</v>
      </c>
      <c r="E90" s="14">
        <f>E78+E81+E84+E87</f>
        <v>7489</v>
      </c>
      <c r="F90" s="14">
        <f>F78+F81+F84+F87</f>
        <v>8768</v>
      </c>
      <c r="G90" s="14">
        <f>G78+G81+G84+G87</f>
        <v>6721</v>
      </c>
      <c r="H90" s="48">
        <f>H78+H81+H84+H87</f>
        <v>9770.309337526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4" t="s">
        <v>101</v>
      </c>
      <c r="C91" s="2" t="s">
        <v>100</v>
      </c>
      <c r="D91" s="2">
        <f>IF(AND(ISNUMBER(D90),ISNUMBER(C90)),D90-C90,"n/a")</f>
        <v>540</v>
      </c>
      <c r="E91" s="2">
        <f>IF(AND(ISNUMBER(E90),ISNUMBER(D90)),E90-D90,"n/a")</f>
        <v>768</v>
      </c>
      <c r="F91" s="2">
        <f>IF(AND(ISNUMBER(F90),ISNUMBER(E90)),F90-E90,"n/a")</f>
        <v>1279</v>
      </c>
      <c r="G91" s="2" t="s">
        <v>100</v>
      </c>
      <c r="H91" s="7">
        <f>IF(AND(ISNUMBER(H90),ISNUMBER(F90)),H90-F90,"n/a")</f>
        <v>1002.3093375259996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4" t="s">
        <v>129</v>
      </c>
      <c r="C92" s="2" t="s">
        <v>100</v>
      </c>
      <c r="D92" s="2" t="s">
        <v>100</v>
      </c>
      <c r="E92" s="2" t="s">
        <v>100</v>
      </c>
      <c r="F92" s="2" t="s">
        <v>100</v>
      </c>
      <c r="G92" s="2" t="s">
        <v>100</v>
      </c>
      <c r="H92" s="7">
        <f>IF(AND(ISNUMBER(H90),ISNUMBER(C90)),H90-C90,"n/a")</f>
        <v>3589.3093375259996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46" t="s">
        <v>323</v>
      </c>
      <c r="C93" s="14">
        <f>C74+C90</f>
        <v>60276</v>
      </c>
      <c r="D93" s="14">
        <f>D74+D90</f>
        <v>59840</v>
      </c>
      <c r="E93" s="14">
        <f>E74+E90</f>
        <v>59238</v>
      </c>
      <c r="F93" s="14">
        <f>F74+F90</f>
        <v>62450</v>
      </c>
      <c r="G93" s="14">
        <f>G74+G90</f>
        <v>59840</v>
      </c>
      <c r="H93" s="48">
        <f>H74+H90</f>
        <v>64644.309337526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61" t="s">
        <v>324</v>
      </c>
      <c r="C95" s="55">
        <f>C43-C74-C90</f>
        <v>0</v>
      </c>
      <c r="D95" s="55">
        <f>D43-D74-D90</f>
        <v>0</v>
      </c>
      <c r="E95" s="55">
        <f>E43-E74-E90</f>
        <v>0</v>
      </c>
      <c r="F95" s="55">
        <f>F43-F74-F90</f>
        <v>0</v>
      </c>
      <c r="G95" s="55">
        <f>G43-G74-G90</f>
        <v>0</v>
      </c>
      <c r="H95" s="51">
        <f>H43-H74-H90</f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3" t="s">
        <v>325</v>
      </c>
      <c r="C96" s="6"/>
      <c r="D96" s="6"/>
      <c r="E96" s="6"/>
      <c r="F96" s="6"/>
      <c r="G96" s="6"/>
      <c r="H96" s="6"/>
      <c r="I96" s="6"/>
      <c r="J96" s="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4" t="s">
        <v>326</v>
      </c>
      <c r="C97" s="2">
        <f>C56+C65-C10</f>
        <v>18719</v>
      </c>
      <c r="D97" s="2">
        <f>D56+D65-D10</f>
        <v>17579</v>
      </c>
      <c r="E97" s="2">
        <f>E56+E65-E10</f>
        <v>18803</v>
      </c>
      <c r="F97" s="2">
        <f>F56+F65-F10</f>
        <v>16747</v>
      </c>
      <c r="G97" s="2">
        <f>G56+G65-G10</f>
        <v>17579</v>
      </c>
      <c r="H97" s="7">
        <f>H56+H65-H10</f>
        <v>15577.690662474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8" t="s">
        <v>101</v>
      </c>
      <c r="C98" s="2" t="s">
        <v>100</v>
      </c>
      <c r="D98" s="2">
        <f>IF(AND(ISNUMBER(D97),ISNUMBER(C97)),D97-C97,"n/a")</f>
        <v>-1140</v>
      </c>
      <c r="E98" s="2">
        <f>IF(AND(ISNUMBER(E97),ISNUMBER(D97)),E97-D97,"n/a")</f>
        <v>1224</v>
      </c>
      <c r="F98" s="2">
        <f>IF(AND(ISNUMBER(F97),ISNUMBER(E97)),F97-E97,"n/a")</f>
        <v>-2056</v>
      </c>
      <c r="G98" s="2" t="s">
        <v>100</v>
      </c>
      <c r="H98" s="7">
        <f>IF(AND(ISNUMBER(H97),ISNUMBER(F97)),H97-F97,"n/a")</f>
        <v>-1169.3093375259996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8" t="s">
        <v>129</v>
      </c>
      <c r="C99" s="2" t="s">
        <v>100</v>
      </c>
      <c r="D99" s="2" t="s">
        <v>100</v>
      </c>
      <c r="E99" s="2" t="s">
        <v>100</v>
      </c>
      <c r="F99" s="2" t="s">
        <v>100</v>
      </c>
      <c r="G99" s="2" t="s">
        <v>100</v>
      </c>
      <c r="H99" s="7">
        <f>IF(AND(ISNUMBER(H97),ISNUMBER(C97)),H97-C97,"n/a")</f>
        <v>-3141.3093375259996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4" t="s">
        <v>327</v>
      </c>
      <c r="C100" s="2">
        <f>C13+C16+C19-C47-C53</f>
        <v>7449</v>
      </c>
      <c r="D100" s="2">
        <f>D13+D16+D19-D47-D53</f>
        <v>5356</v>
      </c>
      <c r="E100" s="2">
        <f>E13+E16+E19-E47-E53</f>
        <v>7016</v>
      </c>
      <c r="F100" s="2">
        <f>F13+F16+F19-F47-F53</f>
        <v>6739</v>
      </c>
      <c r="G100" s="2">
        <f>G13+G16+G19-G47-G53</f>
        <v>5356</v>
      </c>
      <c r="H100" s="7">
        <f>H13+H16+H19-H47-H53</f>
        <v>6689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8" t="s">
        <v>101</v>
      </c>
      <c r="C101" s="2" t="s">
        <v>100</v>
      </c>
      <c r="D101" s="2">
        <f>IF(AND(ISNUMBER(D100),ISNUMBER(C100)),D100-C100,"n/a")</f>
        <v>-2093</v>
      </c>
      <c r="E101" s="2">
        <f>IF(AND(ISNUMBER(E100),ISNUMBER(D100)),E100-D100,"n/a")</f>
        <v>1660</v>
      </c>
      <c r="F101" s="2">
        <f>IF(AND(ISNUMBER(F100),ISNUMBER(E100)),F100-E100,"n/a")</f>
        <v>-277</v>
      </c>
      <c r="G101" s="2" t="s">
        <v>100</v>
      </c>
      <c r="H101" s="7">
        <f>IF(AND(ISNUMBER(H100),ISNUMBER(F100)),H100-F100,"n/a")</f>
        <v>-50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8" t="s">
        <v>129</v>
      </c>
      <c r="C102" s="2" t="s">
        <v>100</v>
      </c>
      <c r="D102" s="2" t="s">
        <v>100</v>
      </c>
      <c r="E102" s="2" t="s">
        <v>100</v>
      </c>
      <c r="F102" s="2" t="s">
        <v>100</v>
      </c>
      <c r="G102" s="2" t="s">
        <v>100</v>
      </c>
      <c r="H102" s="7">
        <f>IF(AND(ISNUMBER(H100),ISNUMBER(C100)),H100-C100,"n/a")</f>
        <v>-760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46" t="s">
        <v>328</v>
      </c>
      <c r="C103" s="26" t="b">
        <f>ABS(C95)&lt;0.5</f>
        <v>1</v>
      </c>
      <c r="D103" s="26" t="b">
        <f>ABS(D95)&lt;0.5</f>
        <v>1</v>
      </c>
      <c r="E103" s="26" t="b">
        <f>ABS(E95)&lt;0.5</f>
        <v>1</v>
      </c>
      <c r="F103" s="26" t="b">
        <f>ABS(F95)&lt;0.5</f>
        <v>1</v>
      </c>
      <c r="G103" s="26" t="b">
        <f>ABS(G95)&lt;0.5</f>
        <v>1</v>
      </c>
      <c r="H103" s="22" t="b">
        <f>ABS(H95)&lt;0.5</f>
        <v>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2" width="12" customWidth="1"/>
    <col min="13" max="13" width="2" customWidth="1"/>
    <col min="14" max="14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329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330</v>
      </c>
      <c r="K5" s="10" t="s">
        <v>92</v>
      </c>
      <c r="L5" s="10" t="s">
        <v>331</v>
      </c>
      <c r="M5" s="54"/>
      <c r="N5" s="44" t="s">
        <v>93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45837</v>
      </c>
      <c r="K6" s="27">
        <v>45928</v>
      </c>
      <c r="L6" s="27">
        <v>46201</v>
      </c>
      <c r="M6" s="12"/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180</v>
      </c>
      <c r="K7" s="15">
        <v>271</v>
      </c>
      <c r="L7" s="15">
        <v>179</v>
      </c>
      <c r="M7" s="52"/>
      <c r="N7" s="5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332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4" t="s">
        <v>333</v>
      </c>
      <c r="C10" s="35">
        <f>'Income Statement'!C82</f>
        <v>1619</v>
      </c>
      <c r="D10" s="35">
        <f>'Income Statement'!D82</f>
        <v>1344</v>
      </c>
      <c r="E10" s="35">
        <f>'Income Statement'!E82</f>
        <v>1488</v>
      </c>
      <c r="F10" s="35">
        <f>'Income Statement'!F82</f>
        <v>1836</v>
      </c>
      <c r="G10" s="35">
        <f>'Income Statement'!G82</f>
        <v>5017</v>
      </c>
      <c r="H10" s="34">
        <f>'Income Statement'!H82</f>
        <v>1733.5374353759996</v>
      </c>
      <c r="I10" s="1"/>
      <c r="J10" s="35">
        <f>'Income Statement'!L82+'Income Statement'!M82</f>
        <v>2054</v>
      </c>
      <c r="K10" s="35">
        <f>'Income Statement'!P82</f>
        <v>3673</v>
      </c>
      <c r="L10" s="35">
        <f>'Income Statement'!E82+'Income Statement'!F82</f>
        <v>3324</v>
      </c>
      <c r="M10" s="1"/>
      <c r="N10" s="9" t="s">
        <v>225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8" t="s">
        <v>129</v>
      </c>
      <c r="C11" s="2" t="s">
        <v>100</v>
      </c>
      <c r="D11" s="2" t="s">
        <v>100</v>
      </c>
      <c r="E11" s="2" t="s">
        <v>100</v>
      </c>
      <c r="F11" s="2" t="s">
        <v>100</v>
      </c>
      <c r="G11" s="2" t="s">
        <v>100</v>
      </c>
      <c r="H11" s="7">
        <f>IF(AND(ISNUMBER(H10),ISNUMBER(C10)),H10-C10,"n/a")</f>
        <v>114.53743537599962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" t="s">
        <v>101</v>
      </c>
      <c r="C12" s="2" t="s">
        <v>100</v>
      </c>
      <c r="D12" s="2">
        <f>IF(AND(ISNUMBER(D10),ISNUMBER(C10)),D10-C10,"n/a")</f>
        <v>-275</v>
      </c>
      <c r="E12" s="2">
        <f>IF(AND(ISNUMBER(E10),ISNUMBER(D10)),E10-D10,"n/a")</f>
        <v>144</v>
      </c>
      <c r="F12" s="2">
        <f>IF(AND(ISNUMBER(F10),ISNUMBER(E10)),F10-E10,"n/a")</f>
        <v>348</v>
      </c>
      <c r="G12" s="2" t="s">
        <v>100</v>
      </c>
      <c r="H12" s="7">
        <f>IF(AND(ISNUMBER(H10),ISNUMBER(F10)),H10-F10,"n/a")</f>
        <v>-102.46256462400038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334</v>
      </c>
      <c r="C13" s="2">
        <f>K13-J13</f>
        <v>428</v>
      </c>
      <c r="D13" s="2">
        <f>G13-K13</f>
        <v>463</v>
      </c>
      <c r="E13" s="3">
        <v>398</v>
      </c>
      <c r="F13" s="2">
        <f>L13-E13</f>
        <v>400</v>
      </c>
      <c r="G13" s="3">
        <v>1687</v>
      </c>
      <c r="H13" s="33">
        <v>405</v>
      </c>
      <c r="I13" s="1"/>
      <c r="J13" s="3">
        <v>796</v>
      </c>
      <c r="K13" s="3">
        <v>1224</v>
      </c>
      <c r="L13" s="3">
        <v>798</v>
      </c>
      <c r="M13" s="1"/>
      <c r="N13" s="9" t="s">
        <v>335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8" t="s">
        <v>129</v>
      </c>
      <c r="C14" s="2" t="s">
        <v>100</v>
      </c>
      <c r="D14" s="2" t="s">
        <v>100</v>
      </c>
      <c r="E14" s="2" t="s">
        <v>100</v>
      </c>
      <c r="F14" s="2" t="s">
        <v>100</v>
      </c>
      <c r="G14" s="2" t="s">
        <v>100</v>
      </c>
      <c r="H14" s="7">
        <f>IF(AND(ISNUMBER(H13),ISNUMBER(C13)),H13-C13,"n/a")</f>
        <v>-23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8" t="s">
        <v>101</v>
      </c>
      <c r="C15" s="2" t="s">
        <v>100</v>
      </c>
      <c r="D15" s="2">
        <f>IF(AND(ISNUMBER(D13),ISNUMBER(C13)),D13-C13,"n/a")</f>
        <v>35</v>
      </c>
      <c r="E15" s="2">
        <f>IF(AND(ISNUMBER(E13),ISNUMBER(D13)),E13-D13,"n/a")</f>
        <v>-65</v>
      </c>
      <c r="F15" s="2">
        <f>IF(AND(ISNUMBER(F13),ISNUMBER(E13)),F13-E13,"n/a")</f>
        <v>2</v>
      </c>
      <c r="G15" s="2" t="s">
        <v>100</v>
      </c>
      <c r="H15" s="7">
        <f>IF(AND(ISNUMBER(H13),ISNUMBER(F13)),H13-F13,"n/a")</f>
        <v>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4" t="s">
        <v>336</v>
      </c>
      <c r="C16" s="2">
        <f>K16-J16</f>
        <v>74</v>
      </c>
      <c r="D16" s="2">
        <f>G16-K16</f>
        <v>89</v>
      </c>
      <c r="E16" s="3">
        <v>83</v>
      </c>
      <c r="F16" s="2">
        <f>L16-E16</f>
        <v>97</v>
      </c>
      <c r="G16" s="3">
        <v>304</v>
      </c>
      <c r="H16" s="33">
        <v>85</v>
      </c>
      <c r="I16" s="1"/>
      <c r="J16" s="3">
        <v>141</v>
      </c>
      <c r="K16" s="3">
        <v>215</v>
      </c>
      <c r="L16" s="3">
        <v>180</v>
      </c>
      <c r="M16" s="1"/>
      <c r="N16" s="9" t="s">
        <v>335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8" t="s">
        <v>129</v>
      </c>
      <c r="C17" s="2" t="s">
        <v>100</v>
      </c>
      <c r="D17" s="2" t="s">
        <v>100</v>
      </c>
      <c r="E17" s="2" t="s">
        <v>100</v>
      </c>
      <c r="F17" s="2" t="s">
        <v>100</v>
      </c>
      <c r="G17" s="2" t="s">
        <v>100</v>
      </c>
      <c r="H17" s="7">
        <f>IF(AND(ISNUMBER(H16),ISNUMBER(C16)),H16-C16,"n/a")</f>
        <v>11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101</v>
      </c>
      <c r="C18" s="2" t="s">
        <v>100</v>
      </c>
      <c r="D18" s="2">
        <f>IF(AND(ISNUMBER(D16),ISNUMBER(C16)),D16-C16,"n/a")</f>
        <v>15</v>
      </c>
      <c r="E18" s="2">
        <f>IF(AND(ISNUMBER(E16),ISNUMBER(D16)),E16-D16,"n/a")</f>
        <v>-6</v>
      </c>
      <c r="F18" s="2">
        <f>IF(AND(ISNUMBER(F16),ISNUMBER(E16)),F16-E16,"n/a")</f>
        <v>14</v>
      </c>
      <c r="G18" s="2" t="s">
        <v>100</v>
      </c>
      <c r="H18" s="7">
        <f>IF(AND(ISNUMBER(H16),ISNUMBER(F16)),H16-F16,"n/a")</f>
        <v>-12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" t="s">
        <v>302</v>
      </c>
      <c r="C19" s="2">
        <f>K19-J19</f>
        <v>633</v>
      </c>
      <c r="D19" s="2">
        <f>G19-K19</f>
        <v>300</v>
      </c>
      <c r="E19" s="3">
        <v>161</v>
      </c>
      <c r="F19" s="2">
        <f>L19-E19</f>
        <v>377</v>
      </c>
      <c r="G19" s="3">
        <v>372</v>
      </c>
      <c r="H19" s="33">
        <v>150</v>
      </c>
      <c r="I19" s="1"/>
      <c r="J19" s="3">
        <v>-561</v>
      </c>
      <c r="K19" s="3">
        <v>72</v>
      </c>
      <c r="L19" s="3">
        <v>538</v>
      </c>
      <c r="M19" s="1"/>
      <c r="N19" s="9" t="s">
        <v>335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8" t="s">
        <v>129</v>
      </c>
      <c r="C20" s="2" t="s">
        <v>100</v>
      </c>
      <c r="D20" s="2" t="s">
        <v>100</v>
      </c>
      <c r="E20" s="2" t="s">
        <v>100</v>
      </c>
      <c r="F20" s="2" t="s">
        <v>100</v>
      </c>
      <c r="G20" s="2" t="s">
        <v>100</v>
      </c>
      <c r="H20" s="7">
        <f>IF(AND(ISNUMBER(H19),ISNUMBER(C19)),H19-C19,"n/a")</f>
        <v>-483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8" t="s">
        <v>101</v>
      </c>
      <c r="C21" s="2" t="s">
        <v>100</v>
      </c>
      <c r="D21" s="2">
        <f>IF(AND(ISNUMBER(D19),ISNUMBER(C19)),D19-C19,"n/a")</f>
        <v>-333</v>
      </c>
      <c r="E21" s="2">
        <f>IF(AND(ISNUMBER(E19),ISNUMBER(D19)),E19-D19,"n/a")</f>
        <v>-139</v>
      </c>
      <c r="F21" s="2">
        <f>IF(AND(ISNUMBER(F19),ISNUMBER(E19)),F19-E19,"n/a")</f>
        <v>216</v>
      </c>
      <c r="G21" s="2" t="s">
        <v>100</v>
      </c>
      <c r="H21" s="7">
        <f>IF(AND(ISNUMBER(H19),ISNUMBER(F19)),H19-F19,"n/a")</f>
        <v>-227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4" t="s">
        <v>337</v>
      </c>
      <c r="C22" s="2">
        <f>K22-J22</f>
        <v>0</v>
      </c>
      <c r="D22" s="2">
        <f>G22-K22</f>
        <v>479</v>
      </c>
      <c r="E22" s="3">
        <v>0</v>
      </c>
      <c r="F22" s="2">
        <f>L22-E22</f>
        <v>0</v>
      </c>
      <c r="G22" s="3">
        <v>479</v>
      </c>
      <c r="H22" s="33">
        <v>0</v>
      </c>
      <c r="I22" s="1"/>
      <c r="J22" s="3">
        <v>0</v>
      </c>
      <c r="K22" s="3">
        <v>0</v>
      </c>
      <c r="L22" s="3">
        <v>0</v>
      </c>
      <c r="M22" s="1"/>
      <c r="N22" s="9" t="s">
        <v>335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8" t="s">
        <v>129</v>
      </c>
      <c r="C23" s="2" t="s">
        <v>100</v>
      </c>
      <c r="D23" s="2" t="s">
        <v>100</v>
      </c>
      <c r="E23" s="2" t="s">
        <v>100</v>
      </c>
      <c r="F23" s="2" t="s">
        <v>100</v>
      </c>
      <c r="G23" s="2" t="s">
        <v>100</v>
      </c>
      <c r="H23" s="7">
        <f>IF(AND(ISNUMBER(H22),ISNUMBER(C22)),H22-C22,"n/a")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101</v>
      </c>
      <c r="C24" s="2" t="s">
        <v>100</v>
      </c>
      <c r="D24" s="2">
        <f>IF(AND(ISNUMBER(D22),ISNUMBER(C22)),D22-C22,"n/a")</f>
        <v>479</v>
      </c>
      <c r="E24" s="2">
        <f>IF(AND(ISNUMBER(E22),ISNUMBER(D22)),E22-D22,"n/a")</f>
        <v>-479</v>
      </c>
      <c r="F24" s="2">
        <f>IF(AND(ISNUMBER(F22),ISNUMBER(E22)),F22-E22,"n/a")</f>
        <v>0</v>
      </c>
      <c r="G24" s="2" t="s">
        <v>100</v>
      </c>
      <c r="H24" s="7">
        <f>IF(AND(ISNUMBER(H22),ISNUMBER(F22)),H22-F22,"n/a")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" t="s">
        <v>236</v>
      </c>
      <c r="C25" s="2">
        <f>K25-J25</f>
        <v>0</v>
      </c>
      <c r="D25" s="2">
        <f>G25-K25</f>
        <v>0</v>
      </c>
      <c r="E25" s="3">
        <v>0</v>
      </c>
      <c r="F25" s="2">
        <f>L25-E25</f>
        <v>0</v>
      </c>
      <c r="G25" s="3">
        <v>66</v>
      </c>
      <c r="H25" s="33">
        <v>0</v>
      </c>
      <c r="I25" s="1"/>
      <c r="J25" s="3">
        <v>66</v>
      </c>
      <c r="K25" s="3">
        <v>66</v>
      </c>
      <c r="L25" s="3">
        <v>0</v>
      </c>
      <c r="M25" s="1"/>
      <c r="N25" s="9" t="s">
        <v>335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8" t="s">
        <v>129</v>
      </c>
      <c r="C26" s="2" t="s">
        <v>100</v>
      </c>
      <c r="D26" s="2" t="s">
        <v>100</v>
      </c>
      <c r="E26" s="2" t="s">
        <v>100</v>
      </c>
      <c r="F26" s="2" t="s">
        <v>100</v>
      </c>
      <c r="G26" s="2" t="s">
        <v>100</v>
      </c>
      <c r="H26" s="7">
        <f>IF(AND(ISNUMBER(H25),ISNUMBER(C25)),H25-C25,"n/a")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8" t="s">
        <v>101</v>
      </c>
      <c r="C27" s="2" t="s">
        <v>100</v>
      </c>
      <c r="D27" s="2">
        <f>IF(AND(ISNUMBER(D25),ISNUMBER(C25)),D25-C25,"n/a")</f>
        <v>0</v>
      </c>
      <c r="E27" s="2">
        <f>IF(AND(ISNUMBER(E25),ISNUMBER(D25)),E25-D25,"n/a")</f>
        <v>0</v>
      </c>
      <c r="F27" s="2">
        <f>IF(AND(ISNUMBER(F25),ISNUMBER(E25)),F25-E25,"n/a")</f>
        <v>0</v>
      </c>
      <c r="G27" s="2" t="s">
        <v>100</v>
      </c>
      <c r="H27" s="7">
        <f>IF(AND(ISNUMBER(H25),ISNUMBER(F25)),H25-F25,"n/a")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4" t="s">
        <v>338</v>
      </c>
      <c r="C28" s="2">
        <f>K28-J28</f>
        <v>0</v>
      </c>
      <c r="D28" s="2">
        <f>G28-K28</f>
        <v>0</v>
      </c>
      <c r="E28" s="3">
        <v>0</v>
      </c>
      <c r="F28" s="2">
        <f>L28-E28</f>
        <v>0</v>
      </c>
      <c r="G28" s="3">
        <v>1615</v>
      </c>
      <c r="H28" s="33">
        <v>0</v>
      </c>
      <c r="I28" s="1"/>
      <c r="J28" s="3">
        <v>1615</v>
      </c>
      <c r="K28" s="3">
        <v>1615</v>
      </c>
      <c r="L28" s="3">
        <v>0</v>
      </c>
      <c r="M28" s="1"/>
      <c r="N28" s="9" t="s">
        <v>335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8" t="s">
        <v>129</v>
      </c>
      <c r="C29" s="2" t="s">
        <v>100</v>
      </c>
      <c r="D29" s="2" t="s">
        <v>100</v>
      </c>
      <c r="E29" s="2" t="s">
        <v>100</v>
      </c>
      <c r="F29" s="2" t="s">
        <v>100</v>
      </c>
      <c r="G29" s="2" t="s">
        <v>100</v>
      </c>
      <c r="H29" s="7">
        <f>IF(AND(ISNUMBER(H28),ISNUMBER(C28)),H28-C28,"n/a")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8" t="s">
        <v>101</v>
      </c>
      <c r="C30" s="2" t="s">
        <v>100</v>
      </c>
      <c r="D30" s="2">
        <f>IF(AND(ISNUMBER(D28),ISNUMBER(C28)),D28-C28,"n/a")</f>
        <v>0</v>
      </c>
      <c r="E30" s="2">
        <f>IF(AND(ISNUMBER(E28),ISNUMBER(D28)),E28-D28,"n/a")</f>
        <v>0</v>
      </c>
      <c r="F30" s="2">
        <f>IF(AND(ISNUMBER(F28),ISNUMBER(E28)),F28-E28,"n/a")</f>
        <v>0</v>
      </c>
      <c r="G30" s="2" t="s">
        <v>100</v>
      </c>
      <c r="H30" s="7">
        <f>IF(AND(ISNUMBER(H28),ISNUMBER(F28)),H28-F28,"n/a")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4" t="s">
        <v>339</v>
      </c>
      <c r="C31" s="2">
        <f>K31-J31</f>
        <v>111</v>
      </c>
      <c r="D31" s="2">
        <f>G31-K31</f>
        <v>-749</v>
      </c>
      <c r="E31" s="3">
        <v>92</v>
      </c>
      <c r="F31" s="2">
        <f>L31-E31</f>
        <v>92</v>
      </c>
      <c r="G31" s="3">
        <v>-415</v>
      </c>
      <c r="H31" s="33">
        <v>92</v>
      </c>
      <c r="I31" s="1"/>
      <c r="J31" s="3">
        <v>223</v>
      </c>
      <c r="K31" s="3">
        <v>334</v>
      </c>
      <c r="L31" s="3">
        <v>184</v>
      </c>
      <c r="M31" s="1"/>
      <c r="N31" s="9" t="s">
        <v>335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8" t="s">
        <v>129</v>
      </c>
      <c r="C32" s="2" t="s">
        <v>100</v>
      </c>
      <c r="D32" s="2" t="s">
        <v>100</v>
      </c>
      <c r="E32" s="2" t="s">
        <v>100</v>
      </c>
      <c r="F32" s="2" t="s">
        <v>100</v>
      </c>
      <c r="G32" s="2" t="s">
        <v>100</v>
      </c>
      <c r="H32" s="7">
        <f>IF(AND(ISNUMBER(H31),ISNUMBER(C31)),H31-C31,"n/a")</f>
        <v>-19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8" t="s">
        <v>101</v>
      </c>
      <c r="C33" s="2" t="s">
        <v>100</v>
      </c>
      <c r="D33" s="2">
        <f>IF(AND(ISNUMBER(D31),ISNUMBER(C31)),D31-C31,"n/a")</f>
        <v>-860</v>
      </c>
      <c r="E33" s="2">
        <f>IF(AND(ISNUMBER(E31),ISNUMBER(D31)),E31-D31,"n/a")</f>
        <v>841</v>
      </c>
      <c r="F33" s="2">
        <f>IF(AND(ISNUMBER(F31),ISNUMBER(E31)),F31-E31,"n/a")</f>
        <v>0</v>
      </c>
      <c r="G33" s="2" t="s">
        <v>100</v>
      </c>
      <c r="H33" s="7">
        <f>IF(AND(ISNUMBER(H31),ISNUMBER(F31)),H31-F31,"n/a")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4" t="s">
        <v>293</v>
      </c>
      <c r="C34" s="2">
        <f>K34-J34</f>
        <v>-538</v>
      </c>
      <c r="D34" s="2">
        <f>G34-K34</f>
        <v>-57</v>
      </c>
      <c r="E34" s="3">
        <v>1579</v>
      </c>
      <c r="F34" s="2">
        <f>L34-E34</f>
        <v>-1034</v>
      </c>
      <c r="G34" s="3">
        <v>-1550</v>
      </c>
      <c r="H34" s="33">
        <v>-200</v>
      </c>
      <c r="I34" s="1"/>
      <c r="J34" s="3">
        <v>-955</v>
      </c>
      <c r="K34" s="3">
        <v>-1493</v>
      </c>
      <c r="L34" s="3">
        <v>545</v>
      </c>
      <c r="M34" s="1"/>
      <c r="N34" s="9" t="s">
        <v>335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8" t="s">
        <v>129</v>
      </c>
      <c r="C35" s="2" t="s">
        <v>100</v>
      </c>
      <c r="D35" s="2" t="s">
        <v>100</v>
      </c>
      <c r="E35" s="2" t="s">
        <v>100</v>
      </c>
      <c r="F35" s="2" t="s">
        <v>100</v>
      </c>
      <c r="G35" s="2" t="s">
        <v>100</v>
      </c>
      <c r="H35" s="7">
        <f>IF(AND(ISNUMBER(H34),ISNUMBER(C34)),H34-C34,"n/a")</f>
        <v>338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8" t="s">
        <v>101</v>
      </c>
      <c r="C36" s="2" t="s">
        <v>100</v>
      </c>
      <c r="D36" s="2">
        <f>IF(AND(ISNUMBER(D34),ISNUMBER(C34)),D34-C34,"n/a")</f>
        <v>481</v>
      </c>
      <c r="E36" s="2">
        <f>IF(AND(ISNUMBER(E34),ISNUMBER(D34)),E34-D34,"n/a")</f>
        <v>1636</v>
      </c>
      <c r="F36" s="2">
        <f>IF(AND(ISNUMBER(F34),ISNUMBER(E34)),F34-E34,"n/a")</f>
        <v>-2613</v>
      </c>
      <c r="G36" s="2" t="s">
        <v>100</v>
      </c>
      <c r="H36" s="7">
        <f>IF(AND(ISNUMBER(H34),ISNUMBER(F34)),H34-F34,"n/a")</f>
        <v>834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4" t="s">
        <v>294</v>
      </c>
      <c r="C37" s="2">
        <f>K37-J37</f>
        <v>947</v>
      </c>
      <c r="D37" s="2">
        <f>G37-K37</f>
        <v>948</v>
      </c>
      <c r="E37" s="3">
        <v>-2884</v>
      </c>
      <c r="F37" s="2">
        <f>L37-E37</f>
        <v>-153</v>
      </c>
      <c r="G37" s="3">
        <v>-283</v>
      </c>
      <c r="H37" s="33">
        <v>-600</v>
      </c>
      <c r="I37" s="1"/>
      <c r="J37" s="3">
        <v>-2178</v>
      </c>
      <c r="K37" s="3">
        <v>-1231</v>
      </c>
      <c r="L37" s="3">
        <v>-3037</v>
      </c>
      <c r="M37" s="1"/>
      <c r="N37" s="9" t="s">
        <v>335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8" t="s">
        <v>129</v>
      </c>
      <c r="C38" s="2" t="s">
        <v>100</v>
      </c>
      <c r="D38" s="2" t="s">
        <v>100</v>
      </c>
      <c r="E38" s="2" t="s">
        <v>100</v>
      </c>
      <c r="F38" s="2" t="s">
        <v>100</v>
      </c>
      <c r="G38" s="2" t="s">
        <v>100</v>
      </c>
      <c r="H38" s="7">
        <f>IF(AND(ISNUMBER(H37),ISNUMBER(C37)),H37-C37,"n/a")</f>
        <v>-1547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8" t="s">
        <v>101</v>
      </c>
      <c r="C39" s="2" t="s">
        <v>100</v>
      </c>
      <c r="D39" s="2">
        <f>IF(AND(ISNUMBER(D37),ISNUMBER(C37)),D37-C37,"n/a")</f>
        <v>1</v>
      </c>
      <c r="E39" s="2">
        <f>IF(AND(ISNUMBER(E37),ISNUMBER(D37)),E37-D37,"n/a")</f>
        <v>-3832</v>
      </c>
      <c r="F39" s="2">
        <f>IF(AND(ISNUMBER(F37),ISNUMBER(E37)),F37-E37,"n/a")</f>
        <v>2731</v>
      </c>
      <c r="G39" s="2" t="s">
        <v>100</v>
      </c>
      <c r="H39" s="7">
        <f>IF(AND(ISNUMBER(H37),ISNUMBER(F37)),H37-F37,"n/a")</f>
        <v>-447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4" t="s">
        <v>295</v>
      </c>
      <c r="C40" s="2">
        <f>K40-J40</f>
        <v>-50</v>
      </c>
      <c r="D40" s="2">
        <f>G40-K40</f>
        <v>225</v>
      </c>
      <c r="E40" s="3">
        <v>-727</v>
      </c>
      <c r="F40" s="2">
        <f>L40-E40</f>
        <v>-160</v>
      </c>
      <c r="G40" s="3">
        <v>-286</v>
      </c>
      <c r="H40" s="33">
        <v>-150</v>
      </c>
      <c r="I40" s="1"/>
      <c r="J40" s="3">
        <v>-461</v>
      </c>
      <c r="K40" s="3">
        <v>-511</v>
      </c>
      <c r="L40" s="3">
        <v>-887</v>
      </c>
      <c r="M40" s="1"/>
      <c r="N40" s="9" t="s">
        <v>335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8" t="s">
        <v>129</v>
      </c>
      <c r="C41" s="2" t="s">
        <v>100</v>
      </c>
      <c r="D41" s="2" t="s">
        <v>100</v>
      </c>
      <c r="E41" s="2" t="s">
        <v>100</v>
      </c>
      <c r="F41" s="2" t="s">
        <v>100</v>
      </c>
      <c r="G41" s="2" t="s">
        <v>100</v>
      </c>
      <c r="H41" s="7">
        <f>IF(AND(ISNUMBER(H40),ISNUMBER(C40)),H40-C40,"n/a")</f>
        <v>-100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8" t="s">
        <v>101</v>
      </c>
      <c r="C42" s="2" t="s">
        <v>100</v>
      </c>
      <c r="D42" s="2">
        <f>IF(AND(ISNUMBER(D40),ISNUMBER(C40)),D40-C40,"n/a")</f>
        <v>275</v>
      </c>
      <c r="E42" s="2">
        <f>IF(AND(ISNUMBER(E40),ISNUMBER(D40)),E40-D40,"n/a")</f>
        <v>-952</v>
      </c>
      <c r="F42" s="2">
        <f>IF(AND(ISNUMBER(F40),ISNUMBER(E40)),F40-E40,"n/a")</f>
        <v>567</v>
      </c>
      <c r="G42" s="2" t="s">
        <v>100</v>
      </c>
      <c r="H42" s="7">
        <f>IF(AND(ISNUMBER(H40),ISNUMBER(F40)),H40-F40,"n/a")</f>
        <v>10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4" t="s">
        <v>307</v>
      </c>
      <c r="C43" s="2">
        <f>K43-J43</f>
        <v>144</v>
      </c>
      <c r="D43" s="2">
        <f>G43-K43</f>
        <v>-303</v>
      </c>
      <c r="E43" s="3">
        <v>1222</v>
      </c>
      <c r="F43" s="2">
        <f>L43-E43</f>
        <v>187</v>
      </c>
      <c r="G43" s="3">
        <v>1341</v>
      </c>
      <c r="H43" s="33">
        <v>300</v>
      </c>
      <c r="I43" s="1"/>
      <c r="J43" s="3">
        <v>1500</v>
      </c>
      <c r="K43" s="3">
        <v>1644</v>
      </c>
      <c r="L43" s="3">
        <v>1409</v>
      </c>
      <c r="M43" s="1"/>
      <c r="N43" s="9" t="s">
        <v>335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8" t="s">
        <v>129</v>
      </c>
      <c r="C44" s="2" t="s">
        <v>100</v>
      </c>
      <c r="D44" s="2" t="s">
        <v>100</v>
      </c>
      <c r="E44" s="2" t="s">
        <v>100</v>
      </c>
      <c r="F44" s="2" t="s">
        <v>100</v>
      </c>
      <c r="G44" s="2" t="s">
        <v>100</v>
      </c>
      <c r="H44" s="7">
        <f>IF(AND(ISNUMBER(H43),ISNUMBER(C43)),H43-C43,"n/a")</f>
        <v>156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8" t="s">
        <v>101</v>
      </c>
      <c r="C45" s="2" t="s">
        <v>100</v>
      </c>
      <c r="D45" s="2">
        <f>IF(AND(ISNUMBER(D43),ISNUMBER(C43)),D43-C43,"n/a")</f>
        <v>-447</v>
      </c>
      <c r="E45" s="2">
        <f>IF(AND(ISNUMBER(E43),ISNUMBER(D43)),E43-D43,"n/a")</f>
        <v>1525</v>
      </c>
      <c r="F45" s="2">
        <f>IF(AND(ISNUMBER(F43),ISNUMBER(E43)),F43-E43,"n/a")</f>
        <v>-1035</v>
      </c>
      <c r="G45" s="2" t="s">
        <v>100</v>
      </c>
      <c r="H45" s="7">
        <f>IF(AND(ISNUMBER(H43),ISNUMBER(F43)),H43-F43,"n/a")</f>
        <v>113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" t="s">
        <v>309</v>
      </c>
      <c r="C46" s="2">
        <f>K46-J46</f>
        <v>398</v>
      </c>
      <c r="D46" s="2">
        <f>G46-K46</f>
        <v>1181</v>
      </c>
      <c r="E46" s="3">
        <v>-705</v>
      </c>
      <c r="F46" s="2">
        <f>L46-E46</f>
        <v>1416</v>
      </c>
      <c r="G46" s="3">
        <v>1219</v>
      </c>
      <c r="H46" s="33">
        <v>700</v>
      </c>
      <c r="I46" s="1"/>
      <c r="J46" s="3">
        <v>-360</v>
      </c>
      <c r="K46" s="3">
        <v>38</v>
      </c>
      <c r="L46" s="3">
        <v>711</v>
      </c>
      <c r="M46" s="1"/>
      <c r="N46" s="9" t="s">
        <v>335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8" t="s">
        <v>129</v>
      </c>
      <c r="C47" s="2" t="s">
        <v>100</v>
      </c>
      <c r="D47" s="2" t="s">
        <v>100</v>
      </c>
      <c r="E47" s="2" t="s">
        <v>100</v>
      </c>
      <c r="F47" s="2" t="s">
        <v>100</v>
      </c>
      <c r="G47" s="2" t="s">
        <v>100</v>
      </c>
      <c r="H47" s="7">
        <f>IF(AND(ISNUMBER(H46),ISNUMBER(C46)),H46-C46,"n/a")</f>
        <v>302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8" t="s">
        <v>101</v>
      </c>
      <c r="C48" s="2" t="s">
        <v>100</v>
      </c>
      <c r="D48" s="2">
        <f>IF(AND(ISNUMBER(D46),ISNUMBER(C46)),D46-C46,"n/a")</f>
        <v>783</v>
      </c>
      <c r="E48" s="2">
        <f>IF(AND(ISNUMBER(E46),ISNUMBER(D46)),E46-D46,"n/a")</f>
        <v>-1886</v>
      </c>
      <c r="F48" s="2">
        <f>IF(AND(ISNUMBER(F46),ISNUMBER(E46)),F46-E46,"n/a")</f>
        <v>2121</v>
      </c>
      <c r="G48" s="2" t="s">
        <v>100</v>
      </c>
      <c r="H48" s="7">
        <f>IF(AND(ISNUMBER(H46),ISNUMBER(F46)),H46-F46,"n/a")</f>
        <v>-716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4" t="s">
        <v>340</v>
      </c>
      <c r="C49" s="2">
        <f>K49-J49</f>
        <v>-351</v>
      </c>
      <c r="D49" s="2">
        <f>G49-K49</f>
        <v>-155</v>
      </c>
      <c r="E49" s="3">
        <v>103</v>
      </c>
      <c r="F49" s="2">
        <f>L49-E49</f>
        <v>-60</v>
      </c>
      <c r="G49" s="3">
        <v>-255</v>
      </c>
      <c r="H49" s="33">
        <v>100</v>
      </c>
      <c r="I49" s="1"/>
      <c r="J49" s="3">
        <v>251</v>
      </c>
      <c r="K49" s="3">
        <v>-100</v>
      </c>
      <c r="L49" s="3">
        <v>43</v>
      </c>
      <c r="M49" s="1"/>
      <c r="N49" s="9" t="s">
        <v>335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8" t="s">
        <v>129</v>
      </c>
      <c r="C50" s="2" t="s">
        <v>100</v>
      </c>
      <c r="D50" s="2" t="s">
        <v>100</v>
      </c>
      <c r="E50" s="2" t="s">
        <v>100</v>
      </c>
      <c r="F50" s="2" t="s">
        <v>100</v>
      </c>
      <c r="G50" s="2" t="s">
        <v>100</v>
      </c>
      <c r="H50" s="7">
        <f>IF(AND(ISNUMBER(H49),ISNUMBER(C49)),H49-C49,"n/a")</f>
        <v>451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8" t="s">
        <v>101</v>
      </c>
      <c r="C51" s="2" t="s">
        <v>100</v>
      </c>
      <c r="D51" s="2">
        <f>IF(AND(ISNUMBER(D49),ISNUMBER(C49)),D49-C49,"n/a")</f>
        <v>196</v>
      </c>
      <c r="E51" s="2">
        <f>IF(AND(ISNUMBER(E49),ISNUMBER(D49)),E49-D49,"n/a")</f>
        <v>258</v>
      </c>
      <c r="F51" s="2">
        <f>IF(AND(ISNUMBER(F49),ISNUMBER(E49)),F49-E49,"n/a")</f>
        <v>-163</v>
      </c>
      <c r="G51" s="2" t="s">
        <v>100</v>
      </c>
      <c r="H51" s="7">
        <f>IF(AND(ISNUMBER(H49),ISNUMBER(F49)),H49-F49,"n/a")</f>
        <v>160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4" t="s">
        <v>341</v>
      </c>
      <c r="C52" s="2">
        <f>K52-J52</f>
        <v>313</v>
      </c>
      <c r="D52" s="2">
        <f>G52-K52</f>
        <v>-546</v>
      </c>
      <c r="E52" s="3">
        <v>-590</v>
      </c>
      <c r="F52" s="2">
        <f>L52-E52</f>
        <v>237</v>
      </c>
      <c r="G52" s="3">
        <v>-754</v>
      </c>
      <c r="H52" s="33">
        <v>0</v>
      </c>
      <c r="I52" s="1"/>
      <c r="J52" s="3">
        <v>-521</v>
      </c>
      <c r="K52" s="3">
        <v>-208</v>
      </c>
      <c r="L52" s="3">
        <v>-353</v>
      </c>
      <c r="M52" s="1"/>
      <c r="N52" s="9" t="s">
        <v>335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8" t="s">
        <v>129</v>
      </c>
      <c r="C53" s="2" t="s">
        <v>100</v>
      </c>
      <c r="D53" s="2" t="s">
        <v>100</v>
      </c>
      <c r="E53" s="2" t="s">
        <v>100</v>
      </c>
      <c r="F53" s="2" t="s">
        <v>100</v>
      </c>
      <c r="G53" s="2" t="s">
        <v>100</v>
      </c>
      <c r="H53" s="7">
        <f>IF(AND(ISNUMBER(H52),ISNUMBER(C52)),H52-C52,"n/a")</f>
        <v>-313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8" t="s">
        <v>101</v>
      </c>
      <c r="C54" s="2" t="s">
        <v>100</v>
      </c>
      <c r="D54" s="2">
        <f>IF(AND(ISNUMBER(D52),ISNUMBER(C52)),D52-C52,"n/a")</f>
        <v>-859</v>
      </c>
      <c r="E54" s="2">
        <f>IF(AND(ISNUMBER(E52),ISNUMBER(D52)),E52-D52,"n/a")</f>
        <v>-44</v>
      </c>
      <c r="F54" s="2">
        <f>IF(AND(ISNUMBER(F52),ISNUMBER(E52)),F52-E52,"n/a")</f>
        <v>827</v>
      </c>
      <c r="G54" s="2" t="s">
        <v>100</v>
      </c>
      <c r="H54" s="7">
        <f>IF(AND(ISNUMBER(H52),ISNUMBER(F52)),H52-F52,"n/a")</f>
        <v>-237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46" t="s">
        <v>342</v>
      </c>
      <c r="C55" s="14">
        <f>C10+C13+C16+C19+C22+C25+C28+C31+C34+C37+C40+C43+C46+C49+C52</f>
        <v>3728</v>
      </c>
      <c r="D55" s="14">
        <f>D10+D13+D16+D19+D22+D25+D28+D31+D34+D37+D40+D43+D46+D49+D52</f>
        <v>3219</v>
      </c>
      <c r="E55" s="14">
        <f>E10+E13+E16+E19+E22+E25+E28+E31+E34+E37+E40+E43+E46+E49+E52</f>
        <v>220</v>
      </c>
      <c r="F55" s="14">
        <f>F10+F13+F16+F19+F22+F25+F28+F31+F34+F37+F40+F43+F46+F49+F52</f>
        <v>3235</v>
      </c>
      <c r="G55" s="14">
        <f>G10+G13+G16+G19+G22+G25+G28+G31+G34+G37+G40+G43+G46+G49+G52</f>
        <v>8557</v>
      </c>
      <c r="H55" s="48">
        <f>H10+H13+H16+H19+H22+H25+H28+H31+H34+H37+H40+H43+H46+H49+H52</f>
        <v>2615.537435376</v>
      </c>
      <c r="I55" s="1"/>
      <c r="J55" s="14">
        <f>J10+J13+J16+J19+J22+J25+J28+J31+J34+J37+J40+J43+J46+J49+J52</f>
        <v>1610</v>
      </c>
      <c r="K55" s="14">
        <f>K10+K13+K16+K19+K22+K25+K28+K31+K34+K37+K40+K43+K46+K49+K52</f>
        <v>5338</v>
      </c>
      <c r="L55" s="14">
        <f>L10+L13+L16+L19+L22+L25+L28+L31+L34+L37+L40+L43+L46+L49+L52</f>
        <v>3455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4" t="s">
        <v>129</v>
      </c>
      <c r="C56" s="2" t="s">
        <v>100</v>
      </c>
      <c r="D56" s="2" t="s">
        <v>100</v>
      </c>
      <c r="E56" s="2" t="s">
        <v>100</v>
      </c>
      <c r="F56" s="2" t="s">
        <v>100</v>
      </c>
      <c r="G56" s="2" t="s">
        <v>100</v>
      </c>
      <c r="H56" s="7">
        <f>IF(AND(ISNUMBER(H55),ISNUMBER(C55)),H55-C55,"n/a")</f>
        <v>-1112.4625646240002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4" t="s">
        <v>101</v>
      </c>
      <c r="C57" s="2" t="s">
        <v>100</v>
      </c>
      <c r="D57" s="2">
        <f>IF(AND(ISNUMBER(D55),ISNUMBER(C55)),D55-C55,"n/a")</f>
        <v>-509</v>
      </c>
      <c r="E57" s="2">
        <f>IF(AND(ISNUMBER(E55),ISNUMBER(D55)),E55-D55,"n/a")</f>
        <v>-2999</v>
      </c>
      <c r="F57" s="2">
        <f>IF(AND(ISNUMBER(F55),ISNUMBER(E55)),F55-E55,"n/a")</f>
        <v>3015</v>
      </c>
      <c r="G57" s="2" t="s">
        <v>100</v>
      </c>
      <c r="H57" s="7">
        <f>IF(AND(ISNUMBER(H55),ISNUMBER(F55)),H55-F55,"n/a")</f>
        <v>-619.4625646240002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3" t="s">
        <v>343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4" t="s">
        <v>344</v>
      </c>
      <c r="C59" s="2">
        <f>K59-J59</f>
        <v>-381</v>
      </c>
      <c r="D59" s="2">
        <f>G59-K59</f>
        <v>-463</v>
      </c>
      <c r="E59" s="3">
        <v>-511</v>
      </c>
      <c r="F59" s="2">
        <f>L59-E59</f>
        <v>-318</v>
      </c>
      <c r="G59" s="3">
        <v>-1649</v>
      </c>
      <c r="H59" s="33">
        <v>-600</v>
      </c>
      <c r="I59" s="1"/>
      <c r="J59" s="3">
        <v>-805</v>
      </c>
      <c r="K59" s="3">
        <v>-1186</v>
      </c>
      <c r="L59" s="3">
        <v>-829</v>
      </c>
      <c r="M59" s="1"/>
      <c r="N59" s="9" t="s">
        <v>335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8" t="s">
        <v>129</v>
      </c>
      <c r="C60" s="2" t="s">
        <v>100</v>
      </c>
      <c r="D60" s="2" t="s">
        <v>100</v>
      </c>
      <c r="E60" s="2" t="s">
        <v>100</v>
      </c>
      <c r="F60" s="2" t="s">
        <v>100</v>
      </c>
      <c r="G60" s="2" t="s">
        <v>100</v>
      </c>
      <c r="H60" s="7">
        <f>IF(AND(ISNUMBER(H59),ISNUMBER(C59)),H59-C59,"n/a")</f>
        <v>-219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8" t="s">
        <v>101</v>
      </c>
      <c r="C61" s="2" t="s">
        <v>100</v>
      </c>
      <c r="D61" s="2">
        <f>IF(AND(ISNUMBER(D59),ISNUMBER(C59)),D59-C59,"n/a")</f>
        <v>-82</v>
      </c>
      <c r="E61" s="2">
        <f>IF(AND(ISNUMBER(E59),ISNUMBER(D59)),E59-D59,"n/a")</f>
        <v>-48</v>
      </c>
      <c r="F61" s="2">
        <f>IF(AND(ISNUMBER(F59),ISNUMBER(E59)),F59-E59,"n/a")</f>
        <v>193</v>
      </c>
      <c r="G61" s="2" t="s">
        <v>100</v>
      </c>
      <c r="H61" s="7">
        <f>IF(AND(ISNUMBER(H59),ISNUMBER(F59)),H59-F59,"n/a")</f>
        <v>-282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4" t="s">
        <v>345</v>
      </c>
      <c r="C62" s="2">
        <f>K62-J62</f>
        <v>62</v>
      </c>
      <c r="D62" s="2">
        <f>G62-K62</f>
        <v>-50</v>
      </c>
      <c r="E62" s="3">
        <v>-30</v>
      </c>
      <c r="F62" s="2">
        <f>L62-E62</f>
        <v>-31</v>
      </c>
      <c r="G62" s="3">
        <v>-328</v>
      </c>
      <c r="H62" s="33">
        <v>-30</v>
      </c>
      <c r="I62" s="1"/>
      <c r="J62" s="3">
        <v>-340</v>
      </c>
      <c r="K62" s="3">
        <v>-278</v>
      </c>
      <c r="L62" s="3">
        <v>-61</v>
      </c>
      <c r="M62" s="1"/>
      <c r="N62" s="9" t="s">
        <v>335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8" t="s">
        <v>129</v>
      </c>
      <c r="C63" s="2" t="s">
        <v>100</v>
      </c>
      <c r="D63" s="2" t="s">
        <v>100</v>
      </c>
      <c r="E63" s="2" t="s">
        <v>100</v>
      </c>
      <c r="F63" s="2" t="s">
        <v>100</v>
      </c>
      <c r="G63" s="2" t="s">
        <v>100</v>
      </c>
      <c r="H63" s="7">
        <f>IF(AND(ISNUMBER(H62),ISNUMBER(C62)),H62-C62,"n/a")</f>
        <v>-92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8" t="s">
        <v>101</v>
      </c>
      <c r="C64" s="2" t="s">
        <v>100</v>
      </c>
      <c r="D64" s="2">
        <f>IF(AND(ISNUMBER(D62),ISNUMBER(C62)),D62-C62,"n/a")</f>
        <v>-112</v>
      </c>
      <c r="E64" s="2">
        <f>IF(AND(ISNUMBER(E62),ISNUMBER(D62)),E62-D62,"n/a")</f>
        <v>20</v>
      </c>
      <c r="F64" s="2">
        <f>IF(AND(ISNUMBER(F62),ISNUMBER(E62)),F62-E62,"n/a")</f>
        <v>-1</v>
      </c>
      <c r="G64" s="2" t="s">
        <v>100</v>
      </c>
      <c r="H64" s="7">
        <f>IF(AND(ISNUMBER(H62),ISNUMBER(F62)),H62-F62,"n/a")</f>
        <v>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46" t="s">
        <v>346</v>
      </c>
      <c r="C65" s="14">
        <f>C59+C62</f>
        <v>-319</v>
      </c>
      <c r="D65" s="14">
        <f>D59+D62</f>
        <v>-513</v>
      </c>
      <c r="E65" s="14">
        <f>E59+E62</f>
        <v>-541</v>
      </c>
      <c r="F65" s="14">
        <f>F59+F62</f>
        <v>-349</v>
      </c>
      <c r="G65" s="14">
        <f>G59+G62</f>
        <v>-1977</v>
      </c>
      <c r="H65" s="48">
        <f>H59+H62</f>
        <v>-630</v>
      </c>
      <c r="I65" s="1"/>
      <c r="J65" s="14">
        <f>J59+J62</f>
        <v>-1145</v>
      </c>
      <c r="K65" s="14">
        <f>K59+K62</f>
        <v>-1464</v>
      </c>
      <c r="L65" s="14">
        <f>L59+L62</f>
        <v>-890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4" t="s">
        <v>129</v>
      </c>
      <c r="C66" s="2" t="s">
        <v>100</v>
      </c>
      <c r="D66" s="2" t="s">
        <v>100</v>
      </c>
      <c r="E66" s="2" t="s">
        <v>100</v>
      </c>
      <c r="F66" s="2" t="s">
        <v>100</v>
      </c>
      <c r="G66" s="2" t="s">
        <v>100</v>
      </c>
      <c r="H66" s="7">
        <f>IF(AND(ISNUMBER(H65),ISNUMBER(C65)),H65-C65,"n/a")</f>
        <v>-311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4" t="s">
        <v>101</v>
      </c>
      <c r="C67" s="2" t="s">
        <v>100</v>
      </c>
      <c r="D67" s="2">
        <f>IF(AND(ISNUMBER(D65),ISNUMBER(C65)),D65-C65,"n/a")</f>
        <v>-194</v>
      </c>
      <c r="E67" s="2">
        <f>IF(AND(ISNUMBER(E65),ISNUMBER(D65)),E65-D65,"n/a")</f>
        <v>-28</v>
      </c>
      <c r="F67" s="2">
        <f>IF(AND(ISNUMBER(F65),ISNUMBER(E65)),F65-E65,"n/a")</f>
        <v>192</v>
      </c>
      <c r="G67" s="2" t="s">
        <v>100</v>
      </c>
      <c r="H67" s="7">
        <f>IF(AND(ISNUMBER(H65),ISNUMBER(F65)),H65-F65,"n/a")</f>
        <v>-281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3" t="s">
        <v>347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4" t="s">
        <v>348</v>
      </c>
      <c r="C69" s="2">
        <f>K69-J69</f>
        <v>1985</v>
      </c>
      <c r="D69" s="2">
        <f>G69-K69</f>
        <v>0</v>
      </c>
      <c r="E69" s="3">
        <v>0</v>
      </c>
      <c r="F69" s="2">
        <f>L69-E69</f>
        <v>0</v>
      </c>
      <c r="G69" s="3">
        <v>1985</v>
      </c>
      <c r="H69" s="33">
        <v>0</v>
      </c>
      <c r="I69" s="1"/>
      <c r="J69" s="3">
        <v>0</v>
      </c>
      <c r="K69" s="3">
        <v>1985</v>
      </c>
      <c r="L69" s="3">
        <v>0</v>
      </c>
      <c r="M69" s="1"/>
      <c r="N69" s="9" t="s">
        <v>335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8" t="s">
        <v>129</v>
      </c>
      <c r="C70" s="2" t="s">
        <v>100</v>
      </c>
      <c r="D70" s="2" t="s">
        <v>100</v>
      </c>
      <c r="E70" s="2" t="s">
        <v>100</v>
      </c>
      <c r="F70" s="2" t="s">
        <v>100</v>
      </c>
      <c r="G70" s="2" t="s">
        <v>100</v>
      </c>
      <c r="H70" s="7">
        <f>IF(AND(ISNUMBER(H69),ISNUMBER(C69)),H69-C69,"n/a")</f>
        <v>-1985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8" t="s">
        <v>101</v>
      </c>
      <c r="C71" s="2" t="s">
        <v>100</v>
      </c>
      <c r="D71" s="2">
        <f>IF(AND(ISNUMBER(D69),ISNUMBER(C69)),D69-C69,"n/a")</f>
        <v>-1985</v>
      </c>
      <c r="E71" s="2">
        <f>IF(AND(ISNUMBER(E69),ISNUMBER(D69)),E69-D69,"n/a")</f>
        <v>0</v>
      </c>
      <c r="F71" s="2">
        <f>IF(AND(ISNUMBER(F69),ISNUMBER(E69)),F69-E69,"n/a")</f>
        <v>0</v>
      </c>
      <c r="G71" s="2" t="s">
        <v>100</v>
      </c>
      <c r="H71" s="7">
        <f>IF(AND(ISNUMBER(H69),ISNUMBER(F69)),H69-F69,"n/a")</f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4" t="s">
        <v>349</v>
      </c>
      <c r="C72" s="2">
        <f>K72-J72</f>
        <v>0</v>
      </c>
      <c r="D72" s="2">
        <f>G72-K72</f>
        <v>-500</v>
      </c>
      <c r="E72" s="3">
        <v>-1000</v>
      </c>
      <c r="F72" s="2">
        <f>L72-E72</f>
        <v>-168</v>
      </c>
      <c r="G72" s="3">
        <v>-642</v>
      </c>
      <c r="H72" s="33">
        <v>0</v>
      </c>
      <c r="I72" s="1"/>
      <c r="J72" s="3">
        <v>-142</v>
      </c>
      <c r="K72" s="3">
        <v>-142</v>
      </c>
      <c r="L72" s="3">
        <v>-1168</v>
      </c>
      <c r="M72" s="1"/>
      <c r="N72" s="9" t="s">
        <v>335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8" t="s">
        <v>129</v>
      </c>
      <c r="C73" s="2" t="s">
        <v>100</v>
      </c>
      <c r="D73" s="2" t="s">
        <v>100</v>
      </c>
      <c r="E73" s="2" t="s">
        <v>100</v>
      </c>
      <c r="F73" s="2" t="s">
        <v>100</v>
      </c>
      <c r="G73" s="2" t="s">
        <v>100</v>
      </c>
      <c r="H73" s="7">
        <f>IF(AND(ISNUMBER(H72),ISNUMBER(C72)),H72-C72,"n/a")</f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8" t="s">
        <v>101</v>
      </c>
      <c r="C74" s="2" t="s">
        <v>100</v>
      </c>
      <c r="D74" s="2">
        <f>IF(AND(ISNUMBER(D72),ISNUMBER(C72)),D72-C72,"n/a")</f>
        <v>-500</v>
      </c>
      <c r="E74" s="2">
        <f>IF(AND(ISNUMBER(E72),ISNUMBER(D72)),E72-D72,"n/a")</f>
        <v>-500</v>
      </c>
      <c r="F74" s="2">
        <f>IF(AND(ISNUMBER(F72),ISNUMBER(E72)),F72-E72,"n/a")</f>
        <v>832</v>
      </c>
      <c r="G74" s="2" t="s">
        <v>100</v>
      </c>
      <c r="H74" s="7">
        <f>IF(AND(ISNUMBER(H72),ISNUMBER(F72)),H72-F72,"n/a")</f>
        <v>168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4" t="s">
        <v>350</v>
      </c>
      <c r="C75" s="2">
        <f>K75-J75</f>
        <v>-1449</v>
      </c>
      <c r="D75" s="2">
        <f>G75-K75</f>
        <v>0</v>
      </c>
      <c r="E75" s="3">
        <v>0</v>
      </c>
      <c r="F75" s="2">
        <f>L75-E75</f>
        <v>0</v>
      </c>
      <c r="G75" s="3">
        <v>0</v>
      </c>
      <c r="H75" s="33">
        <v>0</v>
      </c>
      <c r="I75" s="1"/>
      <c r="J75" s="3">
        <v>1449</v>
      </c>
      <c r="K75" s="3">
        <v>0</v>
      </c>
      <c r="L75" s="3">
        <v>0</v>
      </c>
      <c r="M75" s="1"/>
      <c r="N75" s="9" t="s">
        <v>335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8" t="s">
        <v>129</v>
      </c>
      <c r="C76" s="2" t="s">
        <v>100</v>
      </c>
      <c r="D76" s="2" t="s">
        <v>100</v>
      </c>
      <c r="E76" s="2" t="s">
        <v>100</v>
      </c>
      <c r="F76" s="2" t="s">
        <v>100</v>
      </c>
      <c r="G76" s="2" t="s">
        <v>100</v>
      </c>
      <c r="H76" s="7">
        <f>IF(AND(ISNUMBER(H75),ISNUMBER(C75)),H75-C75,"n/a")</f>
        <v>1449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8" t="s">
        <v>101</v>
      </c>
      <c r="C77" s="2" t="s">
        <v>100</v>
      </c>
      <c r="D77" s="2">
        <f>IF(AND(ISNUMBER(D75),ISNUMBER(C75)),D75-C75,"n/a")</f>
        <v>1449</v>
      </c>
      <c r="E77" s="2">
        <f>IF(AND(ISNUMBER(E75),ISNUMBER(D75)),E75-D75,"n/a")</f>
        <v>0</v>
      </c>
      <c r="F77" s="2">
        <f>IF(AND(ISNUMBER(F75),ISNUMBER(E75)),F75-E75,"n/a")</f>
        <v>0</v>
      </c>
      <c r="G77" s="2" t="s">
        <v>100</v>
      </c>
      <c r="H77" s="7">
        <f>IF(AND(ISNUMBER(H75),ISNUMBER(F75)),H75-F75,"n/a")</f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4" t="s">
        <v>351</v>
      </c>
      <c r="C78" s="2">
        <f>K78-J78</f>
        <v>-1000</v>
      </c>
      <c r="D78" s="2">
        <f>G78-K78</f>
        <v>-750</v>
      </c>
      <c r="E78" s="3">
        <v>0</v>
      </c>
      <c r="F78" s="2">
        <f>L78-E78</f>
        <v>0</v>
      </c>
      <c r="G78" s="3">
        <v>-3000</v>
      </c>
      <c r="H78" s="33">
        <v>0</v>
      </c>
      <c r="I78" s="1"/>
      <c r="J78" s="3">
        <v>-1250</v>
      </c>
      <c r="K78" s="3">
        <v>-2250</v>
      </c>
      <c r="L78" s="3">
        <v>0</v>
      </c>
      <c r="M78" s="1"/>
      <c r="N78" s="9" t="s">
        <v>335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8" t="s">
        <v>129</v>
      </c>
      <c r="C79" s="2" t="s">
        <v>100</v>
      </c>
      <c r="D79" s="2" t="s">
        <v>100</v>
      </c>
      <c r="E79" s="2" t="s">
        <v>100</v>
      </c>
      <c r="F79" s="2" t="s">
        <v>100</v>
      </c>
      <c r="G79" s="2" t="s">
        <v>100</v>
      </c>
      <c r="H79" s="7">
        <f>IF(AND(ISNUMBER(H78),ISNUMBER(C78)),H78-C78,"n/a")</f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8" t="s">
        <v>101</v>
      </c>
      <c r="C80" s="2" t="s">
        <v>100</v>
      </c>
      <c r="D80" s="2">
        <f>IF(AND(ISNUMBER(D78),ISNUMBER(C78)),D78-C78,"n/a")</f>
        <v>250</v>
      </c>
      <c r="E80" s="2">
        <f>IF(AND(ISNUMBER(E78),ISNUMBER(D78)),E78-D78,"n/a")</f>
        <v>750</v>
      </c>
      <c r="F80" s="2">
        <f>IF(AND(ISNUMBER(F78),ISNUMBER(E78)),F78-E78,"n/a")</f>
        <v>0</v>
      </c>
      <c r="G80" s="2" t="s">
        <v>100</v>
      </c>
      <c r="H80" s="7">
        <f>IF(AND(ISNUMBER(H78),ISNUMBER(F78)),H78-F78,"n/a")</f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4" t="s">
        <v>352</v>
      </c>
      <c r="C81" s="2">
        <f>K81-J81</f>
        <v>-765</v>
      </c>
      <c r="D81" s="2">
        <f>G81-K81</f>
        <v>-799</v>
      </c>
      <c r="E81" s="3">
        <v>-816</v>
      </c>
      <c r="F81" s="2">
        <f>L81-E81</f>
        <v>-796</v>
      </c>
      <c r="G81" s="3">
        <v>-3131</v>
      </c>
      <c r="H81" s="34">
        <f>-'Share Count'!H35*'Share Count'!H38</f>
        <v>-796.22809785</v>
      </c>
      <c r="I81" s="1"/>
      <c r="J81" s="3">
        <v>-1567</v>
      </c>
      <c r="K81" s="3">
        <v>-2332</v>
      </c>
      <c r="L81" s="3">
        <v>-1612</v>
      </c>
      <c r="M81" s="1"/>
      <c r="N81" s="9" t="s">
        <v>335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8" t="s">
        <v>129</v>
      </c>
      <c r="C82" s="2" t="s">
        <v>100</v>
      </c>
      <c r="D82" s="2" t="s">
        <v>100</v>
      </c>
      <c r="E82" s="2" t="s">
        <v>100</v>
      </c>
      <c r="F82" s="2" t="s">
        <v>100</v>
      </c>
      <c r="G82" s="2" t="s">
        <v>100</v>
      </c>
      <c r="H82" s="7">
        <f>IF(AND(ISNUMBER(H81),ISNUMBER(C81)),H81-C81,"n/a")</f>
        <v>-31.22809785000004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8" t="s">
        <v>101</v>
      </c>
      <c r="C83" s="2" t="s">
        <v>100</v>
      </c>
      <c r="D83" s="2">
        <f>IF(AND(ISNUMBER(D81),ISNUMBER(C81)),D81-C81,"n/a")</f>
        <v>-34</v>
      </c>
      <c r="E83" s="2">
        <f>IF(AND(ISNUMBER(E81),ISNUMBER(D81)),E81-D81,"n/a")</f>
        <v>-17</v>
      </c>
      <c r="F83" s="2">
        <f>IF(AND(ISNUMBER(F81),ISNUMBER(E81)),F81-E81,"n/a")</f>
        <v>20</v>
      </c>
      <c r="G83" s="2" t="s">
        <v>100</v>
      </c>
      <c r="H83" s="7">
        <f>IF(AND(ISNUMBER(H81),ISNUMBER(F81)),H81-F81,"n/a")</f>
        <v>-0.22809785000004013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4" t="s">
        <v>353</v>
      </c>
      <c r="C84" s="2">
        <f>K84-J84</f>
        <v>-3</v>
      </c>
      <c r="D84" s="2">
        <f>G84-K84</f>
        <v>-6</v>
      </c>
      <c r="E84" s="3">
        <v>-90</v>
      </c>
      <c r="F84" s="2">
        <f>L84-E84</f>
        <v>-25</v>
      </c>
      <c r="G84" s="3">
        <v>-154</v>
      </c>
      <c r="H84" s="33">
        <v>-20</v>
      </c>
      <c r="I84" s="1"/>
      <c r="J84" s="3">
        <v>-145</v>
      </c>
      <c r="K84" s="3">
        <v>-148</v>
      </c>
      <c r="L84" s="3">
        <v>-115</v>
      </c>
      <c r="M84" s="1"/>
      <c r="N84" s="9" t="s">
        <v>335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8" t="s">
        <v>129</v>
      </c>
      <c r="C85" s="2" t="s">
        <v>100</v>
      </c>
      <c r="D85" s="2" t="s">
        <v>100</v>
      </c>
      <c r="E85" s="2" t="s">
        <v>100</v>
      </c>
      <c r="F85" s="2" t="s">
        <v>100</v>
      </c>
      <c r="G85" s="2" t="s">
        <v>100</v>
      </c>
      <c r="H85" s="7">
        <f>IF(AND(ISNUMBER(H84),ISNUMBER(C84)),H84-C84,"n/a")</f>
        <v>-17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8" t="s">
        <v>101</v>
      </c>
      <c r="C86" s="2" t="s">
        <v>100</v>
      </c>
      <c r="D86" s="2">
        <f>IF(AND(ISNUMBER(D84),ISNUMBER(C84)),D84-C84,"n/a")</f>
        <v>-3</v>
      </c>
      <c r="E86" s="2">
        <f>IF(AND(ISNUMBER(E84),ISNUMBER(D84)),E84-D84,"n/a")</f>
        <v>-84</v>
      </c>
      <c r="F86" s="2">
        <f>IF(AND(ISNUMBER(F84),ISNUMBER(E84)),F84-E84,"n/a")</f>
        <v>65</v>
      </c>
      <c r="G86" s="2" t="s">
        <v>100</v>
      </c>
      <c r="H86" s="7">
        <f>IF(AND(ISNUMBER(H84),ISNUMBER(F84)),H84-F84,"n/a")</f>
        <v>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46" t="s">
        <v>354</v>
      </c>
      <c r="C87" s="14">
        <f>C69+C72+C75+C78+C81+C84</f>
        <v>-1232</v>
      </c>
      <c r="D87" s="14">
        <f>D69+D72+D75+D78+D81+D84</f>
        <v>-2055</v>
      </c>
      <c r="E87" s="14">
        <f>E69+E72+E75+E78+E81+E84</f>
        <v>-1906</v>
      </c>
      <c r="F87" s="14">
        <f>F69+F72+F75+F78+F81+F84</f>
        <v>-989</v>
      </c>
      <c r="G87" s="14">
        <f>G69+G72+G75+G78+G81+G84</f>
        <v>-4942</v>
      </c>
      <c r="H87" s="48">
        <f>H69+H72+H75+H78+H81+H84</f>
        <v>-816.22809785</v>
      </c>
      <c r="I87" s="1"/>
      <c r="J87" s="14">
        <f>J69+J72+J75+J78+J81+J84</f>
        <v>-1655</v>
      </c>
      <c r="K87" s="14">
        <f>K69+K72+K75+K78+K81+K84</f>
        <v>-2887</v>
      </c>
      <c r="L87" s="14">
        <f>L69+L72+L75+L78+L81+L84</f>
        <v>-2895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4" t="s">
        <v>129</v>
      </c>
      <c r="C88" s="2" t="s">
        <v>100</v>
      </c>
      <c r="D88" s="2" t="s">
        <v>100</v>
      </c>
      <c r="E88" s="2" t="s">
        <v>100</v>
      </c>
      <c r="F88" s="2" t="s">
        <v>100</v>
      </c>
      <c r="G88" s="2" t="s">
        <v>100</v>
      </c>
      <c r="H88" s="7">
        <f>IF(AND(ISNUMBER(H87),ISNUMBER(C87)),H87-C87,"n/a")</f>
        <v>415.77190214999996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4" t="s">
        <v>101</v>
      </c>
      <c r="C89" s="2" t="s">
        <v>100</v>
      </c>
      <c r="D89" s="2">
        <f>IF(AND(ISNUMBER(D87),ISNUMBER(C87)),D87-C87,"n/a")</f>
        <v>-823</v>
      </c>
      <c r="E89" s="2">
        <f>IF(AND(ISNUMBER(E87),ISNUMBER(D87)),E87-D87,"n/a")</f>
        <v>149</v>
      </c>
      <c r="F89" s="2">
        <f>IF(AND(ISNUMBER(F87),ISNUMBER(E87)),F87-E87,"n/a")</f>
        <v>917</v>
      </c>
      <c r="G89" s="2" t="s">
        <v>100</v>
      </c>
      <c r="H89" s="7">
        <f>IF(AND(ISNUMBER(H87),ISNUMBER(F87)),H87-F87,"n/a")</f>
        <v>172.77190214999996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46" t="s">
        <v>355</v>
      </c>
      <c r="C91" s="14">
        <f>C55+C65+C87</f>
        <v>2177</v>
      </c>
      <c r="D91" s="14">
        <f>D55+D65+D87</f>
        <v>651</v>
      </c>
      <c r="E91" s="14">
        <f>E55+E65+E87</f>
        <v>-2227</v>
      </c>
      <c r="F91" s="14">
        <f>F55+F65+F87</f>
        <v>1897</v>
      </c>
      <c r="G91" s="14">
        <f>G55+G65+G87</f>
        <v>1638</v>
      </c>
      <c r="H91" s="48">
        <f>H55+H65+H87</f>
        <v>1169.3093375259998</v>
      </c>
      <c r="I91" s="1"/>
      <c r="J91" s="14">
        <f>J55+J65+J87</f>
        <v>-1190</v>
      </c>
      <c r="K91" s="14">
        <f>K55+K65+K87</f>
        <v>987</v>
      </c>
      <c r="L91" s="14">
        <f>L55+L65+L87</f>
        <v>-330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4" t="s">
        <v>129</v>
      </c>
      <c r="C92" s="2" t="s">
        <v>100</v>
      </c>
      <c r="D92" s="2" t="s">
        <v>100</v>
      </c>
      <c r="E92" s="2" t="s">
        <v>100</v>
      </c>
      <c r="F92" s="2" t="s">
        <v>100</v>
      </c>
      <c r="G92" s="2" t="s">
        <v>100</v>
      </c>
      <c r="H92" s="7">
        <f>IF(AND(ISNUMBER(H91),ISNUMBER(C91)),H91-C91,"n/a")</f>
        <v>-1007.6906624740002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4" t="s">
        <v>101</v>
      </c>
      <c r="C93" s="2" t="s">
        <v>100</v>
      </c>
      <c r="D93" s="2">
        <f>IF(AND(ISNUMBER(D91),ISNUMBER(C91)),D91-C91,"n/a")</f>
        <v>-1526</v>
      </c>
      <c r="E93" s="2">
        <f>IF(AND(ISNUMBER(E91),ISNUMBER(D91)),E91-D91,"n/a")</f>
        <v>-2878</v>
      </c>
      <c r="F93" s="2">
        <f>IF(AND(ISNUMBER(F91),ISNUMBER(E91)),F91-E91,"n/a")</f>
        <v>4124</v>
      </c>
      <c r="G93" s="2" t="s">
        <v>100</v>
      </c>
      <c r="H93" s="7">
        <f>IF(AND(ISNUMBER(H91),ISNUMBER(F91)),H91-F91,"n/a")</f>
        <v>-727.6906624740002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9" t="s">
        <v>356</v>
      </c>
      <c r="C94" s="2">
        <f>J95</f>
        <v>1293</v>
      </c>
      <c r="D94" s="2">
        <f>C95</f>
        <v>3470</v>
      </c>
      <c r="E94" s="2">
        <f>D95</f>
        <v>4121</v>
      </c>
      <c r="F94" s="2">
        <f>E95</f>
        <v>1894</v>
      </c>
      <c r="G94" s="3">
        <v>2483</v>
      </c>
      <c r="H94" s="7">
        <f>F95</f>
        <v>3791</v>
      </c>
      <c r="I94" s="1"/>
      <c r="J94" s="2">
        <f>G94</f>
        <v>2483</v>
      </c>
      <c r="K94" s="2">
        <f>G94</f>
        <v>2483</v>
      </c>
      <c r="L94" s="2">
        <f>G95</f>
        <v>4121</v>
      </c>
      <c r="M94" s="1"/>
      <c r="N94" s="9" t="s">
        <v>357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46" t="s">
        <v>358</v>
      </c>
      <c r="C95" s="14">
        <f>C94+C91</f>
        <v>3470</v>
      </c>
      <c r="D95" s="14">
        <f>D94+D91</f>
        <v>4121</v>
      </c>
      <c r="E95" s="14">
        <f>E94+E91</f>
        <v>1894</v>
      </c>
      <c r="F95" s="14">
        <f>F94+F91</f>
        <v>3791</v>
      </c>
      <c r="G95" s="14">
        <f>G94+G91</f>
        <v>4121</v>
      </c>
      <c r="H95" s="48">
        <f>H94+H91</f>
        <v>4960.309337526</v>
      </c>
      <c r="I95" s="1"/>
      <c r="J95" s="14">
        <f>J94+J91</f>
        <v>1293</v>
      </c>
      <c r="K95" s="14">
        <f>K94+K91</f>
        <v>3470</v>
      </c>
      <c r="L95" s="14">
        <f>L94+L91</f>
        <v>3791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4" t="s">
        <v>129</v>
      </c>
      <c r="C96" s="2" t="s">
        <v>100</v>
      </c>
      <c r="D96" s="2" t="s">
        <v>100</v>
      </c>
      <c r="E96" s="2" t="s">
        <v>100</v>
      </c>
      <c r="F96" s="2" t="s">
        <v>100</v>
      </c>
      <c r="G96" s="2" t="s">
        <v>100</v>
      </c>
      <c r="H96" s="7">
        <f>IF(AND(ISNUMBER(H95),ISNUMBER(C95)),H95-C95,"n/a")</f>
        <v>1490.3093375259996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4" t="s">
        <v>101</v>
      </c>
      <c r="C97" s="2" t="s">
        <v>100</v>
      </c>
      <c r="D97" s="2">
        <f>IF(AND(ISNUMBER(D95),ISNUMBER(C95)),D95-C95,"n/a")</f>
        <v>651</v>
      </c>
      <c r="E97" s="2">
        <f>IF(AND(ISNUMBER(E95),ISNUMBER(D95)),E95-D95,"n/a")</f>
        <v>-2227</v>
      </c>
      <c r="F97" s="2">
        <f>IF(AND(ISNUMBER(F95),ISNUMBER(E95)),F95-E95,"n/a")</f>
        <v>1897</v>
      </c>
      <c r="G97" s="2" t="s">
        <v>100</v>
      </c>
      <c r="H97" s="7">
        <f>IF(AND(ISNUMBER(H95),ISNUMBER(F95)),H95-F95,"n/a")</f>
        <v>1169.3093375259996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1" t="s">
        <v>359</v>
      </c>
      <c r="C98" s="71">
        <f>C95-'Balance Sheet'!C10</f>
        <v>0</v>
      </c>
      <c r="D98" s="71">
        <f>D95-'Balance Sheet'!D10</f>
        <v>0</v>
      </c>
      <c r="E98" s="71">
        <f>E95-'Balance Sheet'!E10</f>
        <v>0</v>
      </c>
      <c r="F98" s="71">
        <f>F95-'Balance Sheet'!F10</f>
        <v>0</v>
      </c>
      <c r="G98" s="71">
        <f>G95-'Balance Sheet'!G10</f>
        <v>0</v>
      </c>
      <c r="H98" s="84">
        <f>H95-'Balance Sheet'!H10</f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3" t="s">
        <v>360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46" t="s">
        <v>361</v>
      </c>
      <c r="C101" s="14">
        <f>C55+C59</f>
        <v>3347</v>
      </c>
      <c r="D101" s="14">
        <f>D55+D59</f>
        <v>2756</v>
      </c>
      <c r="E101" s="14">
        <f>E55+E59</f>
        <v>-291</v>
      </c>
      <c r="F101" s="14">
        <f>F55+F59</f>
        <v>2917</v>
      </c>
      <c r="G101" s="14">
        <f>G55+G59</f>
        <v>6908</v>
      </c>
      <c r="H101" s="48">
        <f>H55+H59</f>
        <v>2015.5374353759998</v>
      </c>
      <c r="I101" s="1"/>
      <c r="J101" s="14">
        <f>J55+J59</f>
        <v>805</v>
      </c>
      <c r="K101" s="14">
        <f>K55+K59</f>
        <v>4152</v>
      </c>
      <c r="L101" s="14">
        <f>L55+L59</f>
        <v>2626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4" t="s">
        <v>129</v>
      </c>
      <c r="C102" s="2" t="s">
        <v>100</v>
      </c>
      <c r="D102" s="2" t="s">
        <v>100</v>
      </c>
      <c r="E102" s="2" t="s">
        <v>100</v>
      </c>
      <c r="F102" s="2" t="s">
        <v>100</v>
      </c>
      <c r="G102" s="2" t="s">
        <v>100</v>
      </c>
      <c r="H102" s="7">
        <f>IF(AND(ISNUMBER(H101),ISNUMBER(C101)),H101-C101,"n/a")</f>
        <v>-1331.4625646240002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4" t="s">
        <v>101</v>
      </c>
      <c r="C103" s="2" t="s">
        <v>100</v>
      </c>
      <c r="D103" s="2">
        <f>IF(AND(ISNUMBER(D101),ISNUMBER(C101)),D101-C101,"n/a")</f>
        <v>-591</v>
      </c>
      <c r="E103" s="2">
        <f>IF(AND(ISNUMBER(E101),ISNUMBER(D101)),E101-D101,"n/a")</f>
        <v>-3047</v>
      </c>
      <c r="F103" s="2">
        <f>IF(AND(ISNUMBER(F101),ISNUMBER(E101)),F101-E101,"n/a")</f>
        <v>3208</v>
      </c>
      <c r="G103" s="2" t="s">
        <v>100</v>
      </c>
      <c r="H103" s="7">
        <f>IF(AND(ISNUMBER(H101),ISNUMBER(F101)),H101-F101,"n/a")</f>
        <v>-901.4625646240002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25" t="s">
        <v>362</v>
      </c>
      <c r="C104" s="69">
        <f>C101/'Revenue summary'!C50</f>
        <v>0.179859207910151</v>
      </c>
      <c r="D104" s="69">
        <f>D101/'Revenue summary'!D50</f>
        <v>0.13562324688745633</v>
      </c>
      <c r="E104" s="69">
        <f>E101/'Revenue summary'!E50</f>
        <v>-0.016147827534543035</v>
      </c>
      <c r="F104" s="69">
        <f>F101/'Revenue summary'!F50</f>
        <v>0.14539201515227035</v>
      </c>
      <c r="G104" s="69">
        <f>G101/'Revenue summary'!G50</f>
        <v>0.0920477561027609</v>
      </c>
      <c r="H104" s="83">
        <f>H101/'Revenue summary'!H50</f>
        <v>0.10002558956811287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20" t="s">
        <v>103</v>
      </c>
      <c r="C105" s="5" t="s">
        <v>100</v>
      </c>
      <c r="D105" s="5" t="s">
        <v>100</v>
      </c>
      <c r="E105" s="5" t="s">
        <v>100</v>
      </c>
      <c r="F105" s="5" t="s">
        <v>100</v>
      </c>
      <c r="G105" s="5" t="s">
        <v>100</v>
      </c>
      <c r="H105" s="30">
        <f>IF(AND(ISNUMBER(H104),ISNUMBER(C104)),(H104-C104)*10000,"n/a")</f>
        <v>-798.3361834203813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0" t="s">
        <v>104</v>
      </c>
      <c r="C106" s="5" t="s">
        <v>100</v>
      </c>
      <c r="D106" s="5">
        <f>IF(AND(ISNUMBER(D104),ISNUMBER(C104)),(D104-C104)*10000,"n/a")</f>
        <v>-442.3596102269467</v>
      </c>
      <c r="E106" s="5">
        <f>IF(AND(ISNUMBER(E104),ISNUMBER(D104)),(E104-D104)*10000,"n/a")</f>
        <v>-1517.7107442199936</v>
      </c>
      <c r="F106" s="5">
        <f>IF(AND(ISNUMBER(F104),ISNUMBER(E104)),(F104-E104)*10000,"n/a")</f>
        <v>1615.3984268681338</v>
      </c>
      <c r="G106" s="5" t="s">
        <v>100</v>
      </c>
      <c r="H106" s="30">
        <f>IF(AND(ISNUMBER(H104),ISNUMBER(F104)),(H104-F104)*10000,"n/a")</f>
        <v>-453.66425584157474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25" t="s">
        <v>363</v>
      </c>
      <c r="C107" s="18">
        <f>C101/C10</f>
        <v>2.067325509573811</v>
      </c>
      <c r="D107" s="18">
        <f>D101/D10</f>
        <v>2.050595238095238</v>
      </c>
      <c r="E107" s="18">
        <f>E101/E10</f>
        <v>-0.19556451612903225</v>
      </c>
      <c r="F107" s="18">
        <f>F101/F10</f>
        <v>1.5887799564270153</v>
      </c>
      <c r="G107" s="18">
        <f>G101/G10</f>
        <v>1.3769184771775962</v>
      </c>
      <c r="H107" s="21">
        <f>H101/H10</f>
        <v>1.162673152736869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20" t="s">
        <v>103</v>
      </c>
      <c r="C108" s="5" t="s">
        <v>100</v>
      </c>
      <c r="D108" s="5" t="s">
        <v>100</v>
      </c>
      <c r="E108" s="5" t="s">
        <v>100</v>
      </c>
      <c r="F108" s="5" t="s">
        <v>100</v>
      </c>
      <c r="G108" s="5" t="s">
        <v>100</v>
      </c>
      <c r="H108" s="30">
        <f>IF(AND(ISNUMBER(H107),ISNUMBER(C107)),(H107-C107)*10000,"n/a")</f>
        <v>-9046.52356836942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20" t="s">
        <v>104</v>
      </c>
      <c r="C109" s="5" t="s">
        <v>100</v>
      </c>
      <c r="D109" s="5">
        <f>IF(AND(ISNUMBER(D107),ISNUMBER(C107)),(D107-C107)*10000,"n/a")</f>
        <v>-167.30271478572865</v>
      </c>
      <c r="E109" s="5">
        <f>IF(AND(ISNUMBER(E107),ISNUMBER(D107)),(E107-D107)*10000,"n/a")</f>
        <v>-22461.5975422427</v>
      </c>
      <c r="F109" s="5">
        <f>IF(AND(ISNUMBER(F107),ISNUMBER(E107)),(F107-E107)*10000,"n/a")</f>
        <v>17843.444725560475</v>
      </c>
      <c r="G109" s="5" t="s">
        <v>100</v>
      </c>
      <c r="H109" s="30">
        <f>IF(AND(ISNUMBER(H107),ISNUMBER(F107)),(H107-F107)*10000,"n/a")</f>
        <v>-4261.068036901463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46" t="s">
        <v>364</v>
      </c>
      <c r="C110" s="26" t="b">
        <f>ABS(C98)&lt;0.5</f>
        <v>1</v>
      </c>
      <c r="D110" s="26" t="b">
        <f>ABS(D98)&lt;0.5</f>
        <v>1</v>
      </c>
      <c r="E110" s="26" t="b">
        <f>ABS(E98)&lt;0.5</f>
        <v>1</v>
      </c>
      <c r="F110" s="26" t="b">
        <f>ABS(F98)&lt;0.5</f>
        <v>1</v>
      </c>
      <c r="G110" s="26" t="b">
        <f>ABS(G98)&lt;0.5</f>
        <v>1</v>
      </c>
      <c r="H110" s="22" t="b">
        <f>ABS(H98)&lt;0.5</f>
        <v>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365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366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9" t="s">
        <v>184</v>
      </c>
      <c r="C10" s="35">
        <f>'Segment - Aeronautics'!C123+'Segment - MFC'!C123+'Segment - RMS'!C123+'Segment - Space'!C123</f>
        <v>13430</v>
      </c>
      <c r="D10" s="35">
        <f>'Segment - Aeronautics'!D123+'Segment - MFC'!D123+'Segment - RMS'!D123+'Segment - Space'!D123</f>
        <v>13995</v>
      </c>
      <c r="E10" s="35">
        <f>'Segment - Aeronautics'!E123+'Segment - MFC'!E123+'Segment - RMS'!E123+'Segment - Space'!E123</f>
        <v>12379</v>
      </c>
      <c r="F10" s="35">
        <f>'Segment - Aeronautics'!F123+'Segment - MFC'!F123+'Segment - RMS'!F123+'Segment - Space'!F123</f>
        <v>14188</v>
      </c>
      <c r="G10" s="35">
        <f>'Segment - Aeronautics'!G123+'Segment - MFC'!G123+'Segment - RMS'!G123+'Segment - Space'!G123</f>
        <v>53705</v>
      </c>
      <c r="H10" s="34">
        <f>'Segment - Aeronautics'!H123+'Segment - MFC'!H123+'Segment - RMS'!H123+'Segment - Space'!H123</f>
        <v>14162.542961399999</v>
      </c>
      <c r="I10" s="1"/>
      <c r="J10" s="35">
        <f>'Segment - Aeronautics'!J123+'Segment - MFC'!J123+'Segment - RMS'!J123+'Segment - Space'!J123</f>
        <v>12766</v>
      </c>
      <c r="K10" s="35">
        <f>'Segment - Aeronautics'!K123+'Segment - MFC'!K123+'Segment - RMS'!K123+'Segment - Space'!K123</f>
        <v>13319</v>
      </c>
      <c r="L10" s="35">
        <f>'Segment - Aeronautics'!L123+'Segment - MFC'!L123+'Segment - RMS'!L123+'Segment - Space'!L123</f>
        <v>13041</v>
      </c>
      <c r="M10" s="35">
        <f>'Segment - Aeronautics'!M123+'Segment - MFC'!M123+'Segment - RMS'!M123+'Segment - Space'!M123</f>
        <v>13239</v>
      </c>
      <c r="N10" s="35">
        <f>'Segment - Aeronautics'!N123+'Segment - MFC'!N123+'Segment - RMS'!N123+'Segment - Space'!N123</f>
        <v>52528</v>
      </c>
      <c r="O10" s="35">
        <f>'Segment - Aeronautics'!O123+'Segment - MFC'!O123+'Segment - RMS'!O123+'Segment - Space'!O123</f>
        <v>39209</v>
      </c>
      <c r="P10" s="35">
        <f>'Segment - Aeronautics'!P123+'Segment - MFC'!P123+'Segment - RMS'!P123+'Segment - Space'!P123</f>
        <v>39710</v>
      </c>
      <c r="Q10" s="1"/>
      <c r="R10" s="9" t="s">
        <v>367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5" t="s">
        <v>98</v>
      </c>
      <c r="C11" s="18">
        <f>IF(AND(ISNUMBER(C10),ISNUMBER(J10)),IF(OR(J10&gt;0,AND(J10&lt;0,C10&lt;0)),C10/J10-1,"n/m"),"n/a")</f>
        <v>0.05201315995613354</v>
      </c>
      <c r="D11" s="18">
        <f>IF(AND(ISNUMBER(D10),ISNUMBER(K10)),IF(OR(K10&gt;0,AND(K10&lt;0,D10&lt;0)),D10/K10-1,"n/m"),"n/a")</f>
        <v>0.05075456115323984</v>
      </c>
      <c r="E11" s="18">
        <f>IF(AND(ISNUMBER(E10),ISNUMBER(L10)),IF(OR(L10&gt;0,AND(L10&lt;0,E10&lt;0)),E10/L10-1,"n/m"),"n/a")</f>
        <v>-0.05076297829921017</v>
      </c>
      <c r="F11" s="18">
        <f>IF(AND(ISNUMBER(F10),ISNUMBER(M10)),IF(OR(M10&gt;0,AND(M10&lt;0,F10&lt;0)),F10/M10-1,"n/m"),"n/a")</f>
        <v>0.07168215121988064</v>
      </c>
      <c r="G11" s="18">
        <f>IF(AND(ISNUMBER(G10),ISNUMBER(N10)),IF(OR(N10&gt;0,AND(N10&lt;0,G10&lt;0)),G10/N10-1,"n/m"),"n/a")</f>
        <v>0.022407097167225</v>
      </c>
      <c r="H11" s="21">
        <f>IF(AND(ISNUMBER(H10),ISNUMBER(C10)),IF(OR(C10&gt;0,AND(C10&lt;0,H10&lt;0)),H10/C10-1,"n/m"),"n/a")</f>
        <v>0.05454526890543554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25" t="s">
        <v>99</v>
      </c>
      <c r="C12" s="18">
        <f>IF(AND(ISNUMBER(C10),ISNUMBER(M10)),IF(OR(M10&gt;0,AND(M10&lt;0,C10&lt;0)),C10/M10-1,"n/m"),"n/a")</f>
        <v>0.014427071531082358</v>
      </c>
      <c r="D12" s="18">
        <f>IF(AND(ISNUMBER(D10),ISNUMBER(C10)),IF(OR(C10&gt;0,AND(C10&lt;0,D10&lt;0)),D10/C10-1,"n/m"),"n/a")</f>
        <v>0.04206999255398358</v>
      </c>
      <c r="E12" s="18">
        <f>IF(AND(ISNUMBER(E10),ISNUMBER(D10)),IF(OR(D10&gt;0,AND(D10&lt;0,E10&lt;0)),E10/D10-1,"n/m"),"n/a")</f>
        <v>-0.11546981064665951</v>
      </c>
      <c r="F12" s="18">
        <f>IF(AND(ISNUMBER(F10),ISNUMBER(E10)),IF(OR(E10&gt;0,AND(E10&lt;0,F10&lt;0)),F10/E10-1,"n/m"),"n/a")</f>
        <v>0.14613458276112778</v>
      </c>
      <c r="G12" s="18" t="s">
        <v>100</v>
      </c>
      <c r="H12" s="21">
        <f>IF(AND(ISNUMBER(H10),ISNUMBER(F10)),IF(OR(F10&gt;0,AND(F10&lt;0,H10&lt;0)),H10/F10-1,"n/m"),"n/a")</f>
        <v>-0.0017942654778687617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101</v>
      </c>
      <c r="C13" s="2">
        <f>IF(AND(ISNUMBER(C10),ISNUMBER(M10)),C10-M10,"n/a")</f>
        <v>191</v>
      </c>
      <c r="D13" s="2">
        <f>IF(AND(ISNUMBER(D10),ISNUMBER(C10)),D10-C10,"n/a")</f>
        <v>565</v>
      </c>
      <c r="E13" s="2">
        <f>IF(AND(ISNUMBER(E10),ISNUMBER(D10)),E10-D10,"n/a")</f>
        <v>-1616</v>
      </c>
      <c r="F13" s="2">
        <f>IF(AND(ISNUMBER(F10),ISNUMBER(E10)),F10-E10,"n/a")</f>
        <v>1809</v>
      </c>
      <c r="G13" s="2" t="s">
        <v>100</v>
      </c>
      <c r="H13" s="7">
        <f>IF(AND(ISNUMBER(H10),ISNUMBER(F10)),H10-F10,"n/a")</f>
        <v>-25.457038600001397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5" t="s">
        <v>102</v>
      </c>
      <c r="C14" s="18">
        <f>IF(AND(ISNUMBER(C10),ISNUMBER(C60)),C10/C60,"n/a")</f>
        <v>0.7216938040732979</v>
      </c>
      <c r="D14" s="18">
        <f>IF(AND(ISNUMBER(D10),ISNUMBER(D60)),D10/D60,"n/a")</f>
        <v>0.6886964224201565</v>
      </c>
      <c r="E14" s="18">
        <f>IF(AND(ISNUMBER(E10),ISNUMBER(E60)),E10/E60,"n/a")</f>
        <v>0.6869208146051828</v>
      </c>
      <c r="F14" s="18">
        <f>IF(AND(ISNUMBER(F10),ISNUMBER(F60)),F10/F60,"n/a")</f>
        <v>0.7071724069182076</v>
      </c>
      <c r="G14" s="18">
        <f>IF(AND(ISNUMBER(G10),ISNUMBER(G60)),G10/G60,"n/a")</f>
        <v>0.7156086771133141</v>
      </c>
      <c r="H14" s="21">
        <f>IF(AND(ISNUMBER(H10),ISNUMBER(H60)),H10/H60,"n/a")</f>
        <v>0.7028481260798269</v>
      </c>
      <c r="I14" s="1"/>
      <c r="J14" s="18">
        <f>IF(AND(ISNUMBER(J10),ISNUMBER(J60)),J10/J60,"n/a")</f>
        <v>0.7463751169317119</v>
      </c>
      <c r="K14" s="18">
        <f>IF(AND(ISNUMBER(K10),ISNUMBER(K60)),K10/K60,"n/a")</f>
        <v>0.7152292986789819</v>
      </c>
      <c r="L14" s="18">
        <f>IF(AND(ISNUMBER(L10),ISNUMBER(L60)),L10/L60,"n/a")</f>
        <v>0.7259923175416133</v>
      </c>
      <c r="M14" s="18">
        <f>IF(AND(ISNUMBER(M10),ISNUMBER(M60)),M10/M60,"n/a")</f>
        <v>0.7292206003855687</v>
      </c>
      <c r="N14" s="18">
        <f>IF(AND(ISNUMBER(N10),ISNUMBER(N60)),N10/N60,"n/a")</f>
        <v>0.7393831904621145</v>
      </c>
      <c r="O14" s="18">
        <f>IF(AND(ISNUMBER(O10),ISNUMBER(O60)),O10/O60,"n/a")</f>
        <v>0.7479636023730948</v>
      </c>
      <c r="P14" s="18">
        <f>IF(AND(ISNUMBER(P10),ISNUMBER(P60)),P10/P60,"n/a")</f>
        <v>0.7256016225994482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20" t="s">
        <v>103</v>
      </c>
      <c r="C15" s="5">
        <f>IF(AND(ISNUMBER(C14),ISNUMBER(J14)),(C14-J14)*10000,"n/a")</f>
        <v>-246.81312858414017</v>
      </c>
      <c r="D15" s="5">
        <f>IF(AND(ISNUMBER(D14),ISNUMBER(K14)),(D14-K14)*10000,"n/a")</f>
        <v>-265.3287625882539</v>
      </c>
      <c r="E15" s="5">
        <f>IF(AND(ISNUMBER(E14),ISNUMBER(L14)),(E14-L14)*10000,"n/a")</f>
        <v>-390.7150293643047</v>
      </c>
      <c r="F15" s="5">
        <f>IF(AND(ISNUMBER(F14),ISNUMBER(M14)),(F14-M14)*10000,"n/a")</f>
        <v>-220.48193467361088</v>
      </c>
      <c r="G15" s="5">
        <f>IF(AND(ISNUMBER(G14),ISNUMBER(N14)),(G14-N14)*10000,"n/a")</f>
        <v>-237.7451334880043</v>
      </c>
      <c r="H15" s="30">
        <f>IF(AND(ISNUMBER(H14),ISNUMBER(C14)),(H14-C14)*10000,"n/a")</f>
        <v>-188.45677993470923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20" t="s">
        <v>104</v>
      </c>
      <c r="C16" s="5">
        <f>IF(AND(ISNUMBER(C14),ISNUMBER(M14)),(C14-M14)*10000,"n/a")</f>
        <v>-75.26796312270822</v>
      </c>
      <c r="D16" s="5">
        <f>IF(AND(ISNUMBER(D14),ISNUMBER(C14)),(D14-C14)*10000,"n/a")</f>
        <v>-329.97381653141366</v>
      </c>
      <c r="E16" s="5">
        <f>IF(AND(ISNUMBER(E14),ISNUMBER(D14)),(E14-D14)*10000,"n/a")</f>
        <v>-17.756078149736567</v>
      </c>
      <c r="F16" s="5">
        <f>IF(AND(ISNUMBER(F14),ISNUMBER(E14)),(F14-E14)*10000,"n/a")</f>
        <v>202.5159231302476</v>
      </c>
      <c r="G16" s="5" t="s">
        <v>100</v>
      </c>
      <c r="H16" s="30">
        <f>IF(AND(ISNUMBER(H14),ISNUMBER(F14)),(H14-F14)*10000,"n/a")</f>
        <v>-43.24280838380656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5" t="s">
        <v>105</v>
      </c>
      <c r="C17" s="18" t="s">
        <v>106</v>
      </c>
      <c r="D17" s="18" t="s">
        <v>106</v>
      </c>
      <c r="E17" s="18" t="s">
        <v>106</v>
      </c>
      <c r="F17" s="18" t="s">
        <v>106</v>
      </c>
      <c r="G17" s="18" t="s">
        <v>106</v>
      </c>
      <c r="H17" s="21" t="s">
        <v>106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25" t="s">
        <v>107</v>
      </c>
      <c r="C18" s="18" t="s">
        <v>106</v>
      </c>
      <c r="D18" s="18" t="s">
        <v>106</v>
      </c>
      <c r="E18" s="18" t="s">
        <v>106</v>
      </c>
      <c r="F18" s="18" t="s">
        <v>106</v>
      </c>
      <c r="G18" s="18" t="s">
        <v>106</v>
      </c>
      <c r="H18" s="21" t="s">
        <v>106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25" t="s">
        <v>108</v>
      </c>
      <c r="C19" s="18" t="str">
        <f>IF(AND(ISNUMBER(C11),ISNUMBER(C17),ISNUMBER(C18)),(1+C11)/((1+C17)*(1+C18))-1,"n/a")</f>
        <v>n/a</v>
      </c>
      <c r="D19" s="18" t="str">
        <f>IF(AND(ISNUMBER(D11),ISNUMBER(D17),ISNUMBER(D18)),(1+D11)/((1+D17)*(1+D18))-1,"n/a")</f>
        <v>n/a</v>
      </c>
      <c r="E19" s="18" t="str">
        <f>IF(AND(ISNUMBER(E11),ISNUMBER(E17),ISNUMBER(E18)),(1+E11)/((1+E17)*(1+E18))-1,"n/a")</f>
        <v>n/a</v>
      </c>
      <c r="F19" s="18" t="str">
        <f>IF(AND(ISNUMBER(F11),ISNUMBER(F17),ISNUMBER(F18)),(1+F11)/((1+F17)*(1+F18))-1,"n/a")</f>
        <v>n/a</v>
      </c>
      <c r="G19" s="18" t="str">
        <f>IF(AND(ISNUMBER(G11),ISNUMBER(G17),ISNUMBER(G18)),(1+G11)/((1+G17)*(1+G18))-1,"n/a")</f>
        <v>n/a</v>
      </c>
      <c r="H19" s="21" t="str">
        <f>IF(AND(ISNUMBER(H11),ISNUMBER(H17),ISNUMBER(H18)),(1+H11)/((1+H17)*(1+H18))-1,"n/a")</f>
        <v>n/a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9" t="s">
        <v>186</v>
      </c>
      <c r="C20" s="35">
        <f>'Segment - Aeronautics'!C133+'Segment - MFC'!C133+'Segment - RMS'!C133+'Segment - Space'!C133</f>
        <v>2011</v>
      </c>
      <c r="D20" s="35">
        <f>'Segment - Aeronautics'!D133+'Segment - MFC'!D133+'Segment - RMS'!D133+'Segment - Space'!D133</f>
        <v>2740</v>
      </c>
      <c r="E20" s="35">
        <f>'Segment - Aeronautics'!E133+'Segment - MFC'!E133+'Segment - RMS'!E133+'Segment - Space'!E133</f>
        <v>2625</v>
      </c>
      <c r="F20" s="35">
        <f>'Segment - Aeronautics'!F133+'Segment - MFC'!F133+'Segment - RMS'!F133+'Segment - Space'!F133</f>
        <v>2802</v>
      </c>
      <c r="G20" s="35">
        <f>'Segment - Aeronautics'!G133+'Segment - MFC'!G133+'Segment - RMS'!G133+'Segment - Space'!G133</f>
        <v>8805</v>
      </c>
      <c r="H20" s="34">
        <f>'Segment - Aeronautics'!H133+'Segment - MFC'!H133+'Segment - RMS'!H133+'Segment - Space'!H133</f>
        <v>2647.0169287999997</v>
      </c>
      <c r="I20" s="1"/>
      <c r="J20" s="35">
        <f>'Segment - Aeronautics'!J133+'Segment - MFC'!J133+'Segment - RMS'!J133+'Segment - Space'!J133</f>
        <v>1708</v>
      </c>
      <c r="K20" s="35">
        <f>'Segment - Aeronautics'!K133+'Segment - MFC'!K133+'Segment - RMS'!K133+'Segment - Space'!K133</f>
        <v>2485</v>
      </c>
      <c r="L20" s="35">
        <f>'Segment - Aeronautics'!L133+'Segment - MFC'!L133+'Segment - RMS'!L133+'Segment - Space'!L133</f>
        <v>1968</v>
      </c>
      <c r="M20" s="35">
        <f>'Segment - Aeronautics'!M133+'Segment - MFC'!M133+'Segment - RMS'!M133+'Segment - Space'!M133</f>
        <v>2086</v>
      </c>
      <c r="N20" s="35">
        <f>'Segment - Aeronautics'!N133+'Segment - MFC'!N133+'Segment - RMS'!N133+'Segment - Space'!N133</f>
        <v>7716</v>
      </c>
      <c r="O20" s="35">
        <f>'Segment - Aeronautics'!O133+'Segment - MFC'!O133+'Segment - RMS'!O133+'Segment - Space'!O133</f>
        <v>5231</v>
      </c>
      <c r="P20" s="35">
        <f>'Segment - Aeronautics'!P133+'Segment - MFC'!P133+'Segment - RMS'!P133+'Segment - Space'!P133</f>
        <v>6065</v>
      </c>
      <c r="Q20" s="1"/>
      <c r="R20" s="9" t="s">
        <v>367</v>
      </c>
      <c r="S20" s="1"/>
      <c r="T20" s="1"/>
      <c r="U20" s="1"/>
      <c r="V20" s="1"/>
      <c r="W20" s="1"/>
      <c r="X20" s="1"/>
      <c r="Y20" s="1"/>
      <c r="Z20" s="1"/>
    </row>
    <row r="21">
      <c r="A21" s="1"/>
      <c r="B21" s="25" t="s">
        <v>98</v>
      </c>
      <c r="C21" s="18">
        <f>IF(AND(ISNUMBER(C20),ISNUMBER(J20)),IF(OR(J20&gt;0,AND(J20&lt;0,C20&lt;0)),C20/J20-1,"n/m"),"n/a")</f>
        <v>0.17740046838407486</v>
      </c>
      <c r="D21" s="18">
        <f>IF(AND(ISNUMBER(D20),ISNUMBER(K20)),IF(OR(K20&gt;0,AND(K20&lt;0,D20&lt;0)),D20/K20-1,"n/m"),"n/a")</f>
        <v>0.10261569416498983</v>
      </c>
      <c r="E21" s="18">
        <f>IF(AND(ISNUMBER(E20),ISNUMBER(L20)),IF(OR(L20&gt;0,AND(L20&lt;0,E20&lt;0)),E20/L20-1,"n/m"),"n/a")</f>
        <v>0.33384146341463405</v>
      </c>
      <c r="F21" s="18">
        <f>IF(AND(ISNUMBER(F20),ISNUMBER(M20)),IF(OR(M20&gt;0,AND(M20&lt;0,F20&lt;0)),F20/M20-1,"n/m"),"n/a")</f>
        <v>0.34324065196548426</v>
      </c>
      <c r="G21" s="18">
        <f>IF(AND(ISNUMBER(G20),ISNUMBER(N20)),IF(OR(N20&gt;0,AND(N20&lt;0,G20&lt;0)),G20/N20-1,"n/m"),"n/a")</f>
        <v>0.14113530326594081</v>
      </c>
      <c r="H21" s="21">
        <f>IF(AND(ISNUMBER(H20),ISNUMBER(C20)),IF(OR(C20&gt;0,AND(C20&lt;0,H20&lt;0)),H20/C20-1,"n/m"),"n/a")</f>
        <v>0.3162689849825955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25" t="s">
        <v>99</v>
      </c>
      <c r="C22" s="18">
        <f>IF(AND(ISNUMBER(C20),ISNUMBER(M20)),IF(OR(M20&gt;0,AND(M20&lt;0,C20&lt;0)),C20/M20-1,"n/m"),"n/a")</f>
        <v>-0.03595397890699903</v>
      </c>
      <c r="D22" s="18">
        <f>IF(AND(ISNUMBER(D20),ISNUMBER(C20)),IF(OR(C20&gt;0,AND(C20&lt;0,D20&lt;0)),D20/C20-1,"n/m"),"n/a")</f>
        <v>0.36250621581302833</v>
      </c>
      <c r="E22" s="18">
        <f>IF(AND(ISNUMBER(E20),ISNUMBER(D20)),IF(OR(D20&gt;0,AND(D20&lt;0,E20&lt;0)),E20/D20-1,"n/m"),"n/a")</f>
        <v>-0.041970802919708006</v>
      </c>
      <c r="F22" s="18">
        <f>IF(AND(ISNUMBER(F20),ISNUMBER(E20)),IF(OR(E20&gt;0,AND(E20&lt;0,F20&lt;0)),F20/E20-1,"n/m"),"n/a")</f>
        <v>0.0674285714285714</v>
      </c>
      <c r="G22" s="18" t="s">
        <v>100</v>
      </c>
      <c r="H22" s="21">
        <f>IF(AND(ISNUMBER(H20),ISNUMBER(F20)),IF(OR(F20&gt;0,AND(F20&lt;0,H20&lt;0)),H20/F20-1,"n/m"),"n/a")</f>
        <v>-0.05531158857958607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4" t="s">
        <v>101</v>
      </c>
      <c r="C23" s="2">
        <f>IF(AND(ISNUMBER(C20),ISNUMBER(M20)),C20-M20,"n/a")</f>
        <v>-75</v>
      </c>
      <c r="D23" s="2">
        <f>IF(AND(ISNUMBER(D20),ISNUMBER(C20)),D20-C20,"n/a")</f>
        <v>729</v>
      </c>
      <c r="E23" s="2">
        <f>IF(AND(ISNUMBER(E20),ISNUMBER(D20)),E20-D20,"n/a")</f>
        <v>-115</v>
      </c>
      <c r="F23" s="2">
        <f>IF(AND(ISNUMBER(F20),ISNUMBER(E20)),F20-E20,"n/a")</f>
        <v>177</v>
      </c>
      <c r="G23" s="2" t="s">
        <v>100</v>
      </c>
      <c r="H23" s="7">
        <f>IF(AND(ISNUMBER(H20),ISNUMBER(F20)),H20-F20,"n/a")</f>
        <v>-154.98307120000027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25" t="s">
        <v>102</v>
      </c>
      <c r="C24" s="18">
        <f>IF(AND(ISNUMBER(C20),ISNUMBER(C60)),C20/C60,"n/a")</f>
        <v>0.10806598957493686</v>
      </c>
      <c r="D24" s="18">
        <f>IF(AND(ISNUMBER(D20),ISNUMBER(D60)),D20/D60,"n/a")</f>
        <v>0.13483588406082378</v>
      </c>
      <c r="E24" s="18">
        <f>IF(AND(ISNUMBER(E20),ISNUMBER(E60)),E20/E60,"n/a")</f>
        <v>0.14566339270850676</v>
      </c>
      <c r="F24" s="18">
        <f>IF(AND(ISNUMBER(F20),ISNUMBER(F60)),F20/F60,"n/a")</f>
        <v>0.13966007077705228</v>
      </c>
      <c r="G24" s="18">
        <f>IF(AND(ISNUMBER(G20),ISNUMBER(G60)),G20/G60,"n/a")</f>
        <v>0.11732491205628398</v>
      </c>
      <c r="H24" s="21">
        <f>IF(AND(ISNUMBER(H20),ISNUMBER(H60)),H20/H60,"n/a")</f>
        <v>0.13136418319642992</v>
      </c>
      <c r="I24" s="1"/>
      <c r="J24" s="18">
        <f>IF(AND(ISNUMBER(J20),ISNUMBER(J60)),J20/J60,"n/a")</f>
        <v>0.09985968194574368</v>
      </c>
      <c r="K24" s="18">
        <f>IF(AND(ISNUMBER(K20),ISNUMBER(K60)),K20/K60,"n/a")</f>
        <v>0.13344431317796154</v>
      </c>
      <c r="L24" s="18">
        <f>IF(AND(ISNUMBER(L20),ISNUMBER(L60)),L20/L60,"n/a")</f>
        <v>0.10955853699270723</v>
      </c>
      <c r="M24" s="18">
        <f>IF(AND(ISNUMBER(M20),ISNUMBER(M60)),M20/M60,"n/a")</f>
        <v>0.11489947672817406</v>
      </c>
      <c r="N24" s="18">
        <f>IF(AND(ISNUMBER(N20),ISNUMBER(N60)),N20/N60,"n/a")</f>
        <v>0.10861027828216714</v>
      </c>
      <c r="O24" s="18">
        <f>IF(AND(ISNUMBER(O20),ISNUMBER(O60)),O20/O60,"n/a")</f>
        <v>0.0997882527994506</v>
      </c>
      <c r="P24" s="18">
        <f>IF(AND(ISNUMBER(P20),ISNUMBER(P60)),P20/P60,"n/a")</f>
        <v>0.11082281140935918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20" t="s">
        <v>103</v>
      </c>
      <c r="C25" s="5">
        <f>IF(AND(ISNUMBER(C24),ISNUMBER(J24)),(C24-J24)*10000,"n/a")</f>
        <v>82.0630762919318</v>
      </c>
      <c r="D25" s="5">
        <f>IF(AND(ISNUMBER(D24),ISNUMBER(K24)),(D24-K24)*10000,"n/a")</f>
        <v>13.915708828622364</v>
      </c>
      <c r="E25" s="5">
        <f>IF(AND(ISNUMBER(E24),ISNUMBER(L24)),(E24-L24)*10000,"n/a")</f>
        <v>361.0485571579952</v>
      </c>
      <c r="F25" s="5">
        <f>IF(AND(ISNUMBER(F24),ISNUMBER(M24)),(F24-M24)*10000,"n/a")</f>
        <v>247.60594048878218</v>
      </c>
      <c r="G25" s="5">
        <f>IF(AND(ISNUMBER(G24),ISNUMBER(N24)),(G24-N24)*10000,"n/a")</f>
        <v>87.1463377411684</v>
      </c>
      <c r="H25" s="30">
        <f>IF(AND(ISNUMBER(H24),ISNUMBER(C24)),(H24-C24)*10000,"n/a")</f>
        <v>232.9819362149306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20" t="s">
        <v>104</v>
      </c>
      <c r="C26" s="5">
        <f>IF(AND(ISNUMBER(C24),ISNUMBER(M24)),(C24-M24)*10000,"n/a")</f>
        <v>-68.334871532372</v>
      </c>
      <c r="D26" s="5">
        <f>IF(AND(ISNUMBER(D24),ISNUMBER(C24)),(D24-C24)*10000,"n/a")</f>
        <v>267.69894485886914</v>
      </c>
      <c r="E26" s="5">
        <f>IF(AND(ISNUMBER(E24),ISNUMBER(D24)),(E24-D24)*10000,"n/a")</f>
        <v>108.27508647682976</v>
      </c>
      <c r="F26" s="5">
        <f>IF(AND(ISNUMBER(F24),ISNUMBER(E24)),(F24-E24)*10000,"n/a")</f>
        <v>-60.03321931454475</v>
      </c>
      <c r="G26" s="5" t="s">
        <v>100</v>
      </c>
      <c r="H26" s="30">
        <f>IF(AND(ISNUMBER(H24),ISNUMBER(F24)),(H24-F24)*10000,"n/a")</f>
        <v>-82.95887580622357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25" t="s">
        <v>105</v>
      </c>
      <c r="C27" s="18" t="s">
        <v>106</v>
      </c>
      <c r="D27" s="18" t="s">
        <v>106</v>
      </c>
      <c r="E27" s="18" t="s">
        <v>106</v>
      </c>
      <c r="F27" s="18" t="s">
        <v>106</v>
      </c>
      <c r="G27" s="18" t="s">
        <v>106</v>
      </c>
      <c r="H27" s="21" t="s">
        <v>106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5" t="s">
        <v>107</v>
      </c>
      <c r="C28" s="18" t="s">
        <v>106</v>
      </c>
      <c r="D28" s="18" t="s">
        <v>106</v>
      </c>
      <c r="E28" s="18" t="s">
        <v>106</v>
      </c>
      <c r="F28" s="18" t="s">
        <v>106</v>
      </c>
      <c r="G28" s="18" t="s">
        <v>106</v>
      </c>
      <c r="H28" s="21" t="s">
        <v>106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5" t="s">
        <v>108</v>
      </c>
      <c r="C29" s="18" t="str">
        <f>IF(AND(ISNUMBER(C21),ISNUMBER(C27),ISNUMBER(C28)),(1+C21)/((1+C27)*(1+C28))-1,"n/a")</f>
        <v>n/a</v>
      </c>
      <c r="D29" s="18" t="str">
        <f>IF(AND(ISNUMBER(D21),ISNUMBER(D27),ISNUMBER(D28)),(1+D21)/((1+D27)*(1+D28))-1,"n/a")</f>
        <v>n/a</v>
      </c>
      <c r="E29" s="18" t="str">
        <f>IF(AND(ISNUMBER(E21),ISNUMBER(E27),ISNUMBER(E28)),(1+E21)/((1+E27)*(1+E28))-1,"n/a")</f>
        <v>n/a</v>
      </c>
      <c r="F29" s="18" t="str">
        <f>IF(AND(ISNUMBER(F21),ISNUMBER(F27),ISNUMBER(F28)),(1+F21)/((1+F27)*(1+F28))-1,"n/a")</f>
        <v>n/a</v>
      </c>
      <c r="G29" s="18" t="str">
        <f>IF(AND(ISNUMBER(G21),ISNUMBER(G27),ISNUMBER(G28)),(1+G21)/((1+G27)*(1+G28))-1,"n/a")</f>
        <v>n/a</v>
      </c>
      <c r="H29" s="21" t="str">
        <f>IF(AND(ISNUMBER(H21),ISNUMBER(H27),ISNUMBER(H28)),(1+H21)/((1+H27)*(1+H28))-1,"n/a")</f>
        <v>n/a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9" t="s">
        <v>188</v>
      </c>
      <c r="C30" s="35">
        <f>'Segment - Aeronautics'!C143+'Segment - MFC'!C143+'Segment - RMS'!C143+'Segment - Space'!C143</f>
        <v>2003</v>
      </c>
      <c r="D30" s="35">
        <f>'Segment - Aeronautics'!D143+'Segment - MFC'!D143+'Segment - RMS'!D143+'Segment - Space'!D143</f>
        <v>2211</v>
      </c>
      <c r="E30" s="35">
        <f>'Segment - Aeronautics'!E143+'Segment - MFC'!E143+'Segment - RMS'!E143+'Segment - Space'!E143</f>
        <v>1669</v>
      </c>
      <c r="F30" s="35">
        <f>'Segment - Aeronautics'!F143+'Segment - MFC'!F143+'Segment - RMS'!F143+'Segment - Space'!F143</f>
        <v>1983</v>
      </c>
      <c r="G30" s="35">
        <f>'Segment - Aeronautics'!G143+'Segment - MFC'!G143+'Segment - RMS'!G143+'Segment - Space'!G143</f>
        <v>7815</v>
      </c>
      <c r="H30" s="34">
        <f>'Segment - Aeronautics'!H143+'Segment - MFC'!H143+'Segment - RMS'!H143+'Segment - Space'!H143</f>
        <v>2028.7635628666667</v>
      </c>
      <c r="I30" s="1"/>
      <c r="J30" s="35">
        <f>'Segment - Aeronautics'!J143+'Segment - MFC'!J143+'Segment - RMS'!J143+'Segment - Space'!J143</f>
        <v>1503</v>
      </c>
      <c r="K30" s="35">
        <f>'Segment - Aeronautics'!K143+'Segment - MFC'!K143+'Segment - RMS'!K143+'Segment - Space'!K143</f>
        <v>1689</v>
      </c>
      <c r="L30" s="35">
        <f>'Segment - Aeronautics'!L143+'Segment - MFC'!L143+'Segment - RMS'!L143+'Segment - Space'!L143</f>
        <v>1744</v>
      </c>
      <c r="M30" s="35">
        <f>'Segment - Aeronautics'!M143+'Segment - MFC'!M143+'Segment - RMS'!M143+'Segment - Space'!M143</f>
        <v>1857</v>
      </c>
      <c r="N30" s="35">
        <f>'Segment - Aeronautics'!N143+'Segment - MFC'!N143+'Segment - RMS'!N143+'Segment - Space'!N143</f>
        <v>6241</v>
      </c>
      <c r="O30" s="35">
        <f>'Segment - Aeronautics'!O143+'Segment - MFC'!O143+'Segment - RMS'!O143+'Segment - Space'!O143</f>
        <v>4552</v>
      </c>
      <c r="P30" s="35">
        <f>'Segment - Aeronautics'!P143+'Segment - MFC'!P143+'Segment - RMS'!P143+'Segment - Space'!P143</f>
        <v>5604</v>
      </c>
      <c r="Q30" s="1"/>
      <c r="R30" s="9" t="s">
        <v>367</v>
      </c>
      <c r="S30" s="1"/>
      <c r="T30" s="1"/>
      <c r="U30" s="1"/>
      <c r="V30" s="1"/>
      <c r="W30" s="1"/>
      <c r="X30" s="1"/>
      <c r="Y30" s="1"/>
      <c r="Z30" s="1"/>
    </row>
    <row r="31">
      <c r="A31" s="1"/>
      <c r="B31" s="25" t="s">
        <v>98</v>
      </c>
      <c r="C31" s="18">
        <f>IF(AND(ISNUMBER(C30),ISNUMBER(J30)),IF(OR(J30&gt;0,AND(J30&lt;0,C30&lt;0)),C30/J30-1,"n/m"),"n/a")</f>
        <v>0.33266799733865593</v>
      </c>
      <c r="D31" s="18">
        <f>IF(AND(ISNUMBER(D30),ISNUMBER(K30)),IF(OR(K30&gt;0,AND(K30&lt;0,D30&lt;0)),D30/K30-1,"n/m"),"n/a")</f>
        <v>0.3090586145648313</v>
      </c>
      <c r="E31" s="18">
        <f>IF(AND(ISNUMBER(E30),ISNUMBER(L30)),IF(OR(L30&gt;0,AND(L30&lt;0,E30&lt;0)),E30/L30-1,"n/m"),"n/a")</f>
        <v>-0.043004587155963336</v>
      </c>
      <c r="F31" s="18">
        <f>IF(AND(ISNUMBER(F30),ISNUMBER(M30)),IF(OR(M30&gt;0,AND(M30&lt;0,F30&lt;0)),F30/M30-1,"n/m"),"n/a")</f>
        <v>0.06785137318255252</v>
      </c>
      <c r="G31" s="18">
        <f>IF(AND(ISNUMBER(G30),ISNUMBER(N30)),IF(OR(N30&gt;0,AND(N30&lt;0,G30&lt;0)),G30/N30-1,"n/m"),"n/a")</f>
        <v>0.25220317256849856</v>
      </c>
      <c r="H31" s="21">
        <f>IF(AND(ISNUMBER(H30),ISNUMBER(C30)),IF(OR(C30&gt;0,AND(C30&lt;0,H30&lt;0)),H30/C30-1,"n/m"),"n/a")</f>
        <v>0.012862487701780667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25" t="s">
        <v>99</v>
      </c>
      <c r="C32" s="18">
        <f>IF(AND(ISNUMBER(C30),ISNUMBER(M30)),IF(OR(M30&gt;0,AND(M30&lt;0,C30&lt;0)),C30/M30-1,"n/m"),"n/a")</f>
        <v>0.07862143241787822</v>
      </c>
      <c r="D32" s="18">
        <f>IF(AND(ISNUMBER(D30),ISNUMBER(C30)),IF(OR(C30&gt;0,AND(C30&lt;0,D30&lt;0)),D30/C30-1,"n/m"),"n/a")</f>
        <v>0.10384423364952577</v>
      </c>
      <c r="E32" s="18">
        <f>IF(AND(ISNUMBER(E30),ISNUMBER(D30)),IF(OR(D30&gt;0,AND(D30&lt;0,E30&lt;0)),E30/D30-1,"n/m"),"n/a")</f>
        <v>-0.24513794663048394</v>
      </c>
      <c r="F32" s="18">
        <f>IF(AND(ISNUMBER(F30),ISNUMBER(E30)),IF(OR(E30&gt;0,AND(E30&lt;0,F30&lt;0)),F30/E30-1,"n/m"),"n/a")</f>
        <v>0.18813660874775318</v>
      </c>
      <c r="G32" s="18" t="s">
        <v>100</v>
      </c>
      <c r="H32" s="21">
        <f>IF(AND(ISNUMBER(H30),ISNUMBER(F30)),IF(OR(F30&gt;0,AND(F30&lt;0,H30&lt;0)),H30/F30-1,"n/m"),"n/a")</f>
        <v>0.023077943956967495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4" t="s">
        <v>101</v>
      </c>
      <c r="C33" s="2">
        <f>IF(AND(ISNUMBER(C30),ISNUMBER(M30)),C30-M30,"n/a")</f>
        <v>146</v>
      </c>
      <c r="D33" s="2">
        <f>IF(AND(ISNUMBER(D30),ISNUMBER(C30)),D30-C30,"n/a")</f>
        <v>208</v>
      </c>
      <c r="E33" s="2">
        <f>IF(AND(ISNUMBER(E30),ISNUMBER(D30)),E30-D30,"n/a")</f>
        <v>-542</v>
      </c>
      <c r="F33" s="2">
        <f>IF(AND(ISNUMBER(F30),ISNUMBER(E30)),F30-E30,"n/a")</f>
        <v>314</v>
      </c>
      <c r="G33" s="2" t="s">
        <v>100</v>
      </c>
      <c r="H33" s="7">
        <f>IF(AND(ISNUMBER(H30),ISNUMBER(F30)),H30-F30,"n/a")</f>
        <v>45.76356286666669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25" t="s">
        <v>102</v>
      </c>
      <c r="C34" s="18">
        <f>IF(AND(ISNUMBER(C30),ISNUMBER(C60)),C30/C60,"n/a")</f>
        <v>0.10763609006394755</v>
      </c>
      <c r="D34" s="18">
        <f>IF(AND(ISNUMBER(D30),ISNUMBER(D60)),D30/D60,"n/a")</f>
        <v>0.10880370060528517</v>
      </c>
      <c r="E34" s="18">
        <f>IF(AND(ISNUMBER(E30),ISNUMBER(E60)),E30/E60,"n/a")</f>
        <v>0.09261417235447533</v>
      </c>
      <c r="F34" s="18">
        <f>IF(AND(ISNUMBER(F30),ISNUMBER(F60)),F30/F60,"n/a")</f>
        <v>0.09883865822658626</v>
      </c>
      <c r="G34" s="18">
        <f>IF(AND(ISNUMBER(G30),ISNUMBER(G60)),G30/G60,"n/a")</f>
        <v>0.10413335465302206</v>
      </c>
      <c r="H34" s="21">
        <f>IF(AND(ISNUMBER(H30),ISNUMBER(H60)),H30/H60,"n/a")</f>
        <v>0.10068196596516557</v>
      </c>
      <c r="I34" s="1"/>
      <c r="J34" s="18">
        <f>IF(AND(ISNUMBER(J30),ISNUMBER(J60)),J30/J60,"n/a")</f>
        <v>0.08787418147801684</v>
      </c>
      <c r="K34" s="18">
        <f>IF(AND(ISNUMBER(K30),ISNUMBER(K60)),K30/K60,"n/a")</f>
        <v>0.09069917302115776</v>
      </c>
      <c r="L34" s="18">
        <f>IF(AND(ISNUMBER(L30),ISNUMBER(L60)),L30/L60,"n/a")</f>
        <v>0.09708845961142348</v>
      </c>
      <c r="M34" s="18">
        <f>IF(AND(ISNUMBER(M30),ISNUMBER(M60)),M30/M60,"n/a")</f>
        <v>0.10228587166069954</v>
      </c>
      <c r="N34" s="18">
        <f>IF(AND(ISNUMBER(N30),ISNUMBER(N60)),N30/N60,"n/a")</f>
        <v>0.08784820460847656</v>
      </c>
      <c r="O34" s="18">
        <f>IF(AND(ISNUMBER(O30),ISNUMBER(O60)),O30/O60,"n/a")</f>
        <v>0.08683542854962706</v>
      </c>
      <c r="P34" s="18">
        <f>IF(AND(ISNUMBER(P30),ISNUMBER(P60)),P30/P60,"n/a")</f>
        <v>0.1023991813912694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20" t="s">
        <v>103</v>
      </c>
      <c r="C35" s="5">
        <f>IF(AND(ISNUMBER(C34),ISNUMBER(J34)),(C34-J34)*10000,"n/a")</f>
        <v>197.619085859307</v>
      </c>
      <c r="D35" s="5">
        <f>IF(AND(ISNUMBER(D34),ISNUMBER(K34)),(D34-K34)*10000,"n/a")</f>
        <v>181.04527584127408</v>
      </c>
      <c r="E35" s="5">
        <f>IF(AND(ISNUMBER(E34),ISNUMBER(L34)),(E34-L34)*10000,"n/a")</f>
        <v>-44.742872569481506</v>
      </c>
      <c r="F35" s="5">
        <f>IF(AND(ISNUMBER(F34),ISNUMBER(M34)),(F34-M34)*10000,"n/a")</f>
        <v>-34.47213434113278</v>
      </c>
      <c r="G35" s="5">
        <f>IF(AND(ISNUMBER(G34),ISNUMBER(N34)),(G34-N34)*10000,"n/a")</f>
        <v>162.85150044545503</v>
      </c>
      <c r="H35" s="30">
        <f>IF(AND(ISNUMBER(H34),ISNUMBER(C34)),(H34-C34)*10000,"n/a")</f>
        <v>-69.54124098781975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20" t="s">
        <v>104</v>
      </c>
      <c r="C36" s="5">
        <f>IF(AND(ISNUMBER(C34),ISNUMBER(M34)),(C34-M34)*10000,"n/a")</f>
        <v>53.50218403248008</v>
      </c>
      <c r="D36" s="5">
        <f>IF(AND(ISNUMBER(D34),ISNUMBER(C34)),(D34-C34)*10000,"n/a")</f>
        <v>11.67610541337627</v>
      </c>
      <c r="E36" s="5">
        <f>IF(AND(ISNUMBER(E34),ISNUMBER(D34)),(E34-D34)*10000,"n/a")</f>
        <v>-161.8952825080984</v>
      </c>
      <c r="F36" s="5">
        <f>IF(AND(ISNUMBER(F34),ISNUMBER(E34)),(F34-E34)*10000,"n/a")</f>
        <v>62.24485872110927</v>
      </c>
      <c r="G36" s="5" t="s">
        <v>100</v>
      </c>
      <c r="H36" s="30">
        <f>IF(AND(ISNUMBER(H34),ISNUMBER(F34)),(H34-F34)*10000,"n/a")</f>
        <v>18.433077385793112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25" t="s">
        <v>105</v>
      </c>
      <c r="C37" s="18" t="s">
        <v>106</v>
      </c>
      <c r="D37" s="18" t="s">
        <v>106</v>
      </c>
      <c r="E37" s="18" t="s">
        <v>106</v>
      </c>
      <c r="F37" s="18" t="s">
        <v>106</v>
      </c>
      <c r="G37" s="18" t="s">
        <v>106</v>
      </c>
      <c r="H37" s="21" t="s">
        <v>106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5" t="s">
        <v>107</v>
      </c>
      <c r="C38" s="18" t="s">
        <v>106</v>
      </c>
      <c r="D38" s="18" t="s">
        <v>106</v>
      </c>
      <c r="E38" s="18" t="s">
        <v>106</v>
      </c>
      <c r="F38" s="18" t="s">
        <v>106</v>
      </c>
      <c r="G38" s="18" t="s">
        <v>106</v>
      </c>
      <c r="H38" s="21" t="s">
        <v>106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25" t="s">
        <v>108</v>
      </c>
      <c r="C39" s="18" t="str">
        <f>IF(AND(ISNUMBER(C31),ISNUMBER(C37),ISNUMBER(C38)),(1+C31)/((1+C37)*(1+C38))-1,"n/a")</f>
        <v>n/a</v>
      </c>
      <c r="D39" s="18" t="str">
        <f>IF(AND(ISNUMBER(D31),ISNUMBER(D37),ISNUMBER(D38)),(1+D31)/((1+D37)*(1+D38))-1,"n/a")</f>
        <v>n/a</v>
      </c>
      <c r="E39" s="18" t="str">
        <f>IF(AND(ISNUMBER(E31),ISNUMBER(E37),ISNUMBER(E38)),(1+E31)/((1+E37)*(1+E38))-1,"n/a")</f>
        <v>n/a</v>
      </c>
      <c r="F39" s="18" t="str">
        <f>IF(AND(ISNUMBER(F31),ISNUMBER(F37),ISNUMBER(F38)),(1+F31)/((1+F37)*(1+F38))-1,"n/a")</f>
        <v>n/a</v>
      </c>
      <c r="G39" s="18" t="str">
        <f>IF(AND(ISNUMBER(G31),ISNUMBER(G37),ISNUMBER(G38)),(1+G31)/((1+G37)*(1+G38))-1,"n/a")</f>
        <v>n/a</v>
      </c>
      <c r="H39" s="21" t="str">
        <f>IF(AND(ISNUMBER(H31),ISNUMBER(H37),ISNUMBER(H38)),(1+H31)/((1+H37)*(1+H38))-1,"n/a")</f>
        <v>n/a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9" t="s">
        <v>190</v>
      </c>
      <c r="C40" s="35">
        <f>'Segment - Aeronautics'!C153+'Segment - MFC'!C153+'Segment - RMS'!C153+'Segment - Space'!C153</f>
        <v>633</v>
      </c>
      <c r="D40" s="35">
        <f>'Segment - Aeronautics'!D153+'Segment - MFC'!D153+'Segment - RMS'!D153+'Segment - Space'!D153</f>
        <v>770</v>
      </c>
      <c r="E40" s="35">
        <f>'Segment - Aeronautics'!E153+'Segment - MFC'!E153+'Segment - RMS'!E153+'Segment - Space'!E153</f>
        <v>794</v>
      </c>
      <c r="F40" s="35">
        <f>'Segment - Aeronautics'!F153+'Segment - MFC'!F153+'Segment - RMS'!F153+'Segment - Space'!F153</f>
        <v>384</v>
      </c>
      <c r="G40" s="35">
        <f>'Segment - Aeronautics'!G153+'Segment - MFC'!G153+'Segment - RMS'!G153+'Segment - Space'!G153</f>
        <v>2864</v>
      </c>
      <c r="H40" s="34">
        <f>'Segment - Aeronautics'!H153+'Segment - MFC'!H153+'Segment - RMS'!H153+'Segment - Space'!H153</f>
        <v>695.9145539333332</v>
      </c>
      <c r="I40" s="1"/>
      <c r="J40" s="35">
        <f>'Segment - Aeronautics'!J153+'Segment - MFC'!J153+'Segment - RMS'!J153+'Segment - Space'!J153</f>
        <v>729</v>
      </c>
      <c r="K40" s="35">
        <f>'Segment - Aeronautics'!K153+'Segment - MFC'!K153+'Segment - RMS'!K153+'Segment - Space'!K153</f>
        <v>762</v>
      </c>
      <c r="L40" s="35">
        <f>'Segment - Aeronautics'!L153+'Segment - MFC'!L153+'Segment - RMS'!L153+'Segment - Space'!L153</f>
        <v>704</v>
      </c>
      <c r="M40" s="35">
        <f>'Segment - Aeronautics'!M153+'Segment - MFC'!M153+'Segment - RMS'!M153+'Segment - Space'!M153</f>
        <v>757</v>
      </c>
      <c r="N40" s="35">
        <f>'Segment - Aeronautics'!N153+'Segment - MFC'!N153+'Segment - RMS'!N153+'Segment - Space'!N153</f>
        <v>3075</v>
      </c>
      <c r="O40" s="35">
        <f>'Segment - Aeronautics'!O153+'Segment - MFC'!O153+'Segment - RMS'!O153+'Segment - Space'!O153</f>
        <v>2313</v>
      </c>
      <c r="P40" s="35">
        <f>'Segment - Aeronautics'!P153+'Segment - MFC'!P153+'Segment - RMS'!P153+'Segment - Space'!P153</f>
        <v>2094</v>
      </c>
      <c r="Q40" s="1"/>
      <c r="R40" s="9" t="s">
        <v>367</v>
      </c>
      <c r="S40" s="1"/>
      <c r="T40" s="1"/>
      <c r="U40" s="1"/>
      <c r="V40" s="1"/>
      <c r="W40" s="1"/>
      <c r="X40" s="1"/>
      <c r="Y40" s="1"/>
      <c r="Z40" s="1"/>
    </row>
    <row r="41">
      <c r="A41" s="1"/>
      <c r="B41" s="25" t="s">
        <v>98</v>
      </c>
      <c r="C41" s="18">
        <f>IF(AND(ISNUMBER(C40),ISNUMBER(J40)),IF(OR(J40&gt;0,AND(J40&lt;0,C40&lt;0)),C40/J40-1,"n/m"),"n/a")</f>
        <v>-0.13168724279835387</v>
      </c>
      <c r="D41" s="18">
        <f>IF(AND(ISNUMBER(D40),ISNUMBER(K40)),IF(OR(K40&gt;0,AND(K40&lt;0,D40&lt;0)),D40/K40-1,"n/m"),"n/a")</f>
        <v>0.01049868766404205</v>
      </c>
      <c r="E41" s="18">
        <f>IF(AND(ISNUMBER(E40),ISNUMBER(L40)),IF(OR(L40&gt;0,AND(L40&lt;0,E40&lt;0)),E40/L40-1,"n/m"),"n/a")</f>
        <v>0.12784090909090917</v>
      </c>
      <c r="F41" s="18">
        <f>IF(AND(ISNUMBER(F40),ISNUMBER(M40)),IF(OR(M40&gt;0,AND(M40&lt;0,F40&lt;0)),F40/M40-1,"n/m"),"n/a")</f>
        <v>-0.49273447820343463</v>
      </c>
      <c r="G41" s="18">
        <f>IF(AND(ISNUMBER(G40),ISNUMBER(N40)),IF(OR(N40&gt;0,AND(N40&lt;0,G40&lt;0)),G40/N40-1,"n/m"),"n/a")</f>
        <v>-0.06861788617886178</v>
      </c>
      <c r="H41" s="21">
        <f>IF(AND(ISNUMBER(H40),ISNUMBER(C40)),IF(OR(C40&gt;0,AND(C40&lt;0,H40&lt;0)),H40/C40-1,"n/m"),"n/a")</f>
        <v>0.0993910804634015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25" t="s">
        <v>99</v>
      </c>
      <c r="C42" s="18">
        <f>IF(AND(ISNUMBER(C40),ISNUMBER(M40)),IF(OR(M40&gt;0,AND(M40&lt;0,C40&lt;0)),C40/M40-1,"n/m"),"n/a")</f>
        <v>-0.1638044914134742</v>
      </c>
      <c r="D42" s="18">
        <f>IF(AND(ISNUMBER(D40),ISNUMBER(C40)),IF(OR(C40&gt;0,AND(C40&lt;0,D40&lt;0)),D40/C40-1,"n/m"),"n/a")</f>
        <v>0.2164296998420221</v>
      </c>
      <c r="E42" s="18">
        <f>IF(AND(ISNUMBER(E40),ISNUMBER(D40)),IF(OR(D40&gt;0,AND(D40&lt;0,E40&lt;0)),E40/D40-1,"n/m"),"n/a")</f>
        <v>0.03116883116883118</v>
      </c>
      <c r="F42" s="18">
        <f>IF(AND(ISNUMBER(F40),ISNUMBER(E40)),IF(OR(E40&gt;0,AND(E40&lt;0,F40&lt;0)),F40/E40-1,"n/m"),"n/a")</f>
        <v>-0.5163727959697733</v>
      </c>
      <c r="G42" s="18" t="s">
        <v>100</v>
      </c>
      <c r="H42" s="21">
        <f>IF(AND(ISNUMBER(H40),ISNUMBER(F40)),IF(OR(F40&gt;0,AND(F40&lt;0,H40&lt;0)),H40/F40-1,"n/m"),"n/a")</f>
        <v>0.8122774842013885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4" t="s">
        <v>101</v>
      </c>
      <c r="C43" s="2">
        <f>IF(AND(ISNUMBER(C40),ISNUMBER(M40)),C40-M40,"n/a")</f>
        <v>-124</v>
      </c>
      <c r="D43" s="2">
        <f>IF(AND(ISNUMBER(D40),ISNUMBER(C40)),D40-C40,"n/a")</f>
        <v>137</v>
      </c>
      <c r="E43" s="2">
        <f>IF(AND(ISNUMBER(E40),ISNUMBER(D40)),E40-D40,"n/a")</f>
        <v>24</v>
      </c>
      <c r="F43" s="2">
        <f>IF(AND(ISNUMBER(F40),ISNUMBER(E40)),F40-E40,"n/a")</f>
        <v>-410</v>
      </c>
      <c r="G43" s="2" t="s">
        <v>100</v>
      </c>
      <c r="H43" s="7">
        <f>IF(AND(ISNUMBER(H40),ISNUMBER(F40)),H40-F40,"n/a")</f>
        <v>311.9145539333332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5" t="s">
        <v>102</v>
      </c>
      <c r="C44" s="18">
        <f>IF(AND(ISNUMBER(C40),ISNUMBER(C60)),C40/C60,"n/a")</f>
        <v>0.03401579880702886</v>
      </c>
      <c r="D44" s="18">
        <f>IF(AND(ISNUMBER(D40),ISNUMBER(D60)),D40/D60,"n/a")</f>
        <v>0.037891836031691356</v>
      </c>
      <c r="E44" s="18">
        <f>IF(AND(ISNUMBER(E40),ISNUMBER(E60)),E40/E60,"n/a")</f>
        <v>0.04405970811830642</v>
      </c>
      <c r="F44" s="18">
        <f>IF(AND(ISNUMBER(F40),ISNUMBER(F60)),F40/F60,"n/a")</f>
        <v>0.01913970991377162</v>
      </c>
      <c r="G44" s="18">
        <f>IF(AND(ISNUMBER(G40),ISNUMBER(G60)),G40/G60,"n/a")</f>
        <v>0.03816224283125466</v>
      </c>
      <c r="H44" s="21">
        <f>IF(AND(ISNUMBER(H40),ISNUMBER(H60)),H40/H60,"n/a")</f>
        <v>0.03453632878479693</v>
      </c>
      <c r="I44" s="1"/>
      <c r="J44" s="18">
        <f>IF(AND(ISNUMBER(J40),ISNUMBER(J60)),J40/J60,"n/a")</f>
        <v>0.042621608980355476</v>
      </c>
      <c r="K44" s="18">
        <f>IF(AND(ISNUMBER(K40),ISNUMBER(K60)),K40/K60,"n/a")</f>
        <v>0.0409193427129202</v>
      </c>
      <c r="L44" s="18">
        <f>IF(AND(ISNUMBER(L40),ISNUMBER(L60)),L40/L60,"n/a")</f>
        <v>0.03919167176974893</v>
      </c>
      <c r="M44" s="18">
        <f>IF(AND(ISNUMBER(M40),ISNUMBER(M60)),M40/M60,"n/a")</f>
        <v>0.04169650234095291</v>
      </c>
      <c r="N44" s="18">
        <f>IF(AND(ISNUMBER(N40),ISNUMBER(N60)),N40/N60,"n/a")</f>
        <v>0.04328364511633799</v>
      </c>
      <c r="O44" s="18">
        <f>IF(AND(ISNUMBER(O40),ISNUMBER(O60)),O40/O60,"n/a")</f>
        <v>0.04412353827664486</v>
      </c>
      <c r="P44" s="18">
        <f>IF(AND(ISNUMBER(P40),ISNUMBER(P60)),P40/P60,"n/a")</f>
        <v>0.038262649149414366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0" t="s">
        <v>103</v>
      </c>
      <c r="C45" s="5">
        <f>IF(AND(ISNUMBER(C44),ISNUMBER(J44)),(C44-J44)*10000,"n/a")</f>
        <v>-86.05810173326616</v>
      </c>
      <c r="D45" s="5">
        <f>IF(AND(ISNUMBER(D44),ISNUMBER(K44)),(D44-K44)*10000,"n/a")</f>
        <v>-30.275066812288433</v>
      </c>
      <c r="E45" s="5">
        <f>IF(AND(ISNUMBER(E44),ISNUMBER(L44)),(E44-L44)*10000,"n/a")</f>
        <v>48.680363485574944</v>
      </c>
      <c r="F45" s="5">
        <f>IF(AND(ISNUMBER(F44),ISNUMBER(M44)),(F44-M44)*10000,"n/a")</f>
        <v>-225.5679242718129</v>
      </c>
      <c r="G45" s="5">
        <f>IF(AND(ISNUMBER(G44),ISNUMBER(N44)),(G44-N44)*10000,"n/a")</f>
        <v>-51.21402285083329</v>
      </c>
      <c r="H45" s="30">
        <f>IF(AND(ISNUMBER(H44),ISNUMBER(C44)),(H44-C44)*10000,"n/a")</f>
        <v>5.205299777680667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20" t="s">
        <v>104</v>
      </c>
      <c r="C46" s="5">
        <f>IF(AND(ISNUMBER(C44),ISNUMBER(M44)),(C44-M44)*10000,"n/a")</f>
        <v>-76.80703533924049</v>
      </c>
      <c r="D46" s="5">
        <f>IF(AND(ISNUMBER(D44),ISNUMBER(C44)),(D44-C44)*10000,"n/a")</f>
        <v>38.76037224662496</v>
      </c>
      <c r="E46" s="5">
        <f>IF(AND(ISNUMBER(E44),ISNUMBER(D44)),(E44-D44)*10000,"n/a")</f>
        <v>61.67872086615067</v>
      </c>
      <c r="F46" s="5">
        <f>IF(AND(ISNUMBER(F44),ISNUMBER(E44)),(F44-E44)*10000,"n/a")</f>
        <v>-249.19998204534804</v>
      </c>
      <c r="G46" s="5" t="s">
        <v>100</v>
      </c>
      <c r="H46" s="30">
        <f>IF(AND(ISNUMBER(H44),ISNUMBER(F44)),(H44-F44)*10000,"n/a")</f>
        <v>153.96618871025308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25" t="s">
        <v>105</v>
      </c>
      <c r="C47" s="18" t="s">
        <v>106</v>
      </c>
      <c r="D47" s="18" t="s">
        <v>106</v>
      </c>
      <c r="E47" s="18" t="s">
        <v>106</v>
      </c>
      <c r="F47" s="18" t="s">
        <v>106</v>
      </c>
      <c r="G47" s="18" t="s">
        <v>106</v>
      </c>
      <c r="H47" s="21" t="s">
        <v>106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5" t="s">
        <v>107</v>
      </c>
      <c r="C48" s="18" t="s">
        <v>106</v>
      </c>
      <c r="D48" s="18" t="s">
        <v>106</v>
      </c>
      <c r="E48" s="18" t="s">
        <v>106</v>
      </c>
      <c r="F48" s="18" t="s">
        <v>106</v>
      </c>
      <c r="G48" s="18" t="s">
        <v>106</v>
      </c>
      <c r="H48" s="21" t="s">
        <v>106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25" t="s">
        <v>108</v>
      </c>
      <c r="C49" s="18" t="str">
        <f>IF(AND(ISNUMBER(C41),ISNUMBER(C47),ISNUMBER(C48)),(1+C41)/((1+C47)*(1+C48))-1,"n/a")</f>
        <v>n/a</v>
      </c>
      <c r="D49" s="18" t="str">
        <f>IF(AND(ISNUMBER(D41),ISNUMBER(D47),ISNUMBER(D48)),(1+D41)/((1+D47)*(1+D48))-1,"n/a")</f>
        <v>n/a</v>
      </c>
      <c r="E49" s="18" t="str">
        <f>IF(AND(ISNUMBER(E41),ISNUMBER(E47),ISNUMBER(E48)),(1+E41)/((1+E47)*(1+E48))-1,"n/a")</f>
        <v>n/a</v>
      </c>
      <c r="F49" s="18" t="str">
        <f>IF(AND(ISNUMBER(F41),ISNUMBER(F47),ISNUMBER(F48)),(1+F41)/((1+F47)*(1+F48))-1,"n/a")</f>
        <v>n/a</v>
      </c>
      <c r="G49" s="18" t="str">
        <f>IF(AND(ISNUMBER(G41),ISNUMBER(G47),ISNUMBER(G48)),(1+G41)/((1+G47)*(1+G48))-1,"n/a")</f>
        <v>n/a</v>
      </c>
      <c r="H49" s="21" t="str">
        <f>IF(AND(ISNUMBER(H41),ISNUMBER(H47),ISNUMBER(H48)),(1+H41)/((1+H47)*(1+H48))-1,"n/a")</f>
        <v>n/a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9" t="s">
        <v>192</v>
      </c>
      <c r="C50" s="35">
        <f>'Segment - Aeronautics'!C163+'Segment - MFC'!C163+'Segment - RMS'!C163+'Segment - Space'!C163</f>
        <v>532</v>
      </c>
      <c r="D50" s="35">
        <f>'Segment - Aeronautics'!D163+'Segment - MFC'!D163+'Segment - RMS'!D163+'Segment - Space'!D163</f>
        <v>605</v>
      </c>
      <c r="E50" s="35">
        <f>'Segment - Aeronautics'!E163+'Segment - MFC'!E163+'Segment - RMS'!E163+'Segment - Space'!E163</f>
        <v>554</v>
      </c>
      <c r="F50" s="35">
        <f>'Segment - Aeronautics'!F163+'Segment - MFC'!F163+'Segment - RMS'!F163+'Segment - Space'!F163</f>
        <v>706</v>
      </c>
      <c r="G50" s="35">
        <f>'Segment - Aeronautics'!G163+'Segment - MFC'!G163+'Segment - RMS'!G163+'Segment - Space'!G163</f>
        <v>1859</v>
      </c>
      <c r="H50" s="34">
        <f>'Segment - Aeronautics'!H163+'Segment - MFC'!H163+'Segment - RMS'!H163+'Segment - Space'!H163</f>
        <v>615.9799929999996</v>
      </c>
      <c r="I50" s="1"/>
      <c r="J50" s="35">
        <f>'Segment - Aeronautics'!J163+'Segment - MFC'!J163+'Segment - RMS'!J163+'Segment - Space'!J163</f>
        <v>398</v>
      </c>
      <c r="K50" s="35">
        <f>'Segment - Aeronautics'!K163+'Segment - MFC'!K163+'Segment - RMS'!K163+'Segment - Space'!K163</f>
        <v>367</v>
      </c>
      <c r="L50" s="35">
        <f>'Segment - Aeronautics'!L163+'Segment - MFC'!L163+'Segment - RMS'!L163+'Segment - Space'!L163</f>
        <v>506</v>
      </c>
      <c r="M50" s="35">
        <f>'Segment - Aeronautics'!M163+'Segment - MFC'!M163+'Segment - RMS'!M163+'Segment - Space'!M163</f>
        <v>216</v>
      </c>
      <c r="N50" s="35">
        <f>'Segment - Aeronautics'!N163+'Segment - MFC'!N163+'Segment - RMS'!N163+'Segment - Space'!N163</f>
        <v>1483</v>
      </c>
      <c r="O50" s="35">
        <f>'Segment - Aeronautics'!O163+'Segment - MFC'!O163+'Segment - RMS'!O163+'Segment - Space'!O163</f>
        <v>1116</v>
      </c>
      <c r="P50" s="35">
        <f>'Segment - Aeronautics'!P163+'Segment - MFC'!P163+'Segment - RMS'!P163+'Segment - Space'!P163</f>
        <v>1254</v>
      </c>
      <c r="Q50" s="1"/>
      <c r="R50" s="9" t="s">
        <v>367</v>
      </c>
      <c r="S50" s="1"/>
      <c r="T50" s="1"/>
      <c r="U50" s="1"/>
      <c r="V50" s="1"/>
      <c r="W50" s="1"/>
      <c r="X50" s="1"/>
      <c r="Y50" s="1"/>
      <c r="Z50" s="1"/>
    </row>
    <row r="51">
      <c r="A51" s="1"/>
      <c r="B51" s="25" t="s">
        <v>98</v>
      </c>
      <c r="C51" s="18">
        <f>IF(AND(ISNUMBER(C50),ISNUMBER(J50)),IF(OR(J50&gt;0,AND(J50&lt;0,C50&lt;0)),C50/J50-1,"n/m"),"n/a")</f>
        <v>0.33668341708542715</v>
      </c>
      <c r="D51" s="18">
        <f>IF(AND(ISNUMBER(D50),ISNUMBER(K50)),IF(OR(K50&gt;0,AND(K50&lt;0,D50&lt;0)),D50/K50-1,"n/m"),"n/a")</f>
        <v>0.6485013623978202</v>
      </c>
      <c r="E51" s="18">
        <f>IF(AND(ISNUMBER(E50),ISNUMBER(L50)),IF(OR(L50&gt;0,AND(L50&lt;0,E50&lt;0)),E50/L50-1,"n/m"),"n/a")</f>
        <v>0.09486166007905128</v>
      </c>
      <c r="F51" s="18">
        <f>IF(AND(ISNUMBER(F50),ISNUMBER(M50)),IF(OR(M50&gt;0,AND(M50&lt;0,F50&lt;0)),F50/M50-1,"n/m"),"n/a")</f>
        <v>2.2685185185185186</v>
      </c>
      <c r="G51" s="18">
        <f>IF(AND(ISNUMBER(G50),ISNUMBER(N50)),IF(OR(N50&gt;0,AND(N50&lt;0,G50&lt;0)),G50/N50-1,"n/m"),"n/a")</f>
        <v>0.2535401213755901</v>
      </c>
      <c r="H51" s="21">
        <f>IF(AND(ISNUMBER(H50),ISNUMBER(C50)),IF(OR(C50&gt;0,AND(C50&lt;0,H50&lt;0)),H50/C50-1,"n/m"),"n/a")</f>
        <v>0.15785712969924726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25" t="s">
        <v>99</v>
      </c>
      <c r="C52" s="18">
        <f>IF(AND(ISNUMBER(C50),ISNUMBER(M50)),IF(OR(M50&gt;0,AND(M50&lt;0,C50&lt;0)),C50/M50-1,"n/m"),"n/a")</f>
        <v>1.4629629629629628</v>
      </c>
      <c r="D52" s="18">
        <f>IF(AND(ISNUMBER(D50),ISNUMBER(C50)),IF(OR(C50&gt;0,AND(C50&lt;0,D50&lt;0)),D50/C50-1,"n/m"),"n/a")</f>
        <v>0.13721804511278202</v>
      </c>
      <c r="E52" s="18">
        <f>IF(AND(ISNUMBER(E50),ISNUMBER(D50)),IF(OR(D50&gt;0,AND(D50&lt;0,E50&lt;0)),E50/D50-1,"n/m"),"n/a")</f>
        <v>-0.08429752066115703</v>
      </c>
      <c r="F52" s="18">
        <f>IF(AND(ISNUMBER(F50),ISNUMBER(E50)),IF(OR(E50&gt;0,AND(E50&lt;0,F50&lt;0)),F50/E50-1,"n/m"),"n/a")</f>
        <v>0.2743682310469313</v>
      </c>
      <c r="G52" s="18" t="s">
        <v>100</v>
      </c>
      <c r="H52" s="21">
        <f>IF(AND(ISNUMBER(H50),ISNUMBER(F50)),IF(OR(F50&gt;0,AND(F50&lt;0,H50&lt;0)),H50/F50-1,"n/m"),"n/a")</f>
        <v>-0.12750709206798927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4" t="s">
        <v>101</v>
      </c>
      <c r="C53" s="2">
        <f>IF(AND(ISNUMBER(C50),ISNUMBER(M50)),C50-M50,"n/a")</f>
        <v>316</v>
      </c>
      <c r="D53" s="2">
        <f>IF(AND(ISNUMBER(D50),ISNUMBER(C50)),D50-C50,"n/a")</f>
        <v>73</v>
      </c>
      <c r="E53" s="2">
        <f>IF(AND(ISNUMBER(E50),ISNUMBER(D50)),E50-D50,"n/a")</f>
        <v>-51</v>
      </c>
      <c r="F53" s="2">
        <f>IF(AND(ISNUMBER(F50),ISNUMBER(E50)),F50-E50,"n/a")</f>
        <v>152</v>
      </c>
      <c r="G53" s="2" t="s">
        <v>100</v>
      </c>
      <c r="H53" s="7">
        <f>IF(AND(ISNUMBER(H50),ISNUMBER(F50)),H50-F50,"n/a")</f>
        <v>-90.02000700000042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5" t="s">
        <v>102</v>
      </c>
      <c r="C54" s="18">
        <f>IF(AND(ISNUMBER(C50),ISNUMBER(C60)),C50/C60,"n/a")</f>
        <v>0.028588317480788866</v>
      </c>
      <c r="D54" s="18">
        <f>IF(AND(ISNUMBER(D50),ISNUMBER(D60)),D50/D60,"n/a")</f>
        <v>0.029772156882043207</v>
      </c>
      <c r="E54" s="18">
        <f>IF(AND(ISNUMBER(E50),ISNUMBER(E60)),E50/E60,"n/a")</f>
        <v>0.03074191221352866</v>
      </c>
      <c r="F54" s="18">
        <f>IF(AND(ISNUMBER(F50),ISNUMBER(F60)),F50/F60,"n/a")</f>
        <v>0.035189154164382196</v>
      </c>
      <c r="G54" s="18">
        <f>IF(AND(ISNUMBER(G50),ISNUMBER(G60)),G50/G60,"n/a")</f>
        <v>0.024770813346125145</v>
      </c>
      <c r="H54" s="21">
        <f>IF(AND(ISNUMBER(H50),ISNUMBER(H60)),H50/H60,"n/a")</f>
        <v>0.03056939597378051</v>
      </c>
      <c r="I54" s="1"/>
      <c r="J54" s="18">
        <f>IF(AND(ISNUMBER(J50),ISNUMBER(J60)),J50/J60,"n/a")</f>
        <v>0.023269410664172124</v>
      </c>
      <c r="K54" s="18">
        <f>IF(AND(ISNUMBER(K50),ISNUMBER(K60)),K50/K60,"n/a")</f>
        <v>0.019707872408978627</v>
      </c>
      <c r="L54" s="18">
        <f>IF(AND(ISNUMBER(L50),ISNUMBER(L60)),L50/L60,"n/a")</f>
        <v>0.028169014084507043</v>
      </c>
      <c r="M54" s="18">
        <f>IF(AND(ISNUMBER(M50),ISNUMBER(M60)),M50/M60,"n/a")</f>
        <v>0.011897548884604791</v>
      </c>
      <c r="N54" s="18">
        <f>IF(AND(ISNUMBER(N50),ISNUMBER(N60)),N50/N60,"n/a")</f>
        <v>0.02087468153090382</v>
      </c>
      <c r="O54" s="18">
        <f>IF(AND(ISNUMBER(O50),ISNUMBER(O60)),O50/O60,"n/a")</f>
        <v>0.021289178001182733</v>
      </c>
      <c r="P54" s="18">
        <f>IF(AND(ISNUMBER(P50),ISNUMBER(P60)),P50/P60,"n/a")</f>
        <v>0.022913735450508888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0" t="s">
        <v>103</v>
      </c>
      <c r="C55" s="5">
        <f>IF(AND(ISNUMBER(C54),ISNUMBER(J54)),(C54-J54)*10000,"n/a")</f>
        <v>53.18906816616741</v>
      </c>
      <c r="D55" s="5">
        <f>IF(AND(ISNUMBER(D54),ISNUMBER(K54)),(D54-K54)*10000,"n/a")</f>
        <v>100.6428447306458</v>
      </c>
      <c r="E55" s="5">
        <f>IF(AND(ISNUMBER(E54),ISNUMBER(L54)),(E54-L54)*10000,"n/a")</f>
        <v>25.72898129021617</v>
      </c>
      <c r="F55" s="5">
        <f>IF(AND(ISNUMBER(F54),ISNUMBER(M54)),(F54-M54)*10000,"n/a")</f>
        <v>232.91605279777403</v>
      </c>
      <c r="G55" s="5">
        <f>IF(AND(ISNUMBER(G54),ISNUMBER(N54)),(G54-N54)*10000,"n/a")</f>
        <v>38.96131815221325</v>
      </c>
      <c r="H55" s="30">
        <f>IF(AND(ISNUMBER(H54),ISNUMBER(C54)),(H54-C54)*10000,"n/a")</f>
        <v>19.810784929916448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20" t="s">
        <v>104</v>
      </c>
      <c r="C56" s="5">
        <f>IF(AND(ISNUMBER(C54),ISNUMBER(M54)),(C54-M54)*10000,"n/a")</f>
        <v>166.90768596184077</v>
      </c>
      <c r="D56" s="5">
        <f>IF(AND(ISNUMBER(D54),ISNUMBER(C54)),(D54-C54)*10000,"n/a")</f>
        <v>11.838394012543413</v>
      </c>
      <c r="E56" s="5">
        <f>IF(AND(ISNUMBER(E54),ISNUMBER(D54)),(E54-D54)*10000,"n/a")</f>
        <v>9.69755331485453</v>
      </c>
      <c r="F56" s="5">
        <f>IF(AND(ISNUMBER(F54),ISNUMBER(E54)),(F54-E54)*10000,"n/a")</f>
        <v>44.47241950853536</v>
      </c>
      <c r="G56" s="5" t="s">
        <v>100</v>
      </c>
      <c r="H56" s="30">
        <f>IF(AND(ISNUMBER(H54),ISNUMBER(F54)),(H54-F54)*10000,"n/a")</f>
        <v>-46.19758190601685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25" t="s">
        <v>105</v>
      </c>
      <c r="C57" s="18" t="s">
        <v>106</v>
      </c>
      <c r="D57" s="18" t="s">
        <v>106</v>
      </c>
      <c r="E57" s="18" t="s">
        <v>106</v>
      </c>
      <c r="F57" s="18" t="s">
        <v>106</v>
      </c>
      <c r="G57" s="18" t="s">
        <v>106</v>
      </c>
      <c r="H57" s="21" t="s">
        <v>106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25" t="s">
        <v>107</v>
      </c>
      <c r="C58" s="18" t="s">
        <v>106</v>
      </c>
      <c r="D58" s="18" t="s">
        <v>106</v>
      </c>
      <c r="E58" s="18" t="s">
        <v>106</v>
      </c>
      <c r="F58" s="18" t="s">
        <v>106</v>
      </c>
      <c r="G58" s="18" t="s">
        <v>106</v>
      </c>
      <c r="H58" s="21" t="s">
        <v>106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25" t="s">
        <v>108</v>
      </c>
      <c r="C59" s="18" t="str">
        <f>IF(AND(ISNUMBER(C51),ISNUMBER(C57),ISNUMBER(C58)),(1+C51)/((1+C57)*(1+C58))-1,"n/a")</f>
        <v>n/a</v>
      </c>
      <c r="D59" s="18" t="str">
        <f>IF(AND(ISNUMBER(D51),ISNUMBER(D57),ISNUMBER(D58)),(1+D51)/((1+D57)*(1+D58))-1,"n/a")</f>
        <v>n/a</v>
      </c>
      <c r="E59" s="18" t="str">
        <f>IF(AND(ISNUMBER(E51),ISNUMBER(E57),ISNUMBER(E58)),(1+E51)/((1+E57)*(1+E58))-1,"n/a")</f>
        <v>n/a</v>
      </c>
      <c r="F59" s="18" t="str">
        <f>IF(AND(ISNUMBER(F51),ISNUMBER(F57),ISNUMBER(F58)),(1+F51)/((1+F57)*(1+F58))-1,"n/a")</f>
        <v>n/a</v>
      </c>
      <c r="G59" s="18" t="str">
        <f>IF(AND(ISNUMBER(G51),ISNUMBER(G57),ISNUMBER(G58)),(1+G51)/((1+G57)*(1+G58))-1,"n/a")</f>
        <v>n/a</v>
      </c>
      <c r="H59" s="21" t="str">
        <f>IF(AND(ISNUMBER(H51),ISNUMBER(H57),ISNUMBER(H58)),(1+H51)/((1+H57)*(1+H58))-1,"n/a")</f>
        <v>n/a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46" t="s">
        <v>368</v>
      </c>
      <c r="C60" s="14">
        <f>C10+C20+C30+C40+C50</f>
        <v>18609</v>
      </c>
      <c r="D60" s="14">
        <f>D10+D20+D30+D40+D50</f>
        <v>20321</v>
      </c>
      <c r="E60" s="14">
        <f>E10+E20+E30+E40+E50</f>
        <v>18021</v>
      </c>
      <c r="F60" s="14">
        <f>F10+F20+F30+F40+F50</f>
        <v>20063</v>
      </c>
      <c r="G60" s="14">
        <f>G10+G20+G30+G40+G50</f>
        <v>75048</v>
      </c>
      <c r="H60" s="48">
        <f>H10+H20+H30+H40+H50</f>
        <v>20150.218</v>
      </c>
      <c r="I60" s="1"/>
      <c r="J60" s="14">
        <f>J10+J20+J30+J40+J50</f>
        <v>17104</v>
      </c>
      <c r="K60" s="14">
        <f>K10+K20+K30+K40+K50</f>
        <v>18622</v>
      </c>
      <c r="L60" s="14">
        <f>L10+L20+L30+L40+L50</f>
        <v>17963</v>
      </c>
      <c r="M60" s="14">
        <f>M10+M20+M30+M40+M50</f>
        <v>18155</v>
      </c>
      <c r="N60" s="14">
        <f>N10+N20+N30+N40+N50</f>
        <v>71043</v>
      </c>
      <c r="O60" s="14">
        <f>O10+O20+O30+O40+O50</f>
        <v>52421</v>
      </c>
      <c r="P60" s="14">
        <f>P10+P20+P30+P40+P50</f>
        <v>54727</v>
      </c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5" t="s">
        <v>98</v>
      </c>
      <c r="C61" s="18">
        <f>IF(AND(ISNUMBER(C60),ISNUMBER(J60)),IF(OR(J60&gt;0,AND(J60&lt;0,C60&lt;0)),C60/J60-1,"n/m"),"n/a")</f>
        <v>0.08799111318989716</v>
      </c>
      <c r="D61" s="18">
        <f>IF(AND(ISNUMBER(D60),ISNUMBER(K60)),IF(OR(K60&gt;0,AND(K60&lt;0,D60&lt;0)),D60/K60-1,"n/m"),"n/a")</f>
        <v>0.09123617226935887</v>
      </c>
      <c r="E61" s="18">
        <f>IF(AND(ISNUMBER(E60),ISNUMBER(L60)),IF(OR(L60&gt;0,AND(L60&lt;0,E60&lt;0)),E60/L60-1,"n/m"),"n/a")</f>
        <v>0.0032288593219396144</v>
      </c>
      <c r="F61" s="18">
        <f>IF(AND(ISNUMBER(F60),ISNUMBER(M60)),IF(OR(M60&gt;0,AND(M60&lt;0,F60&lt;0)),F60/M60-1,"n/m"),"n/a")</f>
        <v>0.10509501514734243</v>
      </c>
      <c r="G61" s="18">
        <f>IF(AND(ISNUMBER(G60),ISNUMBER(N60)),IF(OR(N60&gt;0,AND(N60&lt;0,G60&lt;0)),G60/N60-1,"n/m"),"n/a")</f>
        <v>0.0563743085173769</v>
      </c>
      <c r="H61" s="21">
        <f>IF(AND(ISNUMBER(H60),ISNUMBER(C60)),IF(OR(C60&gt;0,AND(C60&lt;0,H60&lt;0)),H60/C60-1,"n/m"),"n/a")</f>
        <v>0.08282110806598952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5" t="s">
        <v>99</v>
      </c>
      <c r="C62" s="18">
        <f>IF(AND(ISNUMBER(C60),ISNUMBER(M60)),IF(OR(M60&gt;0,AND(M60&lt;0,C60&lt;0)),C60/M60-1,"n/m"),"n/a")</f>
        <v>0.025006885155604452</v>
      </c>
      <c r="D62" s="18">
        <f>IF(AND(ISNUMBER(D60),ISNUMBER(C60)),IF(OR(C60&gt;0,AND(C60&lt;0,D60&lt;0)),D60/C60-1,"n/m"),"n/a")</f>
        <v>0.09199849535171145</v>
      </c>
      <c r="E62" s="18">
        <f>IF(AND(ISNUMBER(E60),ISNUMBER(D60)),IF(OR(D60&gt;0,AND(D60&lt;0,E60&lt;0)),E60/D60-1,"n/m"),"n/a")</f>
        <v>-0.11318340632842872</v>
      </c>
      <c r="F62" s="18">
        <f>IF(AND(ISNUMBER(F60),ISNUMBER(E60)),IF(OR(E60&gt;0,AND(E60&lt;0,F60&lt;0)),F60/E60-1,"n/m"),"n/a")</f>
        <v>0.11331224682315066</v>
      </c>
      <c r="G62" s="18" t="s">
        <v>100</v>
      </c>
      <c r="H62" s="21">
        <f>IF(AND(ISNUMBER(H60),ISNUMBER(F60)),IF(OR(F60&gt;0,AND(F60&lt;0,H60&lt;0)),H60/F60-1,"n/m"),"n/a")</f>
        <v>0.004347206300154616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4" t="s">
        <v>101</v>
      </c>
      <c r="C63" s="2">
        <f>IF(AND(ISNUMBER(C60),ISNUMBER(M60)),C60-M60,"n/a")</f>
        <v>454</v>
      </c>
      <c r="D63" s="2">
        <f>IF(AND(ISNUMBER(D60),ISNUMBER(C60)),D60-C60,"n/a")</f>
        <v>1712</v>
      </c>
      <c r="E63" s="2">
        <f>IF(AND(ISNUMBER(E60),ISNUMBER(D60)),E60-D60,"n/a")</f>
        <v>-2300</v>
      </c>
      <c r="F63" s="2">
        <f>IF(AND(ISNUMBER(F60),ISNUMBER(E60)),F60-E60,"n/a")</f>
        <v>2042</v>
      </c>
      <c r="G63" s="2" t="s">
        <v>100</v>
      </c>
      <c r="H63" s="7">
        <f>IF(AND(ISNUMBER(H60),ISNUMBER(F60)),H60-F60,"n/a")</f>
        <v>87.21800000000076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25" t="s">
        <v>105</v>
      </c>
      <c r="C64" s="18" t="s">
        <v>106</v>
      </c>
      <c r="D64" s="18" t="s">
        <v>106</v>
      </c>
      <c r="E64" s="18" t="s">
        <v>106</v>
      </c>
      <c r="F64" s="18" t="s">
        <v>106</v>
      </c>
      <c r="G64" s="18" t="s">
        <v>106</v>
      </c>
      <c r="H64" s="21" t="s">
        <v>106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25" t="s">
        <v>107</v>
      </c>
      <c r="C65" s="18" t="s">
        <v>106</v>
      </c>
      <c r="D65" s="18" t="s">
        <v>106</v>
      </c>
      <c r="E65" s="18" t="s">
        <v>106</v>
      </c>
      <c r="F65" s="18" t="s">
        <v>106</v>
      </c>
      <c r="G65" s="18" t="s">
        <v>106</v>
      </c>
      <c r="H65" s="21" t="s">
        <v>106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25" t="s">
        <v>108</v>
      </c>
      <c r="C66" s="18" t="str">
        <f>IF(AND(ISNUMBER(C61),ISNUMBER(C64),ISNUMBER(C65)),(1+C61)/((1+C64)*(1+C65))-1,"n/a")</f>
        <v>n/a</v>
      </c>
      <c r="D66" s="18" t="str">
        <f>IF(AND(ISNUMBER(D61),ISNUMBER(D64),ISNUMBER(D65)),(1+D61)/((1+D64)*(1+D65))-1,"n/a")</f>
        <v>n/a</v>
      </c>
      <c r="E66" s="18" t="str">
        <f>IF(AND(ISNUMBER(E61),ISNUMBER(E64),ISNUMBER(E65)),(1+E61)/((1+E64)*(1+E65))-1,"n/a")</f>
        <v>n/a</v>
      </c>
      <c r="F66" s="18" t="str">
        <f>IF(AND(ISNUMBER(F61),ISNUMBER(F64),ISNUMBER(F65)),(1+F61)/((1+F64)*(1+F65))-1,"n/a")</f>
        <v>n/a</v>
      </c>
      <c r="G66" s="18" t="str">
        <f>IF(AND(ISNUMBER(G61),ISNUMBER(G64),ISNUMBER(G65)),(1+G61)/((1+G64)*(1+G65))-1,"n/a")</f>
        <v>n/a</v>
      </c>
      <c r="H66" s="21" t="str">
        <f>IF(AND(ISNUMBER(H61),ISNUMBER(H64),ISNUMBER(H65)),(1+H61)/((1+H64)*(1+H65))-1,"n/a")</f>
        <v>n/a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4" t="s">
        <v>369</v>
      </c>
      <c r="C67" s="2">
        <f>C60-C10</f>
        <v>5179</v>
      </c>
      <c r="D67" s="2">
        <f>D60-D10</f>
        <v>6326</v>
      </c>
      <c r="E67" s="2">
        <f>E60-E10</f>
        <v>5642</v>
      </c>
      <c r="F67" s="2">
        <f>F60-F10</f>
        <v>5875</v>
      </c>
      <c r="G67" s="2">
        <f>G60-G10</f>
        <v>21343</v>
      </c>
      <c r="H67" s="7">
        <f>H60-H10</f>
        <v>5987.675038600002</v>
      </c>
      <c r="I67" s="1"/>
      <c r="J67" s="2">
        <f>J60-J10</f>
        <v>4338</v>
      </c>
      <c r="K67" s="2">
        <f>K60-K10</f>
        <v>5303</v>
      </c>
      <c r="L67" s="2">
        <f>L60-L10</f>
        <v>4922</v>
      </c>
      <c r="M67" s="2">
        <f>M60-M10</f>
        <v>4916</v>
      </c>
      <c r="N67" s="2">
        <f>N60-N10</f>
        <v>18515</v>
      </c>
      <c r="O67" s="2">
        <f>O60-O10</f>
        <v>13212</v>
      </c>
      <c r="P67" s="2">
        <f>P60-P10</f>
        <v>15017</v>
      </c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20" t="s">
        <v>98</v>
      </c>
      <c r="C68" s="18">
        <f>IF(AND(ISNUMBER(C67),ISNUMBER(J67)),IF(OR(J67&gt;0,AND(J67&lt;0,C67&lt;0)),C67/J67-1,"n/m"),"n/a")</f>
        <v>0.19386814200092206</v>
      </c>
      <c r="D68" s="18">
        <f>IF(AND(ISNUMBER(D67),ISNUMBER(K67)),IF(OR(K67&gt;0,AND(K67&lt;0,D67&lt;0)),D67/K67-1,"n/m"),"n/a")</f>
        <v>0.19290967376956436</v>
      </c>
      <c r="E68" s="18">
        <f>IF(AND(ISNUMBER(E67),ISNUMBER(L67)),IF(OR(L67&gt;0,AND(L67&lt;0,E67&lt;0)),E67/L67-1,"n/m"),"n/a")</f>
        <v>0.14628199918732232</v>
      </c>
      <c r="F68" s="18">
        <f>IF(AND(ISNUMBER(F67),ISNUMBER(M67)),IF(OR(M67&gt;0,AND(M67&lt;0,F67&lt;0)),F67/M67-1,"n/m"),"n/a")</f>
        <v>0.19507729861676149</v>
      </c>
      <c r="G68" s="18">
        <f>IF(AND(ISNUMBER(G67),ISNUMBER(N67)),IF(OR(N67&gt;0,AND(N67&lt;0,G67&lt;0)),G67/N67-1,"n/m"),"n/a")</f>
        <v>0.1527410207939508</v>
      </c>
      <c r="H68" s="21">
        <f>IF(AND(ISNUMBER(H67),ISNUMBER(C67)),IF(OR(C67&gt;0,AND(C67&lt;0,H67&lt;0)),H67/C67-1,"n/m"),"n/a")</f>
        <v>0.15614501614211274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8" t="s">
        <v>101</v>
      </c>
      <c r="C69" s="2">
        <f>IF(AND(ISNUMBER(C67),ISNUMBER(M67)),C67-M67,"n/a")</f>
        <v>263</v>
      </c>
      <c r="D69" s="2">
        <f>IF(AND(ISNUMBER(D67),ISNUMBER(C67)),D67-C67,"n/a")</f>
        <v>1147</v>
      </c>
      <c r="E69" s="2">
        <f>IF(AND(ISNUMBER(E67),ISNUMBER(D67)),E67-D67,"n/a")</f>
        <v>-684</v>
      </c>
      <c r="F69" s="2">
        <f>IF(AND(ISNUMBER(F67),ISNUMBER(E67)),F67-E67,"n/a")</f>
        <v>233</v>
      </c>
      <c r="G69" s="2" t="s">
        <v>100</v>
      </c>
      <c r="H69" s="7">
        <f>IF(AND(ISNUMBER(H67),ISNUMBER(F67)),H67-F67,"n/a")</f>
        <v>112.67503860000215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20" t="s">
        <v>105</v>
      </c>
      <c r="C70" s="18" t="s">
        <v>106</v>
      </c>
      <c r="D70" s="18" t="s">
        <v>106</v>
      </c>
      <c r="E70" s="18" t="s">
        <v>106</v>
      </c>
      <c r="F70" s="18" t="s">
        <v>106</v>
      </c>
      <c r="G70" s="18" t="s">
        <v>106</v>
      </c>
      <c r="H70" s="21" t="s">
        <v>106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20" t="s">
        <v>107</v>
      </c>
      <c r="C71" s="18" t="s">
        <v>106</v>
      </c>
      <c r="D71" s="18" t="s">
        <v>106</v>
      </c>
      <c r="E71" s="18" t="s">
        <v>106</v>
      </c>
      <c r="F71" s="18" t="s">
        <v>106</v>
      </c>
      <c r="G71" s="18" t="s">
        <v>106</v>
      </c>
      <c r="H71" s="21" t="s">
        <v>106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20" t="s">
        <v>108</v>
      </c>
      <c r="C72" s="18" t="str">
        <f>IF(AND(ISNUMBER(C68),ISNUMBER(C70),ISNUMBER(C71)),(1+C68)/((1+C70)*(1+C71))-1,"n/a")</f>
        <v>n/a</v>
      </c>
      <c r="D72" s="18" t="str">
        <f>IF(AND(ISNUMBER(D68),ISNUMBER(D70),ISNUMBER(D71)),(1+D68)/((1+D70)*(1+D71))-1,"n/a")</f>
        <v>n/a</v>
      </c>
      <c r="E72" s="18" t="str">
        <f>IF(AND(ISNUMBER(E68),ISNUMBER(E70),ISNUMBER(E71)),(1+E68)/((1+E70)*(1+E71))-1,"n/a")</f>
        <v>n/a</v>
      </c>
      <c r="F72" s="18" t="str">
        <f>IF(AND(ISNUMBER(F68),ISNUMBER(F70),ISNUMBER(F71)),(1+F68)/((1+F70)*(1+F71))-1,"n/a")</f>
        <v>n/a</v>
      </c>
      <c r="G72" s="18" t="str">
        <f>IF(AND(ISNUMBER(G68),ISNUMBER(G70),ISNUMBER(G71)),(1+G68)/((1+G70)*(1+G71))-1,"n/a")</f>
        <v>n/a</v>
      </c>
      <c r="H72" s="21" t="str">
        <f>IF(AND(ISNUMBER(H68),ISNUMBER(H70),ISNUMBER(H71)),(1+H68)/((1+H70)*(1+H71))-1,"n/a")</f>
        <v>n/a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1" t="s">
        <v>370</v>
      </c>
      <c r="C73" s="71">
        <f>C60-'Revenue summary'!C50</f>
        <v>0</v>
      </c>
      <c r="D73" s="71">
        <f>D60-'Revenue summary'!D50</f>
        <v>0</v>
      </c>
      <c r="E73" s="71">
        <f>E60-'Revenue summary'!E50</f>
        <v>0</v>
      </c>
      <c r="F73" s="71">
        <f>F60-'Revenue summary'!F50</f>
        <v>0</v>
      </c>
      <c r="G73" s="71">
        <f>G60-'Revenue summary'!G50</f>
        <v>0</v>
      </c>
      <c r="H73" s="84">
        <f>H60-'Revenue summary'!H50</f>
        <v>0</v>
      </c>
      <c r="I73" s="1"/>
      <c r="J73" s="71">
        <f>J60-'Revenue summary'!J50</f>
        <v>0</v>
      </c>
      <c r="K73" s="71">
        <f>K60-'Revenue summary'!K50</f>
        <v>0</v>
      </c>
      <c r="L73" s="71">
        <f>L60-'Revenue summary'!L50</f>
        <v>0</v>
      </c>
      <c r="M73" s="71">
        <f>M60-'Revenue summary'!M50</f>
        <v>0</v>
      </c>
      <c r="N73" s="71">
        <f>N60-'Revenue summary'!N50</f>
        <v>0</v>
      </c>
      <c r="O73" s="71">
        <f>O60-'Revenue summary'!O50</f>
        <v>0</v>
      </c>
      <c r="P73" s="71">
        <f>P60-'Revenue summary'!P50</f>
        <v>0</v>
      </c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3" t="s">
        <v>371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1"/>
      <c r="T75" s="1"/>
      <c r="U75" s="1"/>
      <c r="V75" s="1"/>
      <c r="W75" s="1"/>
      <c r="X75" s="1"/>
      <c r="Y75" s="1"/>
      <c r="Z75" s="1"/>
    </row>
    <row r="76">
      <c r="A76" s="1"/>
      <c r="B76" s="9" t="s">
        <v>175</v>
      </c>
      <c r="C76" s="35">
        <f>'Segment - Aeronautics'!C89+'Segment - MFC'!C89+'Segment - RMS'!C89+'Segment - Space'!C89</f>
        <v>13371</v>
      </c>
      <c r="D76" s="35">
        <f>'Segment - Aeronautics'!D89+'Segment - MFC'!D89+'Segment - RMS'!D89+'Segment - Space'!D89</f>
        <v>13921</v>
      </c>
      <c r="E76" s="35">
        <f>'Segment - Aeronautics'!E89+'Segment - MFC'!E89+'Segment - RMS'!E89+'Segment - Space'!E89</f>
        <v>12310</v>
      </c>
      <c r="F76" s="35">
        <f>'Segment - Aeronautics'!F89+'Segment - MFC'!F89+'Segment - RMS'!F89+'Segment - Space'!F89</f>
        <v>14127</v>
      </c>
      <c r="G76" s="35">
        <f>'Segment - Aeronautics'!G89+'Segment - MFC'!G89+'Segment - RMS'!G89+'Segment - Space'!G89</f>
        <v>53412</v>
      </c>
      <c r="H76" s="34">
        <f>'Segment - Aeronautics'!H89+'Segment - MFC'!H89+'Segment - RMS'!H89+'Segment - Space'!H89</f>
        <v>14094.573755999998</v>
      </c>
      <c r="I76" s="1"/>
      <c r="J76" s="35">
        <f>'Segment - Aeronautics'!J89+'Segment - MFC'!J89+'Segment - RMS'!J89+'Segment - Space'!J89</f>
        <v>12685</v>
      </c>
      <c r="K76" s="35">
        <f>'Segment - Aeronautics'!K89+'Segment - MFC'!K89+'Segment - RMS'!K89+'Segment - Space'!K89</f>
        <v>13236</v>
      </c>
      <c r="L76" s="35">
        <f>'Segment - Aeronautics'!L89+'Segment - MFC'!L89+'Segment - RMS'!L89+'Segment - Space'!L89</f>
        <v>12949</v>
      </c>
      <c r="M76" s="35">
        <f>'Segment - Aeronautics'!M89+'Segment - MFC'!M89+'Segment - RMS'!M89+'Segment - Space'!M89</f>
        <v>13171</v>
      </c>
      <c r="N76" s="35">
        <f>'Segment - Aeronautics'!N89+'Segment - MFC'!N89+'Segment - RMS'!N89+'Segment - Space'!N89</f>
        <v>52044</v>
      </c>
      <c r="O76" s="35">
        <f>'Segment - Aeronautics'!O89+'Segment - MFC'!O89+'Segment - RMS'!O89+'Segment - Space'!O89</f>
        <v>38808</v>
      </c>
      <c r="P76" s="35">
        <f>'Segment - Aeronautics'!P89+'Segment - MFC'!P89+'Segment - RMS'!P89+'Segment - Space'!P89</f>
        <v>39491</v>
      </c>
      <c r="Q76" s="1"/>
      <c r="R76" s="9" t="s">
        <v>367</v>
      </c>
      <c r="S76" s="1"/>
      <c r="T76" s="1"/>
      <c r="U76" s="1"/>
      <c r="V76" s="1"/>
      <c r="W76" s="1"/>
      <c r="X76" s="1"/>
      <c r="Y76" s="1"/>
      <c r="Z76" s="1"/>
    </row>
    <row r="77">
      <c r="A77" s="1"/>
      <c r="B77" s="25" t="s">
        <v>98</v>
      </c>
      <c r="C77" s="18">
        <f>IF(AND(ISNUMBER(C76),ISNUMBER(J76)),IF(OR(J76&gt;0,AND(J76&lt;0,C76&lt;0)),C76/J76-1,"n/m"),"n/a")</f>
        <v>0.05407962160031543</v>
      </c>
      <c r="D77" s="18">
        <f>IF(AND(ISNUMBER(D76),ISNUMBER(K76)),IF(OR(K76&gt;0,AND(K76&lt;0,D76&lt;0)),D76/K76-1,"n/m"),"n/a")</f>
        <v>0.051752795406467156</v>
      </c>
      <c r="E77" s="18">
        <f>IF(AND(ISNUMBER(E76),ISNUMBER(L76)),IF(OR(L76&gt;0,AND(L76&lt;0,E76&lt;0)),E76/L76-1,"n/m"),"n/a")</f>
        <v>-0.04934743995675339</v>
      </c>
      <c r="F77" s="18">
        <f>IF(AND(ISNUMBER(F76),ISNUMBER(M76)),IF(OR(M76&gt;0,AND(M76&lt;0,F76&lt;0)),F76/M76-1,"n/m"),"n/a")</f>
        <v>0.07258370662819824</v>
      </c>
      <c r="G77" s="18">
        <f>IF(AND(ISNUMBER(G76),ISNUMBER(N76)),IF(OR(N76&gt;0,AND(N76&lt;0,G76&lt;0)),G76/N76-1,"n/m"),"n/a")</f>
        <v>0.02628545077242328</v>
      </c>
      <c r="H77" s="21">
        <f>IF(AND(ISNUMBER(H76),ISNUMBER(C76)),IF(OR(C76&gt;0,AND(C76&lt;0,H76&lt;0)),H76/C76-1,"n/m"),"n/a")</f>
        <v>0.05411515638321718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4" t="s">
        <v>101</v>
      </c>
      <c r="C78" s="2">
        <f>IF(AND(ISNUMBER(C76),ISNUMBER(M76)),C76-M76,"n/a")</f>
        <v>200</v>
      </c>
      <c r="D78" s="2">
        <f>IF(AND(ISNUMBER(D76),ISNUMBER(C76)),D76-C76,"n/a")</f>
        <v>550</v>
      </c>
      <c r="E78" s="2">
        <f>IF(AND(ISNUMBER(E76),ISNUMBER(D76)),E76-D76,"n/a")</f>
        <v>-1611</v>
      </c>
      <c r="F78" s="2">
        <f>IF(AND(ISNUMBER(F76),ISNUMBER(E76)),F76-E76,"n/a")</f>
        <v>1817</v>
      </c>
      <c r="G78" s="2" t="s">
        <v>100</v>
      </c>
      <c r="H78" s="7">
        <f>IF(AND(ISNUMBER(H76),ISNUMBER(F76)),H76-F76,"n/a")</f>
        <v>-32.42624400000204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5" t="s">
        <v>102</v>
      </c>
      <c r="C79" s="18">
        <f>IF(AND(ISNUMBER(C76),ISNUMBER(C103)),C76/C103,"n/a")</f>
        <v>0.7185232951797518</v>
      </c>
      <c r="D79" s="18">
        <f>IF(AND(ISNUMBER(D76),ISNUMBER(D103)),D76/D103,"n/a")</f>
        <v>0.685054869346981</v>
      </c>
      <c r="E79" s="18">
        <f>IF(AND(ISNUMBER(E76),ISNUMBER(E103)),E76/E103,"n/a")</f>
        <v>0.6830919482825593</v>
      </c>
      <c r="F79" s="18">
        <f>IF(AND(ISNUMBER(F76),ISNUMBER(F103)),F76/F103,"n/a")</f>
        <v>0.7041319842496138</v>
      </c>
      <c r="G79" s="18">
        <f>IF(AND(ISNUMBER(G76),ISNUMBER(G103)),G76/G103,"n/a")</f>
        <v>0.7117045091141669</v>
      </c>
      <c r="H79" s="21">
        <f>IF(AND(ISNUMBER(H76),ISNUMBER(H103)),H76/H103,"n/a")</f>
        <v>0.6994750010148774</v>
      </c>
      <c r="I79" s="1"/>
      <c r="J79" s="18">
        <f>IF(AND(ISNUMBER(J76),ISNUMBER(J103)),J76/J103,"n/a")</f>
        <v>0.7416393826005613</v>
      </c>
      <c r="K79" s="18">
        <f>IF(AND(ISNUMBER(K76),ISNUMBER(K103)),K76/K103,"n/a")</f>
        <v>0.7107722049189131</v>
      </c>
      <c r="L79" s="18">
        <f>IF(AND(ISNUMBER(L76),ISNUMBER(L103)),L76/L103,"n/a")</f>
        <v>0.7208706786171575</v>
      </c>
      <c r="M79" s="18">
        <f>IF(AND(ISNUMBER(M76),ISNUMBER(M103)),M76/M103,"n/a")</f>
        <v>0.7254750757367117</v>
      </c>
      <c r="N79" s="18">
        <f>IF(AND(ISNUMBER(N76),ISNUMBER(N103)),N76/N103,"n/a")</f>
        <v>0.7325704151007136</v>
      </c>
      <c r="O79" s="18">
        <f>IF(AND(ISNUMBER(O76),ISNUMBER(O103)),O76/O103,"n/a")</f>
        <v>0.740313996299193</v>
      </c>
      <c r="P79" s="18">
        <f>IF(AND(ISNUMBER(P76),ISNUMBER(P103)),P76/P103,"n/a")</f>
        <v>0.7215999415279478</v>
      </c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20" t="s">
        <v>103</v>
      </c>
      <c r="C80" s="5">
        <f>IF(AND(ISNUMBER(C79),ISNUMBER(J79)),(C79-J79)*10000,"n/a")</f>
        <v>-231.16087420809507</v>
      </c>
      <c r="D80" s="5">
        <f>IF(AND(ISNUMBER(D79),ISNUMBER(K79)),(D79-K79)*10000,"n/a")</f>
        <v>-257.1733557193212</v>
      </c>
      <c r="E80" s="5">
        <f>IF(AND(ISNUMBER(E79),ISNUMBER(L79)),(E79-L79)*10000,"n/a")</f>
        <v>-377.7873033459822</v>
      </c>
      <c r="F80" s="5">
        <f>IF(AND(ISNUMBER(F79),ISNUMBER(M79)),(F79-M79)*10000,"n/a")</f>
        <v>-213.430914870979</v>
      </c>
      <c r="G80" s="5">
        <f>IF(AND(ISNUMBER(G79),ISNUMBER(N79)),(G79-N79)*10000,"n/a")</f>
        <v>-208.65905986546696</v>
      </c>
      <c r="H80" s="30">
        <f>IF(AND(ISNUMBER(H79),ISNUMBER(C79)),(H79-C79)*10000,"n/a")</f>
        <v>-190.48294164874414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20" t="s">
        <v>104</v>
      </c>
      <c r="C81" s="5">
        <f>IF(AND(ISNUMBER(C79),ISNUMBER(M79)),(C79-M79)*10000,"n/a")</f>
        <v>-69.51780556959886</v>
      </c>
      <c r="D81" s="5">
        <f>IF(AND(ISNUMBER(D79),ISNUMBER(C79)),(D79-C79)*10000,"n/a")</f>
        <v>-334.68425832770765</v>
      </c>
      <c r="E81" s="5">
        <f>IF(AND(ISNUMBER(E79),ISNUMBER(D79)),(E79-D79)*10000,"n/a")</f>
        <v>-19.629210644217522</v>
      </c>
      <c r="F81" s="5">
        <f>IF(AND(ISNUMBER(F79),ISNUMBER(E79)),(F79-E79)*10000,"n/a")</f>
        <v>210.40035967054504</v>
      </c>
      <c r="G81" s="5" t="s">
        <v>100</v>
      </c>
      <c r="H81" s="30">
        <f>IF(AND(ISNUMBER(H79),ISNUMBER(F79)),(H79-F79)*10000,"n/a")</f>
        <v>-46.569832347364006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5" t="s">
        <v>105</v>
      </c>
      <c r="C82" s="18" t="s">
        <v>106</v>
      </c>
      <c r="D82" s="18" t="s">
        <v>106</v>
      </c>
      <c r="E82" s="18" t="s">
        <v>106</v>
      </c>
      <c r="F82" s="18" t="s">
        <v>106</v>
      </c>
      <c r="G82" s="18" t="s">
        <v>106</v>
      </c>
      <c r="H82" s="21" t="s">
        <v>106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5" t="s">
        <v>107</v>
      </c>
      <c r="C83" s="18" t="s">
        <v>106</v>
      </c>
      <c r="D83" s="18" t="s">
        <v>106</v>
      </c>
      <c r="E83" s="18" t="s">
        <v>106</v>
      </c>
      <c r="F83" s="18" t="s">
        <v>106</v>
      </c>
      <c r="G83" s="18" t="s">
        <v>106</v>
      </c>
      <c r="H83" s="21" t="s">
        <v>106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25" t="s">
        <v>108</v>
      </c>
      <c r="C84" s="18" t="str">
        <f>IF(AND(ISNUMBER(C77),ISNUMBER(C82),ISNUMBER(C83)),(1+C77)/((1+C82)*(1+C83))-1,"n/a")</f>
        <v>n/a</v>
      </c>
      <c r="D84" s="18" t="str">
        <f>IF(AND(ISNUMBER(D77),ISNUMBER(D82),ISNUMBER(D83)),(1+D77)/((1+D82)*(1+D83))-1,"n/a")</f>
        <v>n/a</v>
      </c>
      <c r="E84" s="18" t="str">
        <f>IF(AND(ISNUMBER(E77),ISNUMBER(E82),ISNUMBER(E83)),(1+E77)/((1+E82)*(1+E83))-1,"n/a")</f>
        <v>n/a</v>
      </c>
      <c r="F84" s="18" t="str">
        <f>IF(AND(ISNUMBER(F77),ISNUMBER(F82),ISNUMBER(F83)),(1+F77)/((1+F82)*(1+F83))-1,"n/a")</f>
        <v>n/a</v>
      </c>
      <c r="G84" s="18" t="str">
        <f>IF(AND(ISNUMBER(G77),ISNUMBER(G82),ISNUMBER(G83)),(1+G77)/((1+G82)*(1+G83))-1,"n/a")</f>
        <v>n/a</v>
      </c>
      <c r="H84" s="21" t="str">
        <f>IF(AND(ISNUMBER(H77),ISNUMBER(H82),ISNUMBER(H83)),(1+H77)/((1+H82)*(1+H83))-1,"n/a")</f>
        <v>n/a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9" t="s">
        <v>177</v>
      </c>
      <c r="C85" s="35">
        <f>'Segment - Aeronautics'!C99+'Segment - MFC'!C99+'Segment - RMS'!C99+'Segment - Space'!C99</f>
        <v>5179</v>
      </c>
      <c r="D85" s="35">
        <f>'Segment - Aeronautics'!D99+'Segment - MFC'!D99+'Segment - RMS'!D99+'Segment - Space'!D99</f>
        <v>6326</v>
      </c>
      <c r="E85" s="35">
        <f>'Segment - Aeronautics'!E99+'Segment - MFC'!E99+'Segment - RMS'!E99+'Segment - Space'!E99</f>
        <v>5642</v>
      </c>
      <c r="F85" s="35">
        <f>'Segment - Aeronautics'!F99+'Segment - MFC'!F99+'Segment - RMS'!F99+'Segment - Space'!F99</f>
        <v>5875</v>
      </c>
      <c r="G85" s="35">
        <f>'Segment - Aeronautics'!G99+'Segment - MFC'!G99+'Segment - RMS'!G99+'Segment - Space'!G99</f>
        <v>21343</v>
      </c>
      <c r="H85" s="34">
        <f>'Segment - Aeronautics'!H99+'Segment - MFC'!H99+'Segment - RMS'!H99+'Segment - Space'!H99</f>
        <v>5987.6750386</v>
      </c>
      <c r="I85" s="1"/>
      <c r="J85" s="35">
        <f>'Segment - Aeronautics'!J99+'Segment - MFC'!J99+'Segment - RMS'!J99+'Segment - Space'!J99</f>
        <v>4338</v>
      </c>
      <c r="K85" s="35">
        <f>'Segment - Aeronautics'!K99+'Segment - MFC'!K99+'Segment - RMS'!K99+'Segment - Space'!K99</f>
        <v>5303</v>
      </c>
      <c r="L85" s="35">
        <f>'Segment - Aeronautics'!L99+'Segment - MFC'!L99+'Segment - RMS'!L99+'Segment - Space'!L99</f>
        <v>4922</v>
      </c>
      <c r="M85" s="35">
        <f>'Segment - Aeronautics'!M99+'Segment - MFC'!M99+'Segment - RMS'!M99+'Segment - Space'!M99</f>
        <v>4916</v>
      </c>
      <c r="N85" s="35">
        <f>'Segment - Aeronautics'!N99+'Segment - MFC'!N99+'Segment - RMS'!N99+'Segment - Space'!N99</f>
        <v>18515</v>
      </c>
      <c r="O85" s="35">
        <f>'Segment - Aeronautics'!O99+'Segment - MFC'!O99+'Segment - RMS'!O99+'Segment - Space'!O99</f>
        <v>13212</v>
      </c>
      <c r="P85" s="35">
        <f>'Segment - Aeronautics'!P99+'Segment - MFC'!P99+'Segment - RMS'!P99+'Segment - Space'!P99</f>
        <v>15017</v>
      </c>
      <c r="Q85" s="1"/>
      <c r="R85" s="9" t="s">
        <v>367</v>
      </c>
      <c r="S85" s="1"/>
      <c r="T85" s="1"/>
      <c r="U85" s="1"/>
      <c r="V85" s="1"/>
      <c r="W85" s="1"/>
      <c r="X85" s="1"/>
      <c r="Y85" s="1"/>
      <c r="Z85" s="1"/>
    </row>
    <row r="86">
      <c r="A86" s="1"/>
      <c r="B86" s="25" t="s">
        <v>98</v>
      </c>
      <c r="C86" s="18">
        <f>IF(AND(ISNUMBER(C85),ISNUMBER(J85)),IF(OR(J85&gt;0,AND(J85&lt;0,C85&lt;0)),C85/J85-1,"n/m"),"n/a")</f>
        <v>0.19386814200092206</v>
      </c>
      <c r="D86" s="18">
        <f>IF(AND(ISNUMBER(D85),ISNUMBER(K85)),IF(OR(K85&gt;0,AND(K85&lt;0,D85&lt;0)),D85/K85-1,"n/m"),"n/a")</f>
        <v>0.19290967376956436</v>
      </c>
      <c r="E86" s="18">
        <f>IF(AND(ISNUMBER(E85),ISNUMBER(L85)),IF(OR(L85&gt;0,AND(L85&lt;0,E85&lt;0)),E85/L85-1,"n/m"),"n/a")</f>
        <v>0.14628199918732232</v>
      </c>
      <c r="F86" s="18">
        <f>IF(AND(ISNUMBER(F85),ISNUMBER(M85)),IF(OR(M85&gt;0,AND(M85&lt;0,F85&lt;0)),F85/M85-1,"n/m"),"n/a")</f>
        <v>0.19507729861676149</v>
      </c>
      <c r="G86" s="18">
        <f>IF(AND(ISNUMBER(G85),ISNUMBER(N85)),IF(OR(N85&gt;0,AND(N85&lt;0,G85&lt;0)),G85/N85-1,"n/m"),"n/a")</f>
        <v>0.1527410207939508</v>
      </c>
      <c r="H86" s="21">
        <f>IF(AND(ISNUMBER(H85),ISNUMBER(C85)),IF(OR(C85&gt;0,AND(C85&lt;0,H85&lt;0)),H85/C85-1,"n/m"),"n/a")</f>
        <v>0.1561450161421125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4" t="s">
        <v>101</v>
      </c>
      <c r="C87" s="2">
        <f>IF(AND(ISNUMBER(C85),ISNUMBER(M85)),C85-M85,"n/a")</f>
        <v>263</v>
      </c>
      <c r="D87" s="2">
        <f>IF(AND(ISNUMBER(D85),ISNUMBER(C85)),D85-C85,"n/a")</f>
        <v>1147</v>
      </c>
      <c r="E87" s="2">
        <f>IF(AND(ISNUMBER(E85),ISNUMBER(D85)),E85-D85,"n/a")</f>
        <v>-684</v>
      </c>
      <c r="F87" s="2">
        <f>IF(AND(ISNUMBER(F85),ISNUMBER(E85)),F85-E85,"n/a")</f>
        <v>233</v>
      </c>
      <c r="G87" s="2" t="s">
        <v>100</v>
      </c>
      <c r="H87" s="7">
        <f>IF(AND(ISNUMBER(H85),ISNUMBER(F85)),H85-F85,"n/a")</f>
        <v>112.67503860000033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25" t="s">
        <v>102</v>
      </c>
      <c r="C88" s="18">
        <f>IF(AND(ISNUMBER(C85),ISNUMBER(C103)),C85/C103,"n/a")</f>
        <v>0.27830619592670214</v>
      </c>
      <c r="D88" s="18">
        <f>IF(AND(ISNUMBER(D85),ISNUMBER(D103)),D85/D103,"n/a")</f>
        <v>0.3113035775798435</v>
      </c>
      <c r="E88" s="18">
        <f>IF(AND(ISNUMBER(E85),ISNUMBER(E103)),E85/E103,"n/a")</f>
        <v>0.31307918539481716</v>
      </c>
      <c r="F88" s="18">
        <f>IF(AND(ISNUMBER(F85),ISNUMBER(F103)),F85/F103,"n/a")</f>
        <v>0.29282759308179235</v>
      </c>
      <c r="G88" s="18">
        <f>IF(AND(ISNUMBER(G85),ISNUMBER(G103)),G85/G103,"n/a")</f>
        <v>0.28439132288668584</v>
      </c>
      <c r="H88" s="21">
        <f>IF(AND(ISNUMBER(H85),ISNUMBER(H103)),H85/H103,"n/a")</f>
        <v>0.297151873920173</v>
      </c>
      <c r="I88" s="1"/>
      <c r="J88" s="18">
        <f>IF(AND(ISNUMBER(J85),ISNUMBER(J103)),J85/J103,"n/a")</f>
        <v>0.2536248830682881</v>
      </c>
      <c r="K88" s="18">
        <f>IF(AND(ISNUMBER(K85),ISNUMBER(K103)),K85/K103,"n/a")</f>
        <v>0.28477070132101817</v>
      </c>
      <c r="L88" s="18">
        <f>IF(AND(ISNUMBER(L85),ISNUMBER(L103)),L85/L103,"n/a")</f>
        <v>0.2740076824583867</v>
      </c>
      <c r="M88" s="18">
        <f>IF(AND(ISNUMBER(M85),ISNUMBER(M103)),M85/M103,"n/a")</f>
        <v>0.27077939961443126</v>
      </c>
      <c r="N88" s="18">
        <f>IF(AND(ISNUMBER(N85),ISNUMBER(N103)),N85/N103,"n/a")</f>
        <v>0.2606168095378855</v>
      </c>
      <c r="O88" s="18">
        <f>IF(AND(ISNUMBER(O85),ISNUMBER(O103)),O85/O103,"n/a")</f>
        <v>0.2520363976269053</v>
      </c>
      <c r="P88" s="18">
        <f>IF(AND(ISNUMBER(P85),ISNUMBER(P103)),P85/P103,"n/a")</f>
        <v>0.27439837740055184</v>
      </c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20" t="s">
        <v>103</v>
      </c>
      <c r="C89" s="5">
        <f>IF(AND(ISNUMBER(C88),ISNUMBER(J88)),(C88-J88)*10000,"n/a")</f>
        <v>246.81312858414017</v>
      </c>
      <c r="D89" s="5">
        <f>IF(AND(ISNUMBER(D88),ISNUMBER(K88)),(D88-K88)*10000,"n/a")</f>
        <v>265.3287625882533</v>
      </c>
      <c r="E89" s="5">
        <f>IF(AND(ISNUMBER(E88),ISNUMBER(L88)),(E88-L88)*10000,"n/a")</f>
        <v>390.7150293643047</v>
      </c>
      <c r="F89" s="5">
        <f>IF(AND(ISNUMBER(F88),ISNUMBER(M88)),(F88-M88)*10000,"n/a")</f>
        <v>220.48193467361088</v>
      </c>
      <c r="G89" s="5">
        <f>IF(AND(ISNUMBER(G88),ISNUMBER(N88)),(G88-N88)*10000,"n/a")</f>
        <v>237.7451334880032</v>
      </c>
      <c r="H89" s="30">
        <f>IF(AND(ISNUMBER(H88),ISNUMBER(C88)),(H88-C88)*10000,"n/a")</f>
        <v>188.45677993470866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20" t="s">
        <v>104</v>
      </c>
      <c r="C90" s="5">
        <f>IF(AND(ISNUMBER(C88),ISNUMBER(M88)),(C88-M88)*10000,"n/a")</f>
        <v>75.26796312270878</v>
      </c>
      <c r="D90" s="5">
        <f>IF(AND(ISNUMBER(D88),ISNUMBER(C88)),(D88-C88)*10000,"n/a")</f>
        <v>329.97381653141366</v>
      </c>
      <c r="E90" s="5">
        <f>IF(AND(ISNUMBER(E88),ISNUMBER(D88)),(E88-D88)*10000,"n/a")</f>
        <v>17.756078149736567</v>
      </c>
      <c r="F90" s="5">
        <f>IF(AND(ISNUMBER(F88),ISNUMBER(E88)),(F88-E88)*10000,"n/a")</f>
        <v>-202.51592313024813</v>
      </c>
      <c r="G90" s="5" t="s">
        <v>100</v>
      </c>
      <c r="H90" s="30">
        <f>IF(AND(ISNUMBER(H88),ISNUMBER(F88)),(H88-F88)*10000,"n/a")</f>
        <v>43.24280838380656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25" t="s">
        <v>105</v>
      </c>
      <c r="C91" s="18" t="s">
        <v>106</v>
      </c>
      <c r="D91" s="18" t="s">
        <v>106</v>
      </c>
      <c r="E91" s="18" t="s">
        <v>106</v>
      </c>
      <c r="F91" s="18" t="s">
        <v>106</v>
      </c>
      <c r="G91" s="18" t="s">
        <v>106</v>
      </c>
      <c r="H91" s="21" t="s">
        <v>106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25" t="s">
        <v>107</v>
      </c>
      <c r="C92" s="18" t="s">
        <v>106</v>
      </c>
      <c r="D92" s="18" t="s">
        <v>106</v>
      </c>
      <c r="E92" s="18" t="s">
        <v>106</v>
      </c>
      <c r="F92" s="18" t="s">
        <v>106</v>
      </c>
      <c r="G92" s="18" t="s">
        <v>106</v>
      </c>
      <c r="H92" s="21" t="s">
        <v>106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25" t="s">
        <v>108</v>
      </c>
      <c r="C93" s="18" t="str">
        <f>IF(AND(ISNUMBER(C86),ISNUMBER(C91),ISNUMBER(C92)),(1+C86)/((1+C91)*(1+C92))-1,"n/a")</f>
        <v>n/a</v>
      </c>
      <c r="D93" s="18" t="str">
        <f>IF(AND(ISNUMBER(D86),ISNUMBER(D91),ISNUMBER(D92)),(1+D86)/((1+D91)*(1+D92))-1,"n/a")</f>
        <v>n/a</v>
      </c>
      <c r="E93" s="18" t="str">
        <f>IF(AND(ISNUMBER(E86),ISNUMBER(E91),ISNUMBER(E92)),(1+E86)/((1+E91)*(1+E92))-1,"n/a")</f>
        <v>n/a</v>
      </c>
      <c r="F93" s="18" t="str">
        <f>IF(AND(ISNUMBER(F86),ISNUMBER(F91),ISNUMBER(F92)),(1+F86)/((1+F91)*(1+F92))-1,"n/a")</f>
        <v>n/a</v>
      </c>
      <c r="G93" s="18" t="str">
        <f>IF(AND(ISNUMBER(G86),ISNUMBER(G91),ISNUMBER(G92)),(1+G86)/((1+G91)*(1+G92))-1,"n/a")</f>
        <v>n/a</v>
      </c>
      <c r="H93" s="21" t="str">
        <f>IF(AND(ISNUMBER(H86),ISNUMBER(H91),ISNUMBER(H92)),(1+H86)/((1+H91)*(1+H92))-1,"n/a")</f>
        <v>n/a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9" t="s">
        <v>179</v>
      </c>
      <c r="C94" s="35">
        <f>'Segment - Aeronautics'!C109+'Segment - MFC'!C109+'Segment - RMS'!C109+'Segment - Space'!C109</f>
        <v>59</v>
      </c>
      <c r="D94" s="35">
        <f>'Segment - Aeronautics'!D109+'Segment - MFC'!D109+'Segment - RMS'!D109+'Segment - Space'!D109</f>
        <v>74</v>
      </c>
      <c r="E94" s="35">
        <f>'Segment - Aeronautics'!E109+'Segment - MFC'!E109+'Segment - RMS'!E109+'Segment - Space'!E109</f>
        <v>69</v>
      </c>
      <c r="F94" s="35">
        <f>'Segment - Aeronautics'!F109+'Segment - MFC'!F109+'Segment - RMS'!F109+'Segment - Space'!F109</f>
        <v>61</v>
      </c>
      <c r="G94" s="35">
        <f>'Segment - Aeronautics'!G109+'Segment - MFC'!G109+'Segment - RMS'!G109+'Segment - Space'!G109</f>
        <v>293</v>
      </c>
      <c r="H94" s="34">
        <f>'Segment - Aeronautics'!H109+'Segment - MFC'!H109+'Segment - RMS'!H109+'Segment - Space'!H109</f>
        <v>67.96920539999986</v>
      </c>
      <c r="I94" s="1"/>
      <c r="J94" s="35">
        <f>'Segment - Aeronautics'!J109+'Segment - MFC'!J109+'Segment - RMS'!J109+'Segment - Space'!J109</f>
        <v>81</v>
      </c>
      <c r="K94" s="35">
        <f>'Segment - Aeronautics'!K109+'Segment - MFC'!K109+'Segment - RMS'!K109+'Segment - Space'!K109</f>
        <v>83</v>
      </c>
      <c r="L94" s="35">
        <f>'Segment - Aeronautics'!L109+'Segment - MFC'!L109+'Segment - RMS'!L109+'Segment - Space'!L109</f>
        <v>92</v>
      </c>
      <c r="M94" s="35">
        <f>'Segment - Aeronautics'!M109+'Segment - MFC'!M109+'Segment - RMS'!M109+'Segment - Space'!M109</f>
        <v>68</v>
      </c>
      <c r="N94" s="35">
        <f>'Segment - Aeronautics'!N109+'Segment - MFC'!N109+'Segment - RMS'!N109+'Segment - Space'!N109</f>
        <v>484</v>
      </c>
      <c r="O94" s="35">
        <f>'Segment - Aeronautics'!O109+'Segment - MFC'!O109+'Segment - RMS'!O109+'Segment - Space'!O109</f>
        <v>401</v>
      </c>
      <c r="P94" s="35">
        <f>'Segment - Aeronautics'!P109+'Segment - MFC'!P109+'Segment - RMS'!P109+'Segment - Space'!P109</f>
        <v>219</v>
      </c>
      <c r="Q94" s="1"/>
      <c r="R94" s="9" t="s">
        <v>367</v>
      </c>
      <c r="S94" s="1"/>
      <c r="T94" s="1"/>
      <c r="U94" s="1"/>
      <c r="V94" s="1"/>
      <c r="W94" s="1"/>
      <c r="X94" s="1"/>
      <c r="Y94" s="1"/>
      <c r="Z94" s="1"/>
    </row>
    <row r="95">
      <c r="A95" s="1"/>
      <c r="B95" s="25" t="s">
        <v>98</v>
      </c>
      <c r="C95" s="18">
        <f>IF(AND(ISNUMBER(C94),ISNUMBER(J94)),IF(OR(J94&gt;0,AND(J94&lt;0,C94&lt;0)),C94/J94-1,"n/m"),"n/a")</f>
        <v>-0.2716049382716049</v>
      </c>
      <c r="D95" s="18">
        <f>IF(AND(ISNUMBER(D94),ISNUMBER(K94)),IF(OR(K94&gt;0,AND(K94&lt;0,D94&lt;0)),D94/K94-1,"n/m"),"n/a")</f>
        <v>-0.10843373493975905</v>
      </c>
      <c r="E95" s="18">
        <f>IF(AND(ISNUMBER(E94),ISNUMBER(L94)),IF(OR(L94&gt;0,AND(L94&lt;0,E94&lt;0)),E94/L94-1,"n/m"),"n/a")</f>
        <v>-0.25</v>
      </c>
      <c r="F95" s="18">
        <f>IF(AND(ISNUMBER(F94),ISNUMBER(M94)),IF(OR(M94&gt;0,AND(M94&lt;0,F94&lt;0)),F94/M94-1,"n/m"),"n/a")</f>
        <v>-0.1029411764705882</v>
      </c>
      <c r="G95" s="18">
        <f>IF(AND(ISNUMBER(G94),ISNUMBER(N94)),IF(OR(N94&gt;0,AND(N94&lt;0,G94&lt;0)),G94/N94-1,"n/m"),"n/a")</f>
        <v>-0.3946280991735537</v>
      </c>
      <c r="H95" s="21">
        <f>IF(AND(ISNUMBER(H94),ISNUMBER(C94)),IF(OR(C94&gt;0,AND(C94&lt;0,H94&lt;0)),H94/C94-1,"n/m"),"n/a")</f>
        <v>0.15202043050847225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4" t="s">
        <v>101</v>
      </c>
      <c r="C96" s="2">
        <f>IF(AND(ISNUMBER(C94),ISNUMBER(M94)),C94-M94,"n/a")</f>
        <v>-9</v>
      </c>
      <c r="D96" s="2">
        <f>IF(AND(ISNUMBER(D94),ISNUMBER(C94)),D94-C94,"n/a")</f>
        <v>15</v>
      </c>
      <c r="E96" s="2">
        <f>IF(AND(ISNUMBER(E94),ISNUMBER(D94)),E94-D94,"n/a")</f>
        <v>-5</v>
      </c>
      <c r="F96" s="2">
        <f>IF(AND(ISNUMBER(F94),ISNUMBER(E94)),F94-E94,"n/a")</f>
        <v>-8</v>
      </c>
      <c r="G96" s="2" t="s">
        <v>100</v>
      </c>
      <c r="H96" s="7">
        <f>IF(AND(ISNUMBER(H94),ISNUMBER(F94)),H94-F94,"n/a")</f>
        <v>6.969205399999865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25" t="s">
        <v>102</v>
      </c>
      <c r="C97" s="18">
        <f>IF(AND(ISNUMBER(C94),ISNUMBER(C103)),C94/C103,"n/a")</f>
        <v>0.0031705088935461336</v>
      </c>
      <c r="D97" s="18">
        <f>IF(AND(ISNUMBER(D94),ISNUMBER(D103)),D94/D103,"n/a")</f>
        <v>0.0036415530731755325</v>
      </c>
      <c r="E97" s="18">
        <f>IF(AND(ISNUMBER(E94),ISNUMBER(E103)),E94/E103,"n/a")</f>
        <v>0.003828866322623606</v>
      </c>
      <c r="F97" s="18">
        <f>IF(AND(ISNUMBER(F94),ISNUMBER(F103)),F94/F103,"n/a")</f>
        <v>0.003040422668593929</v>
      </c>
      <c r="G97" s="18">
        <f>IF(AND(ISNUMBER(G94),ISNUMBER(G103)),G94/G103,"n/a")</f>
        <v>0.0039041679991472125</v>
      </c>
      <c r="H97" s="21">
        <f>IF(AND(ISNUMBER(H94),ISNUMBER(H103)),H94/H103,"n/a")</f>
        <v>0.003373125064949663</v>
      </c>
      <c r="I97" s="1"/>
      <c r="J97" s="18">
        <f>IF(AND(ISNUMBER(J94),ISNUMBER(J103)),J94/J103,"n/a")</f>
        <v>0.004735734331150608</v>
      </c>
      <c r="K97" s="18">
        <f>IF(AND(ISNUMBER(K94),ISNUMBER(K103)),K94/K103,"n/a")</f>
        <v>0.004457093760068736</v>
      </c>
      <c r="L97" s="18">
        <f>IF(AND(ISNUMBER(L94),ISNUMBER(L103)),L94/L103,"n/a")</f>
        <v>0.005121638924455826</v>
      </c>
      <c r="M97" s="18">
        <f>IF(AND(ISNUMBER(M94),ISNUMBER(M103)),M94/M103,"n/a")</f>
        <v>0.003745524648857064</v>
      </c>
      <c r="N97" s="18">
        <f>IF(AND(ISNUMBER(N94),ISNUMBER(N103)),N94/N103,"n/a")</f>
        <v>0.006812775361400842</v>
      </c>
      <c r="O97" s="18">
        <f>IF(AND(ISNUMBER(O94),ISNUMBER(O103)),O94/O103,"n/a")</f>
        <v>0.0076496060739016805</v>
      </c>
      <c r="P97" s="18">
        <f>IF(AND(ISNUMBER(P94),ISNUMBER(P103)),P94/P103,"n/a")</f>
        <v>0.004001681071500356</v>
      </c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0" t="s">
        <v>103</v>
      </c>
      <c r="C98" s="5">
        <f>IF(AND(ISNUMBER(C97),ISNUMBER(J97)),(C97-J97)*10000,"n/a")</f>
        <v>-15.652254376044743</v>
      </c>
      <c r="D98" s="5">
        <f>IF(AND(ISNUMBER(D97),ISNUMBER(K97)),(D97-K97)*10000,"n/a")</f>
        <v>-8.155406868932033</v>
      </c>
      <c r="E98" s="5">
        <f>IF(AND(ISNUMBER(E97),ISNUMBER(L97)),(E97-L97)*10000,"n/a")</f>
        <v>-12.927726018322197</v>
      </c>
      <c r="F98" s="5">
        <f>IF(AND(ISNUMBER(F97),ISNUMBER(M97)),(F97-M97)*10000,"n/a")</f>
        <v>-7.051019802631351</v>
      </c>
      <c r="G98" s="5">
        <f>IF(AND(ISNUMBER(G97),ISNUMBER(N97)),(G97-N97)*10000,"n/a")</f>
        <v>-29.08607362253629</v>
      </c>
      <c r="H98" s="30">
        <f>IF(AND(ISNUMBER(H97),ISNUMBER(C97)),(H97-C97)*10000,"n/a")</f>
        <v>2.0261617140352945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20" t="s">
        <v>104</v>
      </c>
      <c r="C99" s="5">
        <f>IF(AND(ISNUMBER(C97),ISNUMBER(M97)),(C97-M97)*10000,"n/a")</f>
        <v>-5.750157553109305</v>
      </c>
      <c r="D99" s="5">
        <f>IF(AND(ISNUMBER(D97),ISNUMBER(C97)),(D97-C97)*10000,"n/a")</f>
        <v>4.710441796293989</v>
      </c>
      <c r="E99" s="5">
        <f>IF(AND(ISNUMBER(E97),ISNUMBER(D97)),(E97-D97)*10000,"n/a")</f>
        <v>1.8731324944807346</v>
      </c>
      <c r="F99" s="5">
        <f>IF(AND(ISNUMBER(F97),ISNUMBER(E97)),(F97-E97)*10000,"n/a")</f>
        <v>-7.88443654029677</v>
      </c>
      <c r="G99" s="5" t="s">
        <v>100</v>
      </c>
      <c r="H99" s="30">
        <f>IF(AND(ISNUMBER(H97),ISNUMBER(F97)),(H97-F97)*10000,"n/a")</f>
        <v>3.3270239635573406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25" t="s">
        <v>105</v>
      </c>
      <c r="C100" s="18" t="s">
        <v>106</v>
      </c>
      <c r="D100" s="18" t="s">
        <v>106</v>
      </c>
      <c r="E100" s="18" t="s">
        <v>106</v>
      </c>
      <c r="F100" s="18" t="s">
        <v>106</v>
      </c>
      <c r="G100" s="18" t="s">
        <v>106</v>
      </c>
      <c r="H100" s="21" t="s">
        <v>106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25" t="s">
        <v>107</v>
      </c>
      <c r="C101" s="18" t="s">
        <v>106</v>
      </c>
      <c r="D101" s="18" t="s">
        <v>106</v>
      </c>
      <c r="E101" s="18" t="s">
        <v>106</v>
      </c>
      <c r="F101" s="18" t="s">
        <v>106</v>
      </c>
      <c r="G101" s="18" t="s">
        <v>106</v>
      </c>
      <c r="H101" s="21" t="s">
        <v>106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25" t="s">
        <v>108</v>
      </c>
      <c r="C102" s="18" t="str">
        <f>IF(AND(ISNUMBER(C95),ISNUMBER(C100),ISNUMBER(C101)),(1+C95)/((1+C100)*(1+C101))-1,"n/a")</f>
        <v>n/a</v>
      </c>
      <c r="D102" s="18" t="str">
        <f>IF(AND(ISNUMBER(D95),ISNUMBER(D100),ISNUMBER(D101)),(1+D95)/((1+D100)*(1+D101))-1,"n/a")</f>
        <v>n/a</v>
      </c>
      <c r="E102" s="18" t="str">
        <f>IF(AND(ISNUMBER(E95),ISNUMBER(E100),ISNUMBER(E101)),(1+E95)/((1+E100)*(1+E101))-1,"n/a")</f>
        <v>n/a</v>
      </c>
      <c r="F102" s="18" t="str">
        <f>IF(AND(ISNUMBER(F95),ISNUMBER(F100),ISNUMBER(F101)),(1+F95)/((1+F100)*(1+F101))-1,"n/a")</f>
        <v>n/a</v>
      </c>
      <c r="G102" s="18" t="str">
        <f>IF(AND(ISNUMBER(G95),ISNUMBER(G100),ISNUMBER(G101)),(1+G95)/((1+G100)*(1+G101))-1,"n/a")</f>
        <v>n/a</v>
      </c>
      <c r="H102" s="21" t="str">
        <f>IF(AND(ISNUMBER(H95),ISNUMBER(H100),ISNUMBER(H101)),(1+H95)/((1+H100)*(1+H101))-1,"n/a")</f>
        <v>n/a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46" t="s">
        <v>372</v>
      </c>
      <c r="C103" s="14">
        <f>C76+C85+C94</f>
        <v>18609</v>
      </c>
      <c r="D103" s="14">
        <f>D76+D85+D94</f>
        <v>20321</v>
      </c>
      <c r="E103" s="14">
        <f>E76+E85+E94</f>
        <v>18021</v>
      </c>
      <c r="F103" s="14">
        <f>F76+F85+F94</f>
        <v>20063</v>
      </c>
      <c r="G103" s="14">
        <f>G76+G85+G94</f>
        <v>75048</v>
      </c>
      <c r="H103" s="48">
        <f>H76+H85+H94</f>
        <v>20150.217999999997</v>
      </c>
      <c r="I103" s="1"/>
      <c r="J103" s="14">
        <f>J76+J85+J94</f>
        <v>17104</v>
      </c>
      <c r="K103" s="14">
        <f>K76+K85+K94</f>
        <v>18622</v>
      </c>
      <c r="L103" s="14">
        <f>L76+L85+L94</f>
        <v>17963</v>
      </c>
      <c r="M103" s="14">
        <f>M76+M85+M94</f>
        <v>18155</v>
      </c>
      <c r="N103" s="14">
        <f>N76+N85+N94</f>
        <v>71043</v>
      </c>
      <c r="O103" s="14">
        <f>O76+O85+O94</f>
        <v>52421</v>
      </c>
      <c r="P103" s="14">
        <f>P76+P85+P94</f>
        <v>54727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1" t="s">
        <v>373</v>
      </c>
      <c r="C104" s="71">
        <f>C103-'Revenue summary'!C50</f>
        <v>0</v>
      </c>
      <c r="D104" s="71">
        <f>D103-'Revenue summary'!D50</f>
        <v>0</v>
      </c>
      <c r="E104" s="71">
        <f>E103-'Revenue summary'!E50</f>
        <v>0</v>
      </c>
      <c r="F104" s="71">
        <f>F103-'Revenue summary'!F50</f>
        <v>0</v>
      </c>
      <c r="G104" s="71">
        <f>G103-'Revenue summary'!G50</f>
        <v>0</v>
      </c>
      <c r="H104" s="84">
        <f>H103-'Revenue summary'!H50</f>
        <v>0</v>
      </c>
      <c r="I104" s="1"/>
      <c r="J104" s="71">
        <f>J103-'Revenue summary'!J50</f>
        <v>0</v>
      </c>
      <c r="K104" s="71">
        <f>K103-'Revenue summary'!K50</f>
        <v>0</v>
      </c>
      <c r="L104" s="71">
        <f>L103-'Revenue summary'!L50</f>
        <v>0</v>
      </c>
      <c r="M104" s="71">
        <f>M103-'Revenue summary'!M50</f>
        <v>0</v>
      </c>
      <c r="N104" s="71">
        <f>N103-'Revenue summary'!N50</f>
        <v>0</v>
      </c>
      <c r="O104" s="71">
        <f>O103-'Revenue summary'!O50</f>
        <v>0</v>
      </c>
      <c r="P104" s="71">
        <f>P103-'Revenue summary'!P50</f>
        <v>0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46" t="s">
        <v>374</v>
      </c>
      <c r="C105" s="26" t="b">
        <f>AND(ABS(C73)&lt;0.5,ABS(C104)&lt;0.5)</f>
        <v>1</v>
      </c>
      <c r="D105" s="26" t="b">
        <f>AND(ABS(D73)&lt;0.5,ABS(D104)&lt;0.5)</f>
        <v>1</v>
      </c>
      <c r="E105" s="26" t="b">
        <f>AND(ABS(E73)&lt;0.5,ABS(E104)&lt;0.5)</f>
        <v>1</v>
      </c>
      <c r="F105" s="26" t="b">
        <f>AND(ABS(F73)&lt;0.5,ABS(F104)&lt;0.5)</f>
        <v>1</v>
      </c>
      <c r="G105" s="26" t="b">
        <f>AND(ABS(G73)&lt;0.5,ABS(G104)&lt;0.5)</f>
        <v>1</v>
      </c>
      <c r="H105" s="22" t="b">
        <f>AND(ABS(H73)&lt;0.5,ABS(H104)&lt;0.5)</f>
        <v>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" customWidth="1"/>
    <col min="10" max="16" width="12" customWidth="1"/>
    <col min="17" max="17" width="2" customWidth="1"/>
    <col min="18" max="18" width="3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54"/>
      <c r="J5" s="10" t="s">
        <v>86</v>
      </c>
      <c r="K5" s="10" t="s">
        <v>87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54"/>
      <c r="R5" s="44" t="s">
        <v>93</v>
      </c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2"/>
      <c r="J6" s="27">
        <v>45564</v>
      </c>
      <c r="K6" s="27">
        <v>45657</v>
      </c>
      <c r="L6" s="27">
        <v>45746</v>
      </c>
      <c r="M6" s="27">
        <v>45837</v>
      </c>
      <c r="N6" s="27">
        <v>45657</v>
      </c>
      <c r="O6" s="27">
        <v>45564</v>
      </c>
      <c r="P6" s="27">
        <v>45928</v>
      </c>
      <c r="Q6" s="12"/>
      <c r="R6" s="12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52"/>
      <c r="J7" s="15">
        <v>91</v>
      </c>
      <c r="K7" s="15">
        <v>93</v>
      </c>
      <c r="L7" s="15">
        <v>89</v>
      </c>
      <c r="M7" s="15">
        <v>91</v>
      </c>
      <c r="N7" s="15">
        <v>366</v>
      </c>
      <c r="O7" s="15">
        <v>273</v>
      </c>
      <c r="P7" s="15">
        <v>271</v>
      </c>
      <c r="Q7" s="52"/>
      <c r="R7" s="52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1" t="s">
        <v>94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 t="s">
        <v>375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  <c r="T9" s="1"/>
      <c r="U9" s="1"/>
      <c r="V9" s="1"/>
      <c r="W9" s="1"/>
      <c r="X9" s="1"/>
      <c r="Y9" s="1"/>
      <c r="Z9" s="1"/>
    </row>
    <row r="10">
      <c r="A10" s="1"/>
      <c r="B10" s="9" t="s">
        <v>376</v>
      </c>
      <c r="C10" s="3">
        <v>231.9</v>
      </c>
      <c r="D10" s="3">
        <v>230.9</v>
      </c>
      <c r="E10" s="3">
        <v>229.9</v>
      </c>
      <c r="F10" s="3">
        <v>230.2</v>
      </c>
      <c r="G10" s="3">
        <v>232.7</v>
      </c>
      <c r="H10" s="7">
        <f>F10+H13</f>
        <v>230.29999999999998</v>
      </c>
      <c r="I10" s="1"/>
      <c r="J10" s="3">
        <v>237.5</v>
      </c>
      <c r="K10" s="3">
        <v>236</v>
      </c>
      <c r="L10" s="3">
        <v>234.4</v>
      </c>
      <c r="M10" s="3">
        <v>233.5</v>
      </c>
      <c r="N10" s="3">
        <v>238.3</v>
      </c>
      <c r="O10" s="1"/>
      <c r="P10" s="1"/>
      <c r="Q10" s="1"/>
      <c r="R10" s="9" t="s">
        <v>377</v>
      </c>
      <c r="S10" s="1"/>
      <c r="T10" s="1"/>
      <c r="U10" s="1"/>
      <c r="V10" s="1"/>
      <c r="W10" s="1"/>
      <c r="X10" s="1"/>
      <c r="Y10" s="1"/>
      <c r="Z10" s="1"/>
    </row>
    <row r="11">
      <c r="A11" s="1"/>
      <c r="B11" s="25" t="s">
        <v>98</v>
      </c>
      <c r="C11" s="18">
        <f>IF(AND(ISNUMBER(C10),ISNUMBER(J10)),IF(OR(J10&gt;0,AND(J10&lt;0,C10&lt;0)),C10/J10-1,"n/m"),"n/a")</f>
        <v>-0.023578947368421033</v>
      </c>
      <c r="D11" s="18">
        <f>IF(AND(ISNUMBER(D10),ISNUMBER(K10)),IF(OR(K10&gt;0,AND(K10&lt;0,D10&lt;0)),D10/K10-1,"n/m"),"n/a")</f>
        <v>-0.02161016949152539</v>
      </c>
      <c r="E11" s="18">
        <f>IF(AND(ISNUMBER(E10),ISNUMBER(L10)),IF(OR(L10&gt;0,AND(L10&lt;0,E10&lt;0)),E10/L10-1,"n/m"),"n/a")</f>
        <v>-0.019197952218430014</v>
      </c>
      <c r="F11" s="18">
        <f>IF(AND(ISNUMBER(F10),ISNUMBER(M10)),IF(OR(M10&gt;0,AND(M10&lt;0,F10&lt;0)),F10/M10-1,"n/m"),"n/a")</f>
        <v>-0.014132762312633829</v>
      </c>
      <c r="G11" s="18">
        <f>IF(AND(ISNUMBER(G10),ISNUMBER(N10)),IF(OR(N10&gt;0,AND(N10&lt;0,G10&lt;0)),G10/N10-1,"n/m"),"n/a")</f>
        <v>-0.0234997901804449</v>
      </c>
      <c r="H11" s="21">
        <f>IF(AND(ISNUMBER(H10),ISNUMBER(C10)),IF(OR(C10&gt;0,AND(C10&lt;0,H10&lt;0)),H10/C10-1,"n/m"),"n/a")</f>
        <v>-0.006899525657611094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4" t="s">
        <v>101</v>
      </c>
      <c r="C12" s="2">
        <f>IF(AND(ISNUMBER(C10),ISNUMBER(M10)),C10-M10,"n/a")</f>
        <v>-1.5999999999999943</v>
      </c>
      <c r="D12" s="2">
        <f>IF(AND(ISNUMBER(D10),ISNUMBER(C10)),D10-C10,"n/a")</f>
        <v>-1</v>
      </c>
      <c r="E12" s="2">
        <f>IF(AND(ISNUMBER(E10),ISNUMBER(D10)),E10-D10,"n/a")</f>
        <v>-1</v>
      </c>
      <c r="F12" s="2">
        <f>IF(AND(ISNUMBER(F10),ISNUMBER(E10)),F10-E10,"n/a")</f>
        <v>0.29999999999998295</v>
      </c>
      <c r="G12" s="2" t="s">
        <v>100</v>
      </c>
      <c r="H12" s="7">
        <f>IF(AND(ISNUMBER(H10),ISNUMBER(F10)),H10-F10,"n/a")</f>
        <v>0.09999999999999432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4" t="s">
        <v>378</v>
      </c>
      <c r="C13" s="2">
        <f>C10-M10</f>
        <v>-1.5999999999999943</v>
      </c>
      <c r="D13" s="2">
        <f>D10-C10</f>
        <v>-1</v>
      </c>
      <c r="E13" s="2">
        <f>E10-D10</f>
        <v>-1</v>
      </c>
      <c r="F13" s="2">
        <f>F10-E10</f>
        <v>0.29999999999998295</v>
      </c>
      <c r="G13" s="2" t="s">
        <v>100</v>
      </c>
      <c r="H13" s="33">
        <v>0.1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4" t="s">
        <v>379</v>
      </c>
      <c r="C14" s="2">
        <f>C17-C10</f>
        <v>0.9000000000000057</v>
      </c>
      <c r="D14" s="2">
        <f>D17-D10</f>
        <v>1</v>
      </c>
      <c r="E14" s="2">
        <f>E17-E10</f>
        <v>1.1999999999999886</v>
      </c>
      <c r="F14" s="2">
        <f>F17-F10</f>
        <v>0.9000000000000057</v>
      </c>
      <c r="G14" s="2">
        <f>G17-G10</f>
        <v>0.8000000000000114</v>
      </c>
      <c r="H14" s="33">
        <v>0.9</v>
      </c>
      <c r="I14" s="1"/>
      <c r="J14" s="2">
        <f>J17-J10</f>
        <v>1.0999999999999943</v>
      </c>
      <c r="K14" s="2">
        <f>K17-K10</f>
        <v>1</v>
      </c>
      <c r="L14" s="2">
        <f>L17-L10</f>
        <v>0.9000000000000057</v>
      </c>
      <c r="M14" s="2">
        <f>M17-M10</f>
        <v>0.8000000000000114</v>
      </c>
      <c r="N14" s="2">
        <f>N17-N10</f>
        <v>0.8999999999999773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20" t="s">
        <v>98</v>
      </c>
      <c r="C15" s="18">
        <f>IF(AND(ISNUMBER(C14),ISNUMBER(J14)),IF(OR(J14&gt;0,AND(J14&lt;0,C14&lt;0)),C14/J14-1,"n/m"),"n/a")</f>
        <v>-0.18181818181817244</v>
      </c>
      <c r="D15" s="18">
        <f>IF(AND(ISNUMBER(D14),ISNUMBER(K14)),IF(OR(K14&gt;0,AND(K14&lt;0,D14&lt;0)),D14/K14-1,"n/m"),"n/a")</f>
        <v>0</v>
      </c>
      <c r="E15" s="18">
        <f>IF(AND(ISNUMBER(E14),ISNUMBER(L14)),IF(OR(L14&gt;0,AND(L14&lt;0,E14&lt;0)),E14/L14-1,"n/m"),"n/a")</f>
        <v>0.3333333333333124</v>
      </c>
      <c r="F15" s="18">
        <f>IF(AND(ISNUMBER(F14),ISNUMBER(M14)),IF(OR(M14&gt;0,AND(M14&lt;0,F14&lt;0)),F14/M14-1,"n/m"),"n/a")</f>
        <v>0.12499999999999112</v>
      </c>
      <c r="G15" s="18">
        <f>IF(AND(ISNUMBER(G14),ISNUMBER(N14)),IF(OR(N14&gt;0,AND(N14&lt;0,G14&lt;0)),G14/N14-1,"n/m"),"n/a")</f>
        <v>-0.11111111111107608</v>
      </c>
      <c r="H15" s="21">
        <f>IF(AND(ISNUMBER(H14),ISNUMBER(C14)),IF(OR(C14&gt;0,AND(C14&lt;0,H14&lt;0)),H14/C14-1,"n/m"),"n/a")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8" t="s">
        <v>101</v>
      </c>
      <c r="C16" s="2">
        <f>IF(AND(ISNUMBER(C14),ISNUMBER(M14)),C14-M14,"n/a")</f>
        <v>0.09999999999999432</v>
      </c>
      <c r="D16" s="2">
        <f>IF(AND(ISNUMBER(D14),ISNUMBER(C14)),D14-C14,"n/a")</f>
        <v>0.09999999999999432</v>
      </c>
      <c r="E16" s="2">
        <f>IF(AND(ISNUMBER(E14),ISNUMBER(D14)),E14-D14,"n/a")</f>
        <v>0.19999999999998863</v>
      </c>
      <c r="F16" s="2">
        <f>IF(AND(ISNUMBER(F14),ISNUMBER(E14)),F14-E14,"n/a")</f>
        <v>-0.29999999999998295</v>
      </c>
      <c r="G16" s="2" t="s">
        <v>100</v>
      </c>
      <c r="H16" s="7">
        <f>IF(AND(ISNUMBER(H14),ISNUMBER(F14)),H14-F14,"n/a")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46" t="s">
        <v>380</v>
      </c>
      <c r="C17" s="29">
        <v>232.8</v>
      </c>
      <c r="D17" s="29">
        <v>231.9</v>
      </c>
      <c r="E17" s="29">
        <v>231.1</v>
      </c>
      <c r="F17" s="29">
        <v>231.1</v>
      </c>
      <c r="G17" s="29">
        <v>233.5</v>
      </c>
      <c r="H17" s="48">
        <f>H10+H14</f>
        <v>231.2</v>
      </c>
      <c r="I17" s="1"/>
      <c r="J17" s="29">
        <v>238.6</v>
      </c>
      <c r="K17" s="29">
        <v>237</v>
      </c>
      <c r="L17" s="29">
        <v>235.3</v>
      </c>
      <c r="M17" s="29">
        <v>234.3</v>
      </c>
      <c r="N17" s="29">
        <v>239.2</v>
      </c>
      <c r="O17" s="1"/>
      <c r="P17" s="1"/>
      <c r="Q17" s="1"/>
      <c r="R17" s="9" t="s">
        <v>377</v>
      </c>
      <c r="S17" s="1"/>
      <c r="T17" s="1"/>
      <c r="U17" s="1"/>
      <c r="V17" s="1"/>
      <c r="W17" s="1"/>
      <c r="X17" s="1"/>
      <c r="Y17" s="1"/>
      <c r="Z17" s="1"/>
    </row>
    <row r="18">
      <c r="A18" s="1"/>
      <c r="B18" s="25" t="s">
        <v>98</v>
      </c>
      <c r="C18" s="18">
        <f>IF(AND(ISNUMBER(C17),ISNUMBER(J17)),IF(OR(J17&gt;0,AND(J17&lt;0,C17&lt;0)),C17/J17-1,"n/m"),"n/a")</f>
        <v>-0.02430846605196979</v>
      </c>
      <c r="D18" s="18">
        <f>IF(AND(ISNUMBER(D17),ISNUMBER(K17)),IF(OR(K17&gt;0,AND(K17&lt;0,D17&lt;0)),D17/K17-1,"n/m"),"n/a")</f>
        <v>-0.021518987341772156</v>
      </c>
      <c r="E18" s="18">
        <f>IF(AND(ISNUMBER(E17),ISNUMBER(L17)),IF(OR(L17&gt;0,AND(L17&lt;0,E17&lt;0)),E17/L17-1,"n/m"),"n/a")</f>
        <v>-0.017849553761156045</v>
      </c>
      <c r="F18" s="18">
        <f>IF(AND(ISNUMBER(F17),ISNUMBER(M17)),IF(OR(M17&gt;0,AND(M17&lt;0,F17&lt;0)),F17/M17-1,"n/m"),"n/a")</f>
        <v>-0.013657703798548915</v>
      </c>
      <c r="G18" s="18">
        <f>IF(AND(ISNUMBER(G17),ISNUMBER(N17)),IF(OR(N17&gt;0,AND(N17&lt;0,G17&lt;0)),G17/N17-1,"n/m"),"n/a")</f>
        <v>-0.02382943143812699</v>
      </c>
      <c r="H18" s="21">
        <f>IF(AND(ISNUMBER(H17),ISNUMBER(C17)),IF(OR(C17&gt;0,AND(C17&lt;0,H17&lt;0)),H17/C17-1,"n/m"),"n/a")</f>
        <v>-0.0068728522336770626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4" t="s">
        <v>101</v>
      </c>
      <c r="C19" s="2">
        <f>IF(AND(ISNUMBER(C17),ISNUMBER(M17)),C17-M17,"n/a")</f>
        <v>-1.5</v>
      </c>
      <c r="D19" s="2">
        <f>IF(AND(ISNUMBER(D17),ISNUMBER(C17)),D17-C17,"n/a")</f>
        <v>-0.9000000000000057</v>
      </c>
      <c r="E19" s="2">
        <f>IF(AND(ISNUMBER(E17),ISNUMBER(D17)),E17-D17,"n/a")</f>
        <v>-0.8000000000000114</v>
      </c>
      <c r="F19" s="2">
        <f>IF(AND(ISNUMBER(F17),ISNUMBER(E17)),F17-E17,"n/a")</f>
        <v>0</v>
      </c>
      <c r="G19" s="2" t="s">
        <v>100</v>
      </c>
      <c r="H19" s="7">
        <f>IF(AND(ISNUMBER(H17),ISNUMBER(F17)),H17-F17,"n/a")</f>
        <v>0.09999999999999432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3" t="s">
        <v>381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1"/>
      <c r="T21" s="1"/>
      <c r="U21" s="1"/>
      <c r="V21" s="1"/>
      <c r="W21" s="1"/>
      <c r="X21" s="1"/>
      <c r="Y21" s="1"/>
      <c r="Z21" s="1"/>
    </row>
    <row r="22">
      <c r="A22" s="1"/>
      <c r="B22" s="9" t="s">
        <v>382</v>
      </c>
      <c r="C22" s="35">
        <f>'Balance Sheet'!C78</f>
        <v>230</v>
      </c>
      <c r="D22" s="35">
        <f>'Balance Sheet'!D78</f>
        <v>229</v>
      </c>
      <c r="E22" s="35">
        <f>'Balance Sheet'!E78</f>
        <v>230</v>
      </c>
      <c r="F22" s="35">
        <f>'Balance Sheet'!F78</f>
        <v>230</v>
      </c>
      <c r="G22" s="2">
        <f>D22</f>
        <v>229</v>
      </c>
      <c r="H22" s="7" t="s">
        <v>203</v>
      </c>
      <c r="I22" s="1"/>
      <c r="J22" s="1"/>
      <c r="K22" s="1"/>
      <c r="L22" s="1"/>
      <c r="M22" s="1"/>
      <c r="N22" s="1"/>
      <c r="O22" s="1"/>
      <c r="P22" s="1"/>
      <c r="Q22" s="1"/>
      <c r="R22" s="9" t="s">
        <v>383</v>
      </c>
      <c r="S22" s="1"/>
      <c r="T22" s="1"/>
      <c r="U22" s="1"/>
      <c r="V22" s="1"/>
      <c r="W22" s="1"/>
      <c r="X22" s="1"/>
      <c r="Y22" s="1"/>
      <c r="Z22" s="1"/>
    </row>
    <row r="23">
      <c r="A23" s="1"/>
      <c r="B23" s="20" t="s">
        <v>98</v>
      </c>
      <c r="C23" s="18" t="str">
        <f>IF(AND(ISNUMBER(C22),ISNUMBER(J22)),IF(OR(J22&gt;0,AND(J22&lt;0,C22&lt;0)),C22/J22-1,"n/m"),"n/a")</f>
        <v>n/a</v>
      </c>
      <c r="D23" s="18" t="str">
        <f>IF(AND(ISNUMBER(D22),ISNUMBER(K22)),IF(OR(K22&gt;0,AND(K22&lt;0,D22&lt;0)),D22/K22-1,"n/m"),"n/a")</f>
        <v>n/a</v>
      </c>
      <c r="E23" s="18" t="str">
        <f>IF(AND(ISNUMBER(E22),ISNUMBER(L22)),IF(OR(L22&gt;0,AND(L22&lt;0,E22&lt;0)),E22/L22-1,"n/m"),"n/a")</f>
        <v>n/a</v>
      </c>
      <c r="F23" s="18" t="str">
        <f>IF(AND(ISNUMBER(F22),ISNUMBER(M22)),IF(OR(M22&gt;0,AND(M22&lt;0,F22&lt;0)),F22/M22-1,"n/m"),"n/a")</f>
        <v>n/a</v>
      </c>
      <c r="G23" s="18" t="str">
        <f>IF(AND(ISNUMBER(G22),ISNUMBER(N22)),IF(OR(N22&gt;0,AND(N22&lt;0,G22&lt;0)),G22/N22-1,"n/m"),"n/a")</f>
        <v>n/a</v>
      </c>
      <c r="H23" s="21" t="str">
        <f>IF(AND(ISNUMBER(H22),ISNUMBER(C22)),IF(OR(C22&gt;0,AND(C22&lt;0,H22&lt;0)),H22/C22-1,"n/m"),"n/a")</f>
        <v>n/a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8" t="s">
        <v>101</v>
      </c>
      <c r="C24" s="2" t="str">
        <f>IF(AND(ISNUMBER(C22),ISNUMBER(M22)),C22-M22,"n/a")</f>
        <v>n/a</v>
      </c>
      <c r="D24" s="2">
        <f>IF(AND(ISNUMBER(D22),ISNUMBER(C22)),D22-C22,"n/a")</f>
        <v>-1</v>
      </c>
      <c r="E24" s="2">
        <f>IF(AND(ISNUMBER(E22),ISNUMBER(D22)),E22-D22,"n/a")</f>
        <v>1</v>
      </c>
      <c r="F24" s="2">
        <f>IF(AND(ISNUMBER(F22),ISNUMBER(E22)),F22-E22,"n/a")</f>
        <v>0</v>
      </c>
      <c r="G24" s="2" t="s">
        <v>100</v>
      </c>
      <c r="H24" s="7" t="str">
        <f>IF(AND(ISNUMBER(H22),ISNUMBER(F22)),H22-F22,"n/a")</f>
        <v>n/a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4" t="s">
        <v>384</v>
      </c>
      <c r="C25" s="1"/>
      <c r="D25" s="1"/>
      <c r="E25" s="107">
        <v>230.563608</v>
      </c>
      <c r="F25" s="3">
        <v>230.790753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9" t="s">
        <v>385</v>
      </c>
      <c r="S25" s="1"/>
      <c r="T25" s="1"/>
      <c r="U25" s="1"/>
      <c r="V25" s="1"/>
      <c r="W25" s="1"/>
      <c r="X25" s="1"/>
      <c r="Y25" s="1"/>
      <c r="Z25" s="1"/>
    </row>
    <row r="26">
      <c r="A26" s="1"/>
      <c r="B26" s="9" t="s">
        <v>386</v>
      </c>
      <c r="C26" s="35">
        <f>-'Cash Flow Statement'!C78</f>
        <v>1000</v>
      </c>
      <c r="D26" s="35">
        <f>-'Cash Flow Statement'!D78</f>
        <v>750</v>
      </c>
      <c r="E26" s="35">
        <f>-'Cash Flow Statement'!E78</f>
        <v>0</v>
      </c>
      <c r="F26" s="35">
        <f>-'Cash Flow Statement'!F78</f>
        <v>0</v>
      </c>
      <c r="G26" s="35">
        <f>-'Cash Flow Statement'!G78</f>
        <v>3000</v>
      </c>
      <c r="H26" s="34">
        <f>-'Cash Flow Statement'!H78</f>
        <v>0</v>
      </c>
      <c r="I26" s="1"/>
      <c r="J26" s="1"/>
      <c r="K26" s="1"/>
      <c r="L26" s="1"/>
      <c r="M26" s="1"/>
      <c r="N26" s="1"/>
      <c r="O26" s="1"/>
      <c r="P26" s="1"/>
      <c r="Q26" s="1"/>
      <c r="R26" s="9" t="s">
        <v>329</v>
      </c>
      <c r="S26" s="1"/>
      <c r="T26" s="1"/>
      <c r="U26" s="1"/>
      <c r="V26" s="1"/>
      <c r="W26" s="1"/>
      <c r="X26" s="1"/>
      <c r="Y26" s="1"/>
      <c r="Z26" s="1"/>
    </row>
    <row r="27">
      <c r="A27" s="1"/>
      <c r="B27" s="8" t="s">
        <v>129</v>
      </c>
      <c r="C27" s="2" t="str">
        <f>IF(AND(ISNUMBER(C26),ISNUMBER(J26)),C26-J26,"n/a")</f>
        <v>n/a</v>
      </c>
      <c r="D27" s="2" t="str">
        <f>IF(AND(ISNUMBER(D26),ISNUMBER(K26)),D26-K26,"n/a")</f>
        <v>n/a</v>
      </c>
      <c r="E27" s="2" t="str">
        <f>IF(AND(ISNUMBER(E26),ISNUMBER(L26)),E26-L26,"n/a")</f>
        <v>n/a</v>
      </c>
      <c r="F27" s="2" t="str">
        <f>IF(AND(ISNUMBER(F26),ISNUMBER(M26)),F26-M26,"n/a")</f>
        <v>n/a</v>
      </c>
      <c r="G27" s="2" t="str">
        <f>IF(AND(ISNUMBER(G26),ISNUMBER(N26)),G26-N26,"n/a")</f>
        <v>n/a</v>
      </c>
      <c r="H27" s="7">
        <f>IF(AND(ISNUMBER(H26),ISNUMBER(C26)),H26-C26,"n/a")</f>
        <v>-1000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8" t="s">
        <v>101</v>
      </c>
      <c r="C28" s="2" t="str">
        <f>IF(AND(ISNUMBER(C26),ISNUMBER(M26)),C26-M26,"n/a")</f>
        <v>n/a</v>
      </c>
      <c r="D28" s="2">
        <f>IF(AND(ISNUMBER(D26),ISNUMBER(C26)),D26-C26,"n/a")</f>
        <v>-250</v>
      </c>
      <c r="E28" s="2">
        <f>IF(AND(ISNUMBER(E26),ISNUMBER(D26)),E26-D26,"n/a")</f>
        <v>-750</v>
      </c>
      <c r="F28" s="2">
        <f>IF(AND(ISNUMBER(F26),ISNUMBER(E26)),F26-E26,"n/a")</f>
        <v>0</v>
      </c>
      <c r="G28" s="2" t="s">
        <v>100</v>
      </c>
      <c r="H28" s="7">
        <f>IF(AND(ISNUMBER(H26),ISNUMBER(F26)),H26-F26,"n/a")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4" t="s">
        <v>387</v>
      </c>
      <c r="C29" s="2" t="s">
        <v>106</v>
      </c>
      <c r="D29" s="3">
        <v>1.6</v>
      </c>
      <c r="E29" s="3">
        <v>0</v>
      </c>
      <c r="F29" s="3">
        <v>0</v>
      </c>
      <c r="G29" s="3">
        <v>6.6</v>
      </c>
      <c r="H29" s="33">
        <v>0</v>
      </c>
      <c r="I29" s="1"/>
      <c r="J29" s="1"/>
      <c r="K29" s="1"/>
      <c r="L29" s="1"/>
      <c r="M29" s="1"/>
      <c r="N29" s="1"/>
      <c r="O29" s="1"/>
      <c r="P29" s="1"/>
      <c r="Q29" s="1"/>
      <c r="R29" s="9" t="s">
        <v>388</v>
      </c>
      <c r="S29" s="1"/>
      <c r="T29" s="1"/>
      <c r="U29" s="1"/>
      <c r="V29" s="1"/>
      <c r="W29" s="1"/>
      <c r="X29" s="1"/>
      <c r="Y29" s="1"/>
      <c r="Z29" s="1"/>
    </row>
    <row r="30">
      <c r="A30" s="1"/>
      <c r="B30" s="8" t="s">
        <v>129</v>
      </c>
      <c r="C30" s="2" t="str">
        <f>IF(AND(ISNUMBER(C29),ISNUMBER(J29)),C29-J29,"n/a")</f>
        <v>n/a</v>
      </c>
      <c r="D30" s="2" t="str">
        <f>IF(AND(ISNUMBER(D29),ISNUMBER(K29)),D29-K29,"n/a")</f>
        <v>n/a</v>
      </c>
      <c r="E30" s="2" t="str">
        <f>IF(AND(ISNUMBER(E29),ISNUMBER(L29)),E29-L29,"n/a")</f>
        <v>n/a</v>
      </c>
      <c r="F30" s="2" t="str">
        <f>IF(AND(ISNUMBER(F29),ISNUMBER(M29)),F29-M29,"n/a")</f>
        <v>n/a</v>
      </c>
      <c r="G30" s="2" t="str">
        <f>IF(AND(ISNUMBER(G29),ISNUMBER(N29)),G29-N29,"n/a")</f>
        <v>n/a</v>
      </c>
      <c r="H30" s="7" t="str">
        <f>IF(AND(ISNUMBER(H29),ISNUMBER(C29)),H29-C29,"n/a")</f>
        <v>n/a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8" t="s">
        <v>101</v>
      </c>
      <c r="C31" s="2" t="str">
        <f>IF(AND(ISNUMBER(C29),ISNUMBER(M29)),C29-M29,"n/a")</f>
        <v>n/a</v>
      </c>
      <c r="D31" s="2" t="str">
        <f>IF(AND(ISNUMBER(D29),ISNUMBER(C29)),D29-C29,"n/a")</f>
        <v>n/a</v>
      </c>
      <c r="E31" s="2">
        <f>IF(AND(ISNUMBER(E29),ISNUMBER(D29)),E29-D29,"n/a")</f>
        <v>-1.6</v>
      </c>
      <c r="F31" s="2">
        <f>IF(AND(ISNUMBER(F29),ISNUMBER(E29)),F29-E29,"n/a")</f>
        <v>0</v>
      </c>
      <c r="G31" s="2" t="s">
        <v>100</v>
      </c>
      <c r="H31" s="7">
        <f>IF(AND(ISNUMBER(H29),ISNUMBER(F29)),H29-F29,"n/a")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9" t="s">
        <v>389</v>
      </c>
      <c r="C32" s="35">
        <f>-'Cash Flow Statement'!C81</f>
        <v>765</v>
      </c>
      <c r="D32" s="35">
        <f>-'Cash Flow Statement'!D81</f>
        <v>799</v>
      </c>
      <c r="E32" s="35">
        <f>-'Cash Flow Statement'!E81</f>
        <v>816</v>
      </c>
      <c r="F32" s="35">
        <f>-'Cash Flow Statement'!F81</f>
        <v>796</v>
      </c>
      <c r="G32" s="35">
        <f>-'Cash Flow Statement'!G81</f>
        <v>3131</v>
      </c>
      <c r="H32" s="34">
        <f>-'Cash Flow Statement'!H81</f>
        <v>796.22809785</v>
      </c>
      <c r="I32" s="1"/>
      <c r="J32" s="1"/>
      <c r="K32" s="1"/>
      <c r="L32" s="1"/>
      <c r="M32" s="1"/>
      <c r="N32" s="1"/>
      <c r="O32" s="1"/>
      <c r="P32" s="1"/>
      <c r="Q32" s="1"/>
      <c r="R32" s="9" t="s">
        <v>329</v>
      </c>
      <c r="S32" s="1"/>
      <c r="T32" s="1"/>
      <c r="U32" s="1"/>
      <c r="V32" s="1"/>
      <c r="W32" s="1"/>
      <c r="X32" s="1"/>
      <c r="Y32" s="1"/>
      <c r="Z32" s="1"/>
    </row>
    <row r="33">
      <c r="A33" s="1"/>
      <c r="B33" s="20" t="s">
        <v>98</v>
      </c>
      <c r="C33" s="18" t="str">
        <f>IF(AND(ISNUMBER(C32),ISNUMBER(J32)),IF(OR(J32&gt;0,AND(J32&lt;0,C32&lt;0)),C32/J32-1,"n/m"),"n/a")</f>
        <v>n/a</v>
      </c>
      <c r="D33" s="18" t="str">
        <f>IF(AND(ISNUMBER(D32),ISNUMBER(K32)),IF(OR(K32&gt;0,AND(K32&lt;0,D32&lt;0)),D32/K32-1,"n/m"),"n/a")</f>
        <v>n/a</v>
      </c>
      <c r="E33" s="18" t="str">
        <f>IF(AND(ISNUMBER(E32),ISNUMBER(L32)),IF(OR(L32&gt;0,AND(L32&lt;0,E32&lt;0)),E32/L32-1,"n/m"),"n/a")</f>
        <v>n/a</v>
      </c>
      <c r="F33" s="18" t="str">
        <f>IF(AND(ISNUMBER(F32),ISNUMBER(M32)),IF(OR(M32&gt;0,AND(M32&lt;0,F32&lt;0)),F32/M32-1,"n/m"),"n/a")</f>
        <v>n/a</v>
      </c>
      <c r="G33" s="18" t="str">
        <f>IF(AND(ISNUMBER(G32),ISNUMBER(N32)),IF(OR(N32&gt;0,AND(N32&lt;0,G32&lt;0)),G32/N32-1,"n/m"),"n/a")</f>
        <v>n/a</v>
      </c>
      <c r="H33" s="21">
        <f>IF(AND(ISNUMBER(H32),ISNUMBER(C32)),IF(OR(C32&gt;0,AND(C32&lt;0,H32&lt;0)),H32/C32-1,"n/m"),"n/a")</f>
        <v>0.04082104294117661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8" t="s">
        <v>101</v>
      </c>
      <c r="C34" s="2" t="str">
        <f>IF(AND(ISNUMBER(C32),ISNUMBER(M32)),C32-M32,"n/a")</f>
        <v>n/a</v>
      </c>
      <c r="D34" s="2">
        <f>IF(AND(ISNUMBER(D32),ISNUMBER(C32)),D32-C32,"n/a")</f>
        <v>34</v>
      </c>
      <c r="E34" s="2">
        <f>IF(AND(ISNUMBER(E32),ISNUMBER(D32)),E32-D32,"n/a")</f>
        <v>17</v>
      </c>
      <c r="F34" s="2">
        <f>IF(AND(ISNUMBER(F32),ISNUMBER(E32)),F32-E32,"n/a")</f>
        <v>-20</v>
      </c>
      <c r="G34" s="2" t="s">
        <v>100</v>
      </c>
      <c r="H34" s="7">
        <f>IF(AND(ISNUMBER(H32),ISNUMBER(F32)),H32-F32,"n/a")</f>
        <v>0.22809785000004013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4" t="s">
        <v>390</v>
      </c>
      <c r="C35" s="60">
        <v>3.3</v>
      </c>
      <c r="D35" s="60">
        <v>3.45</v>
      </c>
      <c r="E35" s="60">
        <v>3.45</v>
      </c>
      <c r="F35" s="60">
        <v>3.45</v>
      </c>
      <c r="G35" s="31">
        <f>L35+M35+C35+D35</f>
        <v>13.349999999999998</v>
      </c>
      <c r="H35" s="82">
        <v>3.45</v>
      </c>
      <c r="I35" s="1"/>
      <c r="J35" s="1"/>
      <c r="K35" s="1"/>
      <c r="L35" s="60">
        <v>3.3</v>
      </c>
      <c r="M35" s="60">
        <v>3.3</v>
      </c>
      <c r="N35" s="1"/>
      <c r="O35" s="1"/>
      <c r="P35" s="1"/>
      <c r="Q35" s="1"/>
      <c r="R35" s="9" t="s">
        <v>391</v>
      </c>
      <c r="S35" s="1"/>
      <c r="T35" s="1"/>
      <c r="U35" s="1"/>
      <c r="V35" s="1"/>
      <c r="W35" s="1"/>
      <c r="X35" s="1"/>
      <c r="Y35" s="1"/>
      <c r="Z35" s="1"/>
    </row>
    <row r="36">
      <c r="A36" s="1"/>
      <c r="B36" s="20" t="s">
        <v>98</v>
      </c>
      <c r="C36" s="18" t="str">
        <f>IF(AND(ISNUMBER(C35),ISNUMBER(J35)),IF(OR(J35&gt;0,AND(J35&lt;0,C35&lt;0)),C35/J35-1,"n/m"),"n/a")</f>
        <v>n/a</v>
      </c>
      <c r="D36" s="18" t="str">
        <f>IF(AND(ISNUMBER(D35),ISNUMBER(K35)),IF(OR(K35&gt;0,AND(K35&lt;0,D35&lt;0)),D35/K35-1,"n/m"),"n/a")</f>
        <v>n/a</v>
      </c>
      <c r="E36" s="18">
        <f>IF(AND(ISNUMBER(E35),ISNUMBER(L35)),IF(OR(L35&gt;0,AND(L35&lt;0,E35&lt;0)),E35/L35-1,"n/m"),"n/a")</f>
        <v>0.045454545454545636</v>
      </c>
      <c r="F36" s="18">
        <f>IF(AND(ISNUMBER(F35),ISNUMBER(M35)),IF(OR(M35&gt;0,AND(M35&lt;0,F35&lt;0)),F35/M35-1,"n/m"),"n/a")</f>
        <v>0.045454545454545636</v>
      </c>
      <c r="G36" s="18" t="str">
        <f>IF(AND(ISNUMBER(G35),ISNUMBER(N35)),IF(OR(N35&gt;0,AND(N35&lt;0,G35&lt;0)),G35/N35-1,"n/m"),"n/a")</f>
        <v>n/a</v>
      </c>
      <c r="H36" s="21">
        <f>IF(AND(ISNUMBER(H35),ISNUMBER(C35)),IF(OR(C35&gt;0,AND(C35&lt;0,H35&lt;0)),H35/C35-1,"n/m"),"n/a")</f>
        <v>0.045454545454545636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8" t="s">
        <v>101</v>
      </c>
      <c r="C37" s="31">
        <f>IF(AND(ISNUMBER(C35),ISNUMBER(M35)),C35-M35,"n/a")</f>
        <v>0</v>
      </c>
      <c r="D37" s="31">
        <f>IF(AND(ISNUMBER(D35),ISNUMBER(C35)),D35-C35,"n/a")</f>
        <v>0.15000000000000036</v>
      </c>
      <c r="E37" s="31">
        <f>IF(AND(ISNUMBER(E35),ISNUMBER(D35)),E35-D35,"n/a")</f>
        <v>0</v>
      </c>
      <c r="F37" s="31">
        <f>IF(AND(ISNUMBER(F35),ISNUMBER(E35)),F35-E35,"n/a")</f>
        <v>0</v>
      </c>
      <c r="G37" s="31" t="s">
        <v>100</v>
      </c>
      <c r="H37" s="74">
        <f>IF(AND(ISNUMBER(H35),ISNUMBER(F35)),H35-F35,"n/a")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4" t="s">
        <v>392</v>
      </c>
      <c r="C38" s="1"/>
      <c r="D38" s="1"/>
      <c r="E38" s="1"/>
      <c r="F38" s="1"/>
      <c r="G38" s="1"/>
      <c r="H38" s="7">
        <f>F25</f>
        <v>230.790753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3" t="s">
        <v>393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1"/>
      <c r="T40" s="1"/>
      <c r="U40" s="1"/>
      <c r="V40" s="1"/>
      <c r="W40" s="1"/>
      <c r="X40" s="1"/>
      <c r="Y40" s="1"/>
      <c r="Z40" s="1"/>
    </row>
    <row r="41">
      <c r="A41" s="1"/>
      <c r="B41" s="9" t="s">
        <v>280</v>
      </c>
      <c r="C41" s="35">
        <f>'Income Statement'!C137</f>
        <v>1619</v>
      </c>
      <c r="D41" s="35">
        <f>'Income Statement'!D137</f>
        <v>1344</v>
      </c>
      <c r="E41" s="35">
        <f>'Income Statement'!E137</f>
        <v>1488</v>
      </c>
      <c r="F41" s="35">
        <f>'Income Statement'!F137</f>
        <v>1836</v>
      </c>
      <c r="G41" s="35">
        <f>'Income Statement'!G137</f>
        <v>5017</v>
      </c>
      <c r="H41" s="34">
        <f>'Income Statement'!H137</f>
        <v>1733.5374353759996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46" t="s">
        <v>394</v>
      </c>
      <c r="C42" s="63">
        <f>C41/C17</f>
        <v>6.954467353951889</v>
      </c>
      <c r="D42" s="63">
        <f>D41/D17</f>
        <v>5.795601552393273</v>
      </c>
      <c r="E42" s="63">
        <f>E41/E17</f>
        <v>6.438771094764172</v>
      </c>
      <c r="F42" s="63">
        <f>F41/F17</f>
        <v>7.94461272176547</v>
      </c>
      <c r="G42" s="63">
        <f>G41/G17</f>
        <v>21.48608137044968</v>
      </c>
      <c r="H42" s="79">
        <f>H41/H17</f>
        <v>7.497999287958476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1" t="s">
        <v>395</v>
      </c>
      <c r="C43" s="50">
        <f>ROUND(C42-'Income Statement'!C138,6)</f>
        <v>0</v>
      </c>
      <c r="D43" s="50">
        <f>ROUND(D42-'Income Statement'!D138,6)</f>
        <v>0</v>
      </c>
      <c r="E43" s="50">
        <f>ROUND(E42-'Income Statement'!E138,6)</f>
        <v>0</v>
      </c>
      <c r="F43" s="50">
        <f>ROUND(F42-'Income Statement'!F138,6)</f>
        <v>0</v>
      </c>
      <c r="G43" s="50">
        <f>ROUND(G42-'Income Statement'!G138,6)</f>
        <v>0</v>
      </c>
      <c r="H43" s="80">
        <f>ROUND(H42-'Income Statement'!H138,6)</f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46" t="s">
        <v>396</v>
      </c>
      <c r="C44" s="26" t="b">
        <f>ABS(C43)&lt;0.000001</f>
        <v>1</v>
      </c>
      <c r="D44" s="26" t="b">
        <f>ABS(D43)&lt;0.000001</f>
        <v>1</v>
      </c>
      <c r="E44" s="26" t="b">
        <f>ABS(E43)&lt;0.000001</f>
        <v>1</v>
      </c>
      <c r="F44" s="26" t="b">
        <f>ABS(F43)&lt;0.000001</f>
        <v>1</v>
      </c>
      <c r="G44" s="26" t="b">
        <f>ABS(G43)&lt;0.000001</f>
        <v>1</v>
      </c>
      <c r="H44" s="22" t="b">
        <f>ABS(H43)&lt;0.000001</f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03" t="s">
        <v>397</v>
      </c>
      <c r="C46" s="103"/>
      <c r="D46" s="103"/>
      <c r="E46" s="103"/>
      <c r="F46" s="103"/>
      <c r="G46" s="103"/>
      <c r="H46" s="10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 t="s">
        <v>398</v>
      </c>
      <c r="C47" s="1"/>
      <c r="D47" s="1"/>
      <c r="E47" s="1"/>
      <c r="F47" s="106">
        <f>F10-E25</f>
        <v>-0.36360799999999927</v>
      </c>
      <c r="G47" s="1"/>
      <c r="H47" s="106">
        <f>H10-F25</f>
        <v>-0.4907530000000122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 t="s">
        <v>399</v>
      </c>
      <c r="C48" s="1"/>
      <c r="D48" s="1"/>
      <c r="E48" s="1"/>
      <c r="F48" s="1"/>
      <c r="G48" s="1"/>
      <c r="H48" s="106">
        <f>F25+H14</f>
        <v>231.690753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 t="s">
        <v>400</v>
      </c>
      <c r="C49" s="1"/>
      <c r="D49" s="1"/>
      <c r="E49" s="1"/>
      <c r="F49" s="1"/>
      <c r="G49" s="1"/>
      <c r="H49" s="104">
        <f>H41/H48</f>
        <v>7.482117490360091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 t="s">
        <v>401</v>
      </c>
      <c r="C50" s="1"/>
      <c r="D50" s="1"/>
      <c r="E50" s="1"/>
      <c r="F50" s="1"/>
      <c r="G50" s="1"/>
      <c r="H50" s="106">
        <f>F25+F47+H14</f>
        <v>231.327145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 t="s">
        <v>402</v>
      </c>
      <c r="C51" s="1"/>
      <c r="D51" s="1"/>
      <c r="E51" s="1"/>
      <c r="F51" s="1"/>
      <c r="G51" s="1"/>
      <c r="H51" s="104">
        <f>H41/H50</f>
        <v>7.493878141175346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08" t="s">
        <v>403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30" customWidth="1"/>
    <col min="3" max="3" width="10" customWidth="1"/>
    <col min="4" max="4" width="46" customWidth="1"/>
    <col min="5" max="7" width="12" customWidth="1"/>
    <col min="8" max="9" width="14" customWidth="1"/>
    <col min="10" max="10" width="16" customWidth="1"/>
    <col min="11" max="11" width="8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404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3" t="s">
        <v>405</v>
      </c>
      <c r="C10" s="13"/>
      <c r="D10" s="13"/>
      <c r="E10" s="13"/>
      <c r="F10" s="13"/>
      <c r="G10" s="13"/>
      <c r="H10" s="13"/>
      <c r="I10" s="13"/>
      <c r="J10" s="13"/>
      <c r="K10" s="1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3" t="s">
        <v>406</v>
      </c>
      <c r="C11" s="13" t="s">
        <v>3</v>
      </c>
      <c r="D11" s="13" t="s">
        <v>32</v>
      </c>
      <c r="E11" s="57" t="s">
        <v>407</v>
      </c>
      <c r="F11" s="57" t="s">
        <v>408</v>
      </c>
      <c r="G11" s="57" t="s">
        <v>409</v>
      </c>
      <c r="H11" s="57" t="s">
        <v>410</v>
      </c>
      <c r="I11" s="57" t="s">
        <v>411</v>
      </c>
      <c r="J11" s="13" t="s">
        <v>412</v>
      </c>
      <c r="K11" s="13" t="s">
        <v>413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6">
        <v>45860</v>
      </c>
      <c r="C12" s="9" t="s">
        <v>414</v>
      </c>
      <c r="D12" s="9" t="s">
        <v>415</v>
      </c>
      <c r="E12" s="3">
        <v>73750</v>
      </c>
      <c r="F12" s="3">
        <v>74750</v>
      </c>
      <c r="G12" s="2">
        <f>(E12+F12)/2</f>
        <v>74250</v>
      </c>
      <c r="H12" s="35">
        <f>'Income Statement'!G22</f>
        <v>75048</v>
      </c>
      <c r="I12" s="2">
        <f>H12-G12</f>
        <v>798</v>
      </c>
      <c r="J12" s="89" t="str">
        <f>IF(H12&gt;G12,"Beat",IF(H12&lt;G12,"Miss","In line"))</f>
        <v>Beat</v>
      </c>
      <c r="K12" s="9" t="s">
        <v>416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6">
        <v>45860</v>
      </c>
      <c r="C13" s="9" t="s">
        <v>414</v>
      </c>
      <c r="D13" s="9" t="s">
        <v>417</v>
      </c>
      <c r="E13" s="3">
        <v>6600</v>
      </c>
      <c r="F13" s="3">
        <v>6700</v>
      </c>
      <c r="G13" s="2">
        <f>(E13+F13)/2</f>
        <v>6650</v>
      </c>
      <c r="H13" s="35">
        <f>'Revenue summary'!G84</f>
        <v>6743</v>
      </c>
      <c r="I13" s="2">
        <f>H13-G13</f>
        <v>93</v>
      </c>
      <c r="J13" s="89" t="str">
        <f>IF(H13&gt;G13,"Beat",IF(H13&lt;G13,"Miss","In line"))</f>
        <v>Beat</v>
      </c>
      <c r="K13" s="9" t="s">
        <v>416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6">
        <v>45860</v>
      </c>
      <c r="C14" s="9" t="s">
        <v>414</v>
      </c>
      <c r="D14" s="9" t="s">
        <v>418</v>
      </c>
      <c r="E14" s="60">
        <v>21.7</v>
      </c>
      <c r="F14" s="60">
        <v>22</v>
      </c>
      <c r="G14" s="31">
        <f>(E14+F14)/2</f>
        <v>21.85</v>
      </c>
      <c r="H14" s="59">
        <f>'Income Statement'!G123</f>
        <v>21.48608137044968</v>
      </c>
      <c r="I14" s="31">
        <f>H14-G14</f>
        <v>-0.36391862955032295</v>
      </c>
      <c r="J14" s="110" t="str">
        <f>IF(H14&gt;G14,"Beat",IF(H14&lt;G14,"Miss (GAAP)*","In line"))</f>
        <v>Miss (GAAP)*</v>
      </c>
      <c r="K14" s="9" t="s">
        <v>416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6">
        <v>45860</v>
      </c>
      <c r="C15" s="9" t="s">
        <v>414</v>
      </c>
      <c r="D15" s="9" t="s">
        <v>419</v>
      </c>
      <c r="E15" s="3">
        <v>8500</v>
      </c>
      <c r="F15" s="3">
        <v>8700</v>
      </c>
      <c r="G15" s="2">
        <f>(E15+F15)/2</f>
        <v>8600</v>
      </c>
      <c r="H15" s="35">
        <f>'Cash Flow Statement'!G55</f>
        <v>8557</v>
      </c>
      <c r="I15" s="2">
        <f>H15-G15</f>
        <v>-43</v>
      </c>
      <c r="J15" s="89" t="str">
        <f>IF(H15&gt;G15,"Beat",IF(H15&lt;G15,"Miss","In line"))</f>
        <v>Miss</v>
      </c>
      <c r="K15" s="9" t="s">
        <v>416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6">
        <v>45860</v>
      </c>
      <c r="C16" s="9" t="s">
        <v>414</v>
      </c>
      <c r="D16" s="9" t="s">
        <v>62</v>
      </c>
      <c r="E16" s="3">
        <v>6600</v>
      </c>
      <c r="F16" s="3">
        <v>6800</v>
      </c>
      <c r="G16" s="2">
        <f>(E16+F16)/2</f>
        <v>6700</v>
      </c>
      <c r="H16" s="35">
        <f>'Cash Flow Statement'!G101</f>
        <v>6908</v>
      </c>
      <c r="I16" s="2">
        <f>H16-G16</f>
        <v>208</v>
      </c>
      <c r="J16" s="89" t="str">
        <f>IF(H16&gt;G16,"Beat",IF(H16&lt;G16,"Miss","In line"))</f>
        <v>Beat</v>
      </c>
      <c r="K16" s="9" t="s">
        <v>416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6">
        <v>45951</v>
      </c>
      <c r="C17" s="9" t="s">
        <v>414</v>
      </c>
      <c r="D17" s="9" t="s">
        <v>415</v>
      </c>
      <c r="E17" s="3">
        <v>74250</v>
      </c>
      <c r="F17" s="3">
        <v>74750</v>
      </c>
      <c r="G17" s="2">
        <f>(E17+F17)/2</f>
        <v>74500</v>
      </c>
      <c r="H17" s="35">
        <f>'Income Statement'!G22</f>
        <v>75048</v>
      </c>
      <c r="I17" s="2">
        <f>H17-G17</f>
        <v>548</v>
      </c>
      <c r="J17" s="89" t="str">
        <f>IF(H17&gt;G17,"Beat",IF(H17&lt;G17,"Miss","In line"))</f>
        <v>Beat</v>
      </c>
      <c r="K17" s="9" t="s">
        <v>420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6">
        <v>45951</v>
      </c>
      <c r="C18" s="9" t="s">
        <v>414</v>
      </c>
      <c r="D18" s="9" t="s">
        <v>417</v>
      </c>
      <c r="E18" s="3">
        <v>6675</v>
      </c>
      <c r="F18" s="3">
        <v>6725</v>
      </c>
      <c r="G18" s="2">
        <f>(E18+F18)/2</f>
        <v>6700</v>
      </c>
      <c r="H18" s="35">
        <f>'Revenue summary'!G84</f>
        <v>6743</v>
      </c>
      <c r="I18" s="2">
        <f>H18-G18</f>
        <v>43</v>
      </c>
      <c r="J18" s="89" t="str">
        <f>IF(H18&gt;G18,"Beat",IF(H18&lt;G18,"Miss","In line"))</f>
        <v>Beat</v>
      </c>
      <c r="K18" s="9" t="s">
        <v>420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6">
        <v>45951</v>
      </c>
      <c r="C19" s="9" t="s">
        <v>414</v>
      </c>
      <c r="D19" s="9" t="s">
        <v>418</v>
      </c>
      <c r="E19" s="60">
        <v>22.15</v>
      </c>
      <c r="F19" s="60">
        <v>22.35</v>
      </c>
      <c r="G19" s="31">
        <f>(E19+F19)/2</f>
        <v>22.25</v>
      </c>
      <c r="H19" s="59">
        <f>'Income Statement'!G123</f>
        <v>21.48608137044968</v>
      </c>
      <c r="I19" s="31">
        <f>H19-G19</f>
        <v>-0.7639186295503215</v>
      </c>
      <c r="J19" s="110" t="str">
        <f>IF(H19&gt;G19,"Beat",IF(H19&lt;G19,"Miss (GAAP)*","In line"))</f>
        <v>Miss (GAAP)*</v>
      </c>
      <c r="K19" s="9" t="s">
        <v>420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6">
        <v>45951</v>
      </c>
      <c r="C20" s="9" t="s">
        <v>414</v>
      </c>
      <c r="D20" s="9" t="s">
        <v>419</v>
      </c>
      <c r="E20" s="3">
        <v>8500</v>
      </c>
      <c r="F20" s="3">
        <v>8500</v>
      </c>
      <c r="G20" s="2">
        <f>(E20+F20)/2</f>
        <v>8500</v>
      </c>
      <c r="H20" s="35">
        <f>'Cash Flow Statement'!G55</f>
        <v>8557</v>
      </c>
      <c r="I20" s="2">
        <f>H20-G20</f>
        <v>57</v>
      </c>
      <c r="J20" s="89" t="str">
        <f>IF(H20&gt;G20,"Beat",IF(H20&lt;G20,"Miss","In line"))</f>
        <v>Beat</v>
      </c>
      <c r="K20" s="9" t="s">
        <v>420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6">
        <v>45951</v>
      </c>
      <c r="C21" s="9" t="s">
        <v>414</v>
      </c>
      <c r="D21" s="9" t="s">
        <v>421</v>
      </c>
      <c r="E21" s="3">
        <v>1900</v>
      </c>
      <c r="F21" s="3">
        <v>1900</v>
      </c>
      <c r="G21" s="2">
        <f>(E21+F21)/2</f>
        <v>1900</v>
      </c>
      <c r="H21" s="35">
        <f>-'Cash Flow Statement'!G59</f>
        <v>1649</v>
      </c>
      <c r="I21" s="2">
        <f>H21-G21</f>
        <v>-251</v>
      </c>
      <c r="J21" s="89" t="str">
        <f>IF(H21&lt;G21,"Below (spent less)","Above")</f>
        <v>Below (spent less)</v>
      </c>
      <c r="K21" s="9" t="s">
        <v>420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6">
        <v>45951</v>
      </c>
      <c r="C22" s="9" t="s">
        <v>414</v>
      </c>
      <c r="D22" s="9" t="s">
        <v>62</v>
      </c>
      <c r="E22" s="3">
        <v>6600</v>
      </c>
      <c r="F22" s="3">
        <v>6600</v>
      </c>
      <c r="G22" s="2">
        <f>(E22+F22)/2</f>
        <v>6600</v>
      </c>
      <c r="H22" s="35">
        <f>'Cash Flow Statement'!G101</f>
        <v>6908</v>
      </c>
      <c r="I22" s="2">
        <f>H22-G22</f>
        <v>308</v>
      </c>
      <c r="J22" s="89" t="str">
        <f>IF(H22&gt;G22,"Beat",IF(H22&lt;G22,"Miss","In line"))</f>
        <v>Beat</v>
      </c>
      <c r="K22" s="9" t="s">
        <v>420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6">
        <v>46051</v>
      </c>
      <c r="C23" s="9" t="s">
        <v>422</v>
      </c>
      <c r="D23" s="9" t="s">
        <v>415</v>
      </c>
      <c r="E23" s="3">
        <v>77500</v>
      </c>
      <c r="F23" s="3">
        <v>80000</v>
      </c>
      <c r="G23" s="2">
        <f>(E23+F23)/2</f>
        <v>78750</v>
      </c>
      <c r="H23" s="23" t="s">
        <v>423</v>
      </c>
      <c r="I23" s="23" t="s">
        <v>100</v>
      </c>
      <c r="J23" s="89" t="s">
        <v>100</v>
      </c>
      <c r="K23" s="9" t="s">
        <v>388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6">
        <v>46051</v>
      </c>
      <c r="C24" s="9" t="s">
        <v>422</v>
      </c>
      <c r="D24" s="9" t="s">
        <v>417</v>
      </c>
      <c r="E24" s="3">
        <v>8425</v>
      </c>
      <c r="F24" s="3">
        <v>8675</v>
      </c>
      <c r="G24" s="2">
        <f>(E24+F24)/2</f>
        <v>8550</v>
      </c>
      <c r="H24" s="23" t="s">
        <v>423</v>
      </c>
      <c r="I24" s="23" t="s">
        <v>100</v>
      </c>
      <c r="J24" s="89" t="s">
        <v>100</v>
      </c>
      <c r="K24" s="9" t="s">
        <v>388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6">
        <v>46051</v>
      </c>
      <c r="C25" s="9" t="s">
        <v>422</v>
      </c>
      <c r="D25" s="9" t="s">
        <v>418</v>
      </c>
      <c r="E25" s="60">
        <v>29.35</v>
      </c>
      <c r="F25" s="60">
        <v>30.25</v>
      </c>
      <c r="G25" s="31">
        <f>(E25+F25)/2</f>
        <v>29.8</v>
      </c>
      <c r="H25" s="23" t="s">
        <v>423</v>
      </c>
      <c r="I25" s="23" t="s">
        <v>100</v>
      </c>
      <c r="J25" s="89" t="s">
        <v>100</v>
      </c>
      <c r="K25" s="9" t="s">
        <v>388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6">
        <v>46051</v>
      </c>
      <c r="C26" s="9" t="s">
        <v>422</v>
      </c>
      <c r="D26" s="9" t="s">
        <v>419</v>
      </c>
      <c r="E26" s="3">
        <v>9150</v>
      </c>
      <c r="F26" s="3">
        <v>9450</v>
      </c>
      <c r="G26" s="2">
        <f>(E26+F26)/2</f>
        <v>9300</v>
      </c>
      <c r="H26" s="23" t="s">
        <v>423</v>
      </c>
      <c r="I26" s="23" t="s">
        <v>100</v>
      </c>
      <c r="J26" s="89" t="s">
        <v>100</v>
      </c>
      <c r="K26" s="9" t="s">
        <v>388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6">
        <v>46051</v>
      </c>
      <c r="C27" s="9" t="s">
        <v>422</v>
      </c>
      <c r="D27" s="9" t="s">
        <v>421</v>
      </c>
      <c r="E27" s="3">
        <v>2500</v>
      </c>
      <c r="F27" s="3">
        <v>2800</v>
      </c>
      <c r="G27" s="2">
        <f>(E27+F27)/2</f>
        <v>2650</v>
      </c>
      <c r="H27" s="23" t="s">
        <v>423</v>
      </c>
      <c r="I27" s="23" t="s">
        <v>100</v>
      </c>
      <c r="J27" s="89" t="s">
        <v>100</v>
      </c>
      <c r="K27" s="9" t="s">
        <v>388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6">
        <v>46051</v>
      </c>
      <c r="C28" s="9" t="s">
        <v>422</v>
      </c>
      <c r="D28" s="9" t="s">
        <v>62</v>
      </c>
      <c r="E28" s="3">
        <v>6500</v>
      </c>
      <c r="F28" s="3">
        <v>6800</v>
      </c>
      <c r="G28" s="2">
        <f>(E28+F28)/2</f>
        <v>6650</v>
      </c>
      <c r="H28" s="23" t="s">
        <v>423</v>
      </c>
      <c r="I28" s="23" t="s">
        <v>100</v>
      </c>
      <c r="J28" s="89" t="s">
        <v>100</v>
      </c>
      <c r="K28" s="9" t="s">
        <v>388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7">
      <c r="A29" s="1"/>
      <c r="B29" s="16">
        <v>46135</v>
      </c>
      <c r="C29" s="9" t="s">
        <v>422</v>
      </c>
      <c r="D29" s="102" t="s">
        <v>424</v>
      </c>
      <c r="E29" s="3">
        <v>77500</v>
      </c>
      <c r="F29" s="3">
        <v>80000</v>
      </c>
      <c r="G29" s="2">
        <f>(E29+F29)/2</f>
        <v>78750</v>
      </c>
      <c r="H29" s="23" t="s">
        <v>423</v>
      </c>
      <c r="I29" s="23" t="s">
        <v>100</v>
      </c>
      <c r="J29" s="89" t="s">
        <v>100</v>
      </c>
      <c r="K29" s="9" t="s">
        <v>425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6">
        <v>46226</v>
      </c>
      <c r="C30" s="9" t="s">
        <v>422</v>
      </c>
      <c r="D30" s="9" t="s">
        <v>415</v>
      </c>
      <c r="E30" s="3">
        <v>79750</v>
      </c>
      <c r="F30" s="3">
        <v>81750</v>
      </c>
      <c r="G30" s="2">
        <f>(E30+F30)/2</f>
        <v>80750</v>
      </c>
      <c r="H30" s="23" t="s">
        <v>423</v>
      </c>
      <c r="I30" s="23" t="s">
        <v>100</v>
      </c>
      <c r="J30" s="89" t="s">
        <v>100</v>
      </c>
      <c r="K30" s="9" t="s">
        <v>426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6">
        <v>46226</v>
      </c>
      <c r="C31" s="9" t="s">
        <v>422</v>
      </c>
      <c r="D31" s="9" t="s">
        <v>417</v>
      </c>
      <c r="E31" s="3">
        <v>8500</v>
      </c>
      <c r="F31" s="3">
        <v>8700</v>
      </c>
      <c r="G31" s="2">
        <f>(E31+F31)/2</f>
        <v>8600</v>
      </c>
      <c r="H31" s="23" t="s">
        <v>423</v>
      </c>
      <c r="I31" s="23" t="s">
        <v>100</v>
      </c>
      <c r="J31" s="89" t="s">
        <v>100</v>
      </c>
      <c r="K31" s="9" t="s">
        <v>426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6">
        <v>46226</v>
      </c>
      <c r="C32" s="9" t="s">
        <v>422</v>
      </c>
      <c r="D32" s="9" t="s">
        <v>418</v>
      </c>
      <c r="E32" s="60">
        <v>29.95</v>
      </c>
      <c r="F32" s="60">
        <v>30.65</v>
      </c>
      <c r="G32" s="31">
        <f>(E32+F32)/2</f>
        <v>30.299999999999997</v>
      </c>
      <c r="H32" s="23" t="s">
        <v>423</v>
      </c>
      <c r="I32" s="23" t="s">
        <v>100</v>
      </c>
      <c r="J32" s="89" t="s">
        <v>100</v>
      </c>
      <c r="K32" s="9" t="s">
        <v>426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6">
        <v>46226</v>
      </c>
      <c r="C33" s="9" t="s">
        <v>422</v>
      </c>
      <c r="D33" s="9" t="s">
        <v>419</v>
      </c>
      <c r="E33" s="3">
        <v>9200</v>
      </c>
      <c r="F33" s="3">
        <v>9400</v>
      </c>
      <c r="G33" s="2">
        <f>(E33+F33)/2</f>
        <v>9300</v>
      </c>
      <c r="H33" s="23" t="s">
        <v>423</v>
      </c>
      <c r="I33" s="23" t="s">
        <v>100</v>
      </c>
      <c r="J33" s="89" t="s">
        <v>100</v>
      </c>
      <c r="K33" s="9" t="s">
        <v>426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6">
        <v>46226</v>
      </c>
      <c r="C34" s="9" t="s">
        <v>422</v>
      </c>
      <c r="D34" s="9" t="s">
        <v>421</v>
      </c>
      <c r="E34" s="3">
        <v>2000</v>
      </c>
      <c r="F34" s="3">
        <v>2400</v>
      </c>
      <c r="G34" s="2">
        <f>(E34+F34)/2</f>
        <v>2200</v>
      </c>
      <c r="H34" s="23" t="s">
        <v>423</v>
      </c>
      <c r="I34" s="23" t="s">
        <v>100</v>
      </c>
      <c r="J34" s="89" t="s">
        <v>100</v>
      </c>
      <c r="K34" s="9" t="s">
        <v>426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6">
        <v>46226</v>
      </c>
      <c r="C35" s="9" t="s">
        <v>422</v>
      </c>
      <c r="D35" s="9" t="s">
        <v>62</v>
      </c>
      <c r="E35" s="3">
        <v>7000</v>
      </c>
      <c r="F35" s="3">
        <v>7200</v>
      </c>
      <c r="G35" s="2">
        <f>(E35+F35)/2</f>
        <v>7100</v>
      </c>
      <c r="H35" s="23" t="s">
        <v>423</v>
      </c>
      <c r="I35" s="23" t="s">
        <v>100</v>
      </c>
      <c r="J35" s="89" t="s">
        <v>100</v>
      </c>
      <c r="K35" s="9" t="s">
        <v>426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6">
        <v>46226</v>
      </c>
      <c r="C36" s="9" t="s">
        <v>422</v>
      </c>
      <c r="D36" s="9" t="s">
        <v>427</v>
      </c>
      <c r="E36" s="3">
        <v>1365</v>
      </c>
      <c r="F36" s="3">
        <v>1365</v>
      </c>
      <c r="G36" s="2">
        <f>(E36+F36)/2</f>
        <v>1365</v>
      </c>
      <c r="H36" s="23" t="s">
        <v>423</v>
      </c>
      <c r="I36" s="23" t="s">
        <v>100</v>
      </c>
      <c r="J36" s="89" t="s">
        <v>100</v>
      </c>
      <c r="K36" s="9" t="s">
        <v>426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6">
        <v>46226</v>
      </c>
      <c r="C37" s="9" t="s">
        <v>422</v>
      </c>
      <c r="D37" s="9" t="s">
        <v>428</v>
      </c>
      <c r="E37" s="3">
        <v>1685</v>
      </c>
      <c r="F37" s="3">
        <v>1685</v>
      </c>
      <c r="G37" s="2">
        <f>(E37+F37)/2</f>
        <v>1685</v>
      </c>
      <c r="H37" s="23" t="s">
        <v>423</v>
      </c>
      <c r="I37" s="23" t="s">
        <v>100</v>
      </c>
      <c r="J37" s="89" t="s">
        <v>100</v>
      </c>
      <c r="K37" s="9" t="s">
        <v>426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6">
        <v>46226</v>
      </c>
      <c r="C38" s="9" t="s">
        <v>422</v>
      </c>
      <c r="D38" s="9" t="s">
        <v>429</v>
      </c>
      <c r="E38" s="3">
        <v>-200</v>
      </c>
      <c r="F38" s="3">
        <v>-200</v>
      </c>
      <c r="G38" s="2">
        <f>(E38+F38)/2</f>
        <v>-200</v>
      </c>
      <c r="H38" s="23" t="s">
        <v>423</v>
      </c>
      <c r="I38" s="23" t="s">
        <v>100</v>
      </c>
      <c r="J38" s="89" t="s">
        <v>100</v>
      </c>
      <c r="K38" s="9" t="s">
        <v>426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6">
        <v>46226</v>
      </c>
      <c r="C39" s="9" t="s">
        <v>422</v>
      </c>
      <c r="D39" s="9" t="s">
        <v>430</v>
      </c>
      <c r="E39" s="3">
        <v>-490</v>
      </c>
      <c r="F39" s="3">
        <v>-490</v>
      </c>
      <c r="G39" s="2">
        <f>(E39+F39)/2</f>
        <v>-490</v>
      </c>
      <c r="H39" s="23" t="s">
        <v>423</v>
      </c>
      <c r="I39" s="23" t="s">
        <v>100</v>
      </c>
      <c r="J39" s="89" t="s">
        <v>100</v>
      </c>
      <c r="K39" s="9" t="s">
        <v>426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6">
        <v>46226</v>
      </c>
      <c r="C40" s="9" t="s">
        <v>422</v>
      </c>
      <c r="D40" s="9" t="s">
        <v>431</v>
      </c>
      <c r="E40" s="3">
        <v>31700</v>
      </c>
      <c r="F40" s="3">
        <v>32700</v>
      </c>
      <c r="G40" s="2">
        <f>(E40+F40)/2</f>
        <v>32200</v>
      </c>
      <c r="H40" s="23" t="s">
        <v>423</v>
      </c>
      <c r="I40" s="23" t="s">
        <v>100</v>
      </c>
      <c r="J40" s="89" t="s">
        <v>100</v>
      </c>
      <c r="K40" s="9" t="s">
        <v>432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6">
        <v>46226</v>
      </c>
      <c r="C41" s="9" t="s">
        <v>422</v>
      </c>
      <c r="D41" s="9" t="s">
        <v>433</v>
      </c>
      <c r="E41" s="3">
        <v>3000</v>
      </c>
      <c r="F41" s="3">
        <v>3080</v>
      </c>
      <c r="G41" s="2">
        <f>(E41+F41)/2</f>
        <v>3040</v>
      </c>
      <c r="H41" s="23" t="s">
        <v>423</v>
      </c>
      <c r="I41" s="23" t="s">
        <v>100</v>
      </c>
      <c r="J41" s="89" t="s">
        <v>100</v>
      </c>
      <c r="K41" s="9" t="s">
        <v>432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6">
        <v>46226</v>
      </c>
      <c r="C42" s="9" t="s">
        <v>422</v>
      </c>
      <c r="D42" s="9" t="s">
        <v>434</v>
      </c>
      <c r="E42" s="3">
        <v>16500</v>
      </c>
      <c r="F42" s="3">
        <v>16900</v>
      </c>
      <c r="G42" s="2">
        <f>(E42+F42)/2</f>
        <v>16700</v>
      </c>
      <c r="H42" s="23" t="s">
        <v>423</v>
      </c>
      <c r="I42" s="23" t="s">
        <v>100</v>
      </c>
      <c r="J42" s="89" t="s">
        <v>100</v>
      </c>
      <c r="K42" s="9" t="s">
        <v>432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6">
        <v>46226</v>
      </c>
      <c r="C43" s="9" t="s">
        <v>422</v>
      </c>
      <c r="D43" s="9" t="s">
        <v>435</v>
      </c>
      <c r="E43" s="3">
        <v>2300</v>
      </c>
      <c r="F43" s="3">
        <v>2350</v>
      </c>
      <c r="G43" s="2">
        <f>(E43+F43)/2</f>
        <v>2325</v>
      </c>
      <c r="H43" s="23" t="s">
        <v>423</v>
      </c>
      <c r="I43" s="23" t="s">
        <v>100</v>
      </c>
      <c r="J43" s="89" t="s">
        <v>100</v>
      </c>
      <c r="K43" s="9" t="s">
        <v>432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6">
        <v>46226</v>
      </c>
      <c r="C44" s="9" t="s">
        <v>422</v>
      </c>
      <c r="D44" s="9" t="s">
        <v>436</v>
      </c>
      <c r="E44" s="3">
        <v>17700</v>
      </c>
      <c r="F44" s="3">
        <v>18100</v>
      </c>
      <c r="G44" s="2">
        <f>(E44+F44)/2</f>
        <v>17900</v>
      </c>
      <c r="H44" s="23" t="s">
        <v>423</v>
      </c>
      <c r="I44" s="23" t="s">
        <v>100</v>
      </c>
      <c r="J44" s="89" t="s">
        <v>100</v>
      </c>
      <c r="K44" s="9" t="s">
        <v>432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6">
        <v>46226</v>
      </c>
      <c r="C45" s="9" t="s">
        <v>422</v>
      </c>
      <c r="D45" s="9" t="s">
        <v>437</v>
      </c>
      <c r="E45" s="3">
        <v>1860</v>
      </c>
      <c r="F45" s="3">
        <v>1890</v>
      </c>
      <c r="G45" s="2">
        <f>(E45+F45)/2</f>
        <v>1875</v>
      </c>
      <c r="H45" s="23" t="s">
        <v>423</v>
      </c>
      <c r="I45" s="23" t="s">
        <v>100</v>
      </c>
      <c r="J45" s="89" t="s">
        <v>100</v>
      </c>
      <c r="K45" s="9" t="s">
        <v>432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6">
        <v>46226</v>
      </c>
      <c r="C46" s="9" t="s">
        <v>422</v>
      </c>
      <c r="D46" s="9" t="s">
        <v>438</v>
      </c>
      <c r="E46" s="3">
        <v>13850</v>
      </c>
      <c r="F46" s="3">
        <v>14050</v>
      </c>
      <c r="G46" s="2">
        <f>(E46+F46)/2</f>
        <v>13950</v>
      </c>
      <c r="H46" s="23" t="s">
        <v>423</v>
      </c>
      <c r="I46" s="23" t="s">
        <v>100</v>
      </c>
      <c r="J46" s="89" t="s">
        <v>100</v>
      </c>
      <c r="K46" s="9" t="s">
        <v>432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6">
        <v>46226</v>
      </c>
      <c r="C47" s="9" t="s">
        <v>422</v>
      </c>
      <c r="D47" s="9" t="s">
        <v>439</v>
      </c>
      <c r="E47" s="3">
        <v>1340</v>
      </c>
      <c r="F47" s="3">
        <v>1380</v>
      </c>
      <c r="G47" s="2">
        <f>(E47+F47)/2</f>
        <v>1360</v>
      </c>
      <c r="H47" s="23" t="s">
        <v>423</v>
      </c>
      <c r="I47" s="23" t="s">
        <v>100</v>
      </c>
      <c r="J47" s="89" t="s">
        <v>100</v>
      </c>
      <c r="K47" s="9" t="s">
        <v>432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6">
        <v>46226</v>
      </c>
      <c r="C48" s="9" t="s">
        <v>440</v>
      </c>
      <c r="D48" s="9" t="s">
        <v>441</v>
      </c>
      <c r="E48" s="42">
        <v>0.07</v>
      </c>
      <c r="F48" s="42">
        <v>0.12</v>
      </c>
      <c r="G48" s="18">
        <f>(E48+F48)/2</f>
        <v>0.095</v>
      </c>
      <c r="H48" s="23" t="s">
        <v>423</v>
      </c>
      <c r="I48" s="23" t="s">
        <v>100</v>
      </c>
      <c r="J48" s="89" t="s">
        <v>100</v>
      </c>
      <c r="K48" s="9" t="s">
        <v>432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1" t="s">
        <v>442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3" t="s">
        <v>443</v>
      </c>
      <c r="C51" s="13"/>
      <c r="D51" s="13"/>
      <c r="E51" s="13"/>
      <c r="F51" s="13"/>
      <c r="G51" s="13"/>
      <c r="H51" s="13"/>
      <c r="I51" s="13"/>
      <c r="J51" s="13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3" t="s">
        <v>444</v>
      </c>
      <c r="C52" s="57" t="s">
        <v>415</v>
      </c>
      <c r="D52" s="57" t="s">
        <v>445</v>
      </c>
      <c r="E52" s="57" t="s">
        <v>418</v>
      </c>
      <c r="F52" s="13" t="s">
        <v>446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624267578125">
      <c r="A53" s="1"/>
      <c r="B53" s="99" t="s">
        <v>447</v>
      </c>
      <c r="C53" s="2">
        <f>G30</f>
        <v>80750</v>
      </c>
      <c r="D53" s="2">
        <f>G31</f>
        <v>8600</v>
      </c>
      <c r="E53" s="31">
        <f>G32</f>
        <v>30.299999999999997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624267578125">
      <c r="A54" s="1"/>
      <c r="B54" s="99" t="s">
        <v>448</v>
      </c>
      <c r="C54" s="35">
        <f>'Income Statement'!E22+'Income Statement'!F22</f>
        <v>38084</v>
      </c>
      <c r="D54" s="35">
        <f>'Revenue summary'!E84+'Revenue summary'!F84</f>
        <v>3985</v>
      </c>
      <c r="E54" s="59">
        <f>'Income Statement'!E123+'Income Statement'!F123</f>
        <v>14.38338381652964</v>
      </c>
      <c r="F54" s="11" t="s">
        <v>449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624267578125">
      <c r="A55" s="1"/>
      <c r="B55" s="99" t="s">
        <v>450</v>
      </c>
      <c r="C55" s="2">
        <f>C53-C54</f>
        <v>42666</v>
      </c>
      <c r="D55" s="2">
        <f>D53-D54</f>
        <v>4615</v>
      </c>
      <c r="E55" s="31">
        <f>E53-E54</f>
        <v>15.916616183470357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624267578125">
      <c r="A56" s="1"/>
      <c r="B56" s="99" t="s">
        <v>451</v>
      </c>
      <c r="C56" s="35">
        <f>'Income Statement'!H22</f>
        <v>20150.217999999997</v>
      </c>
      <c r="D56" s="35">
        <f>'Revenue summary'!H84</f>
        <v>2090.2811359999996</v>
      </c>
      <c r="E56" s="59">
        <f>'Income Statement'!H123</f>
        <v>7.497999287958476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3.24853515625">
      <c r="A57" s="1"/>
      <c r="B57" s="99" t="s">
        <v>452</v>
      </c>
      <c r="C57" s="18">
        <f>C56/C55</f>
        <v>0.4722781137205268</v>
      </c>
      <c r="D57" s="18">
        <f>D56/D55</f>
        <v>0.45293199046587207</v>
      </c>
      <c r="E57" s="18">
        <f>E56/E55</f>
        <v>0.47107998342922036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3.25">
      <c r="A58" s="1"/>
      <c r="B58" s="99" t="s">
        <v>453</v>
      </c>
      <c r="C58" s="2">
        <f>C55-C56</f>
        <v>22515.782000000003</v>
      </c>
      <c r="D58" s="2">
        <f>D55-D56</f>
        <v>2524.7188640000004</v>
      </c>
      <c r="E58" s="31">
        <f>E55-E56</f>
        <v>8.418616895511882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1" t="s">
        <v>454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12" t="s">
        <v>455</v>
      </c>
      <c r="C61" s="112"/>
      <c r="D61" s="112"/>
      <c r="E61" s="112"/>
      <c r="F61" s="1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12" t="s">
        <v>444</v>
      </c>
      <c r="C62" s="113" t="s">
        <v>456</v>
      </c>
      <c r="D62" s="113" t="s">
        <v>457</v>
      </c>
      <c r="E62" s="111"/>
      <c r="F62" s="11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 t="s">
        <v>458</v>
      </c>
      <c r="C63" s="106">
        <f>G39</f>
        <v>-490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 t="s">
        <v>448</v>
      </c>
      <c r="C64" s="115">
        <f>'Income Statement'!E102+'Income Statement'!F102</f>
        <v>-186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 t="s">
        <v>459</v>
      </c>
      <c r="C65" s="106">
        <f>C63-C64</f>
        <v>-304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 t="s">
        <v>460</v>
      </c>
      <c r="C66" s="115">
        <f>'Income Statement'!H102</f>
        <v>-95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 t="s">
        <v>461</v>
      </c>
      <c r="C67" s="106">
        <f>C65-C66</f>
        <v>-209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 t="s">
        <v>462</v>
      </c>
      <c r="C68" s="106">
        <f>C65/2</f>
        <v>-152</v>
      </c>
      <c r="D68" s="114">
        <f>(C68-C66)*(1-'Income Statement'!H79)/'Income Statement'!H117</f>
        <v>-0.20733996539792388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 t="s">
        <v>463</v>
      </c>
      <c r="C69" s="1"/>
      <c r="D69" s="114">
        <f>(1-'Income Statement'!H79)/'Income Statement'!H117</f>
        <v>0.0036375432525951558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08" t="s">
        <v>464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52" customWidth="1"/>
    <col min="3" max="3" width="22" customWidth="1"/>
    <col min="4" max="12" width="1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465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3" t="s">
        <v>466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3" t="s">
        <v>467</v>
      </c>
      <c r="C11" s="57" t="s">
        <v>468</v>
      </c>
      <c r="D11" s="13" t="s">
        <v>446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9" t="s">
        <v>469</v>
      </c>
      <c r="C12" s="23" t="s">
        <v>470</v>
      </c>
      <c r="D12" s="11" t="s">
        <v>471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9" t="s">
        <v>472</v>
      </c>
      <c r="C13" s="23" t="s">
        <v>14</v>
      </c>
      <c r="D13" s="11" t="s">
        <v>473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9" t="s">
        <v>474</v>
      </c>
      <c r="C14" s="23" t="s">
        <v>475</v>
      </c>
      <c r="D14" s="11" t="s">
        <v>476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9" t="s">
        <v>477</v>
      </c>
      <c r="C15" s="78">
        <v>285827</v>
      </c>
      <c r="D15" s="11" t="s">
        <v>478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9" t="s">
        <v>479</v>
      </c>
      <c r="C16" s="23" t="s">
        <v>480</v>
      </c>
      <c r="D16" s="11" t="s">
        <v>481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9" t="s">
        <v>482</v>
      </c>
      <c r="C17" s="23" t="s">
        <v>483</v>
      </c>
      <c r="D17" s="11" t="s">
        <v>484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9" t="s">
        <v>485</v>
      </c>
      <c r="C18" s="23" t="s">
        <v>486</v>
      </c>
      <c r="D18" s="11" t="s">
        <v>487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9" t="s">
        <v>488</v>
      </c>
      <c r="C19" s="68">
        <v>46295</v>
      </c>
      <c r="D19" s="11" t="s">
        <v>489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9" t="s">
        <v>490</v>
      </c>
      <c r="C20" s="68">
        <v>46315</v>
      </c>
      <c r="D20" s="11" t="s">
        <v>491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4.5">
      <c r="A21" s="1"/>
      <c r="B21" s="9" t="s">
        <v>492</v>
      </c>
      <c r="C21" s="102" t="s">
        <v>493</v>
      </c>
      <c r="D21" s="11" t="s">
        <v>494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9" t="s">
        <v>495</v>
      </c>
      <c r="C22" s="47">
        <v>14</v>
      </c>
      <c r="D22" s="11" t="s">
        <v>496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9" t="s">
        <v>497</v>
      </c>
      <c r="C23" s="47">
        <v>14</v>
      </c>
      <c r="D23" s="11" t="s">
        <v>498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9" t="s">
        <v>499</v>
      </c>
      <c r="C24" s="75"/>
      <c r="D24" s="11" t="s">
        <v>500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9" t="s">
        <v>501</v>
      </c>
      <c r="C25" s="60">
        <v>7.52</v>
      </c>
      <c r="D25" s="11" t="s">
        <v>502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9" t="s">
        <v>503</v>
      </c>
      <c r="C26" s="60">
        <v>7.55</v>
      </c>
      <c r="D26" s="11" t="s">
        <v>504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9" t="s">
        <v>505</v>
      </c>
      <c r="C27" s="60">
        <v>7.87</v>
      </c>
      <c r="D27" s="11" t="s">
        <v>506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9" t="s">
        <v>507</v>
      </c>
      <c r="C28" s="60">
        <v>7.21</v>
      </c>
      <c r="D28" s="11" t="s">
        <v>508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9" t="s">
        <v>509</v>
      </c>
      <c r="C29" s="60">
        <v>0.17</v>
      </c>
      <c r="D29" s="11" t="s">
        <v>510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9" t="s">
        <v>511</v>
      </c>
      <c r="C30" s="47">
        <v>14</v>
      </c>
      <c r="D30" s="11" t="s">
        <v>512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9" t="s">
        <v>513</v>
      </c>
      <c r="C31" s="75"/>
      <c r="D31" s="11" t="s">
        <v>500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9" t="s">
        <v>514</v>
      </c>
      <c r="C32" s="75"/>
      <c r="D32" s="11" t="s">
        <v>500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9" t="s">
        <v>515</v>
      </c>
      <c r="C33" s="75"/>
      <c r="D33" s="11" t="s">
        <v>500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9" t="s">
        <v>516</v>
      </c>
      <c r="C34" s="60">
        <v>7.52</v>
      </c>
      <c r="D34" s="11" t="s">
        <v>517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9" t="s">
        <v>518</v>
      </c>
      <c r="C35" s="60">
        <v>7.56</v>
      </c>
      <c r="D35" s="11" t="s">
        <v>519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9" t="s">
        <v>520</v>
      </c>
      <c r="C36" s="60">
        <v>7.87</v>
      </c>
      <c r="D36" s="11" t="s">
        <v>521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9" t="s">
        <v>522</v>
      </c>
      <c r="C37" s="60">
        <v>7.12</v>
      </c>
      <c r="D37" s="11" t="s">
        <v>523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9" t="s">
        <v>524</v>
      </c>
      <c r="C38" s="60">
        <v>0.19</v>
      </c>
      <c r="D38" s="11" t="s">
        <v>525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9" t="s">
        <v>526</v>
      </c>
      <c r="C39" s="47">
        <v>16</v>
      </c>
      <c r="D39" s="11" t="s">
        <v>527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9" t="s">
        <v>528</v>
      </c>
      <c r="C40" s="75"/>
      <c r="D40" s="11" t="s">
        <v>500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9" t="s">
        <v>529</v>
      </c>
      <c r="C41" s="75"/>
      <c r="D41" s="11" t="s">
        <v>500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9" t="s">
        <v>530</v>
      </c>
      <c r="C42" s="75"/>
      <c r="D42" s="11" t="s">
        <v>500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9" t="s">
        <v>531</v>
      </c>
      <c r="C43" s="3">
        <v>20462.89</v>
      </c>
      <c r="D43" s="11" t="s">
        <v>532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9" t="s">
        <v>533</v>
      </c>
      <c r="C44" s="3">
        <v>20492.5</v>
      </c>
      <c r="D44" s="11" t="s">
        <v>534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9" t="s">
        <v>535</v>
      </c>
      <c r="C45" s="3">
        <v>20870</v>
      </c>
      <c r="D45" s="11" t="s">
        <v>536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9" t="s">
        <v>537</v>
      </c>
      <c r="C46" s="3">
        <v>19791</v>
      </c>
      <c r="D46" s="11" t="s">
        <v>538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9" t="s">
        <v>539</v>
      </c>
      <c r="C47" s="3">
        <v>283.64</v>
      </c>
      <c r="D47" s="11" t="s">
        <v>540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9" t="s">
        <v>541</v>
      </c>
      <c r="C48" s="47">
        <v>18</v>
      </c>
      <c r="D48" s="11" t="s">
        <v>542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9" t="s">
        <v>543</v>
      </c>
      <c r="C49" s="75"/>
      <c r="D49" s="11" t="s">
        <v>500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9" t="s">
        <v>544</v>
      </c>
      <c r="C50" s="75"/>
      <c r="D50" s="11" t="s">
        <v>500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9" t="s">
        <v>545</v>
      </c>
      <c r="C51" s="75"/>
      <c r="D51" s="11" t="s">
        <v>500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9" t="s">
        <v>546</v>
      </c>
      <c r="C52" s="3">
        <v>2826.31</v>
      </c>
      <c r="D52" s="11" t="s">
        <v>547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9" t="s">
        <v>548</v>
      </c>
      <c r="C53" s="3">
        <v>2468.17</v>
      </c>
      <c r="D53" s="11" t="s">
        <v>549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9" t="s">
        <v>550</v>
      </c>
      <c r="C54" s="3">
        <v>2081.56</v>
      </c>
      <c r="D54" s="11" t="s">
        <v>551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9" t="s">
        <v>552</v>
      </c>
      <c r="C55" s="3">
        <v>2084.34</v>
      </c>
      <c r="D55" s="11" t="s">
        <v>553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9" t="s">
        <v>554</v>
      </c>
      <c r="C56" s="3">
        <v>1743.18</v>
      </c>
      <c r="D56" s="11" t="s">
        <v>555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9" t="s">
        <v>556</v>
      </c>
      <c r="C57" s="3">
        <v>1738.55</v>
      </c>
      <c r="D57" s="11" t="s">
        <v>557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9" t="s">
        <v>558</v>
      </c>
      <c r="C58" s="75"/>
      <c r="D58" s="11" t="s">
        <v>500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9" t="s">
        <v>559</v>
      </c>
      <c r="C59" s="75"/>
      <c r="D59" s="11" t="s">
        <v>500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9" t="s">
        <v>560</v>
      </c>
      <c r="C60" s="3">
        <v>420</v>
      </c>
      <c r="D60" s="11" t="s">
        <v>561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9" t="s">
        <v>562</v>
      </c>
      <c r="C61" s="75"/>
      <c r="D61" s="11" t="s">
        <v>500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9" t="s">
        <v>563</v>
      </c>
      <c r="C62" s="75"/>
      <c r="D62" s="11" t="s">
        <v>500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9" t="s">
        <v>564</v>
      </c>
      <c r="C63" s="75"/>
      <c r="D63" s="11" t="s">
        <v>500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9" t="s">
        <v>565</v>
      </c>
      <c r="C64" s="3">
        <v>-271.73</v>
      </c>
      <c r="D64" s="11" t="s">
        <v>566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9" t="s">
        <v>567</v>
      </c>
      <c r="C65" s="3">
        <v>16707</v>
      </c>
      <c r="D65" s="11" t="s">
        <v>568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9" t="s">
        <v>569</v>
      </c>
      <c r="C66" s="75"/>
      <c r="D66" s="11" t="s">
        <v>500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9" t="s">
        <v>570</v>
      </c>
      <c r="C67" s="75"/>
      <c r="D67" s="11" t="s">
        <v>500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9" t="s">
        <v>571</v>
      </c>
      <c r="C68" s="60">
        <v>618.86</v>
      </c>
      <c r="D68" s="11" t="s">
        <v>572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9" t="s">
        <v>573</v>
      </c>
      <c r="C69" s="60">
        <v>600</v>
      </c>
      <c r="D69" s="11" t="s">
        <v>574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9" t="s">
        <v>575</v>
      </c>
      <c r="C70" s="60">
        <v>756</v>
      </c>
      <c r="D70" s="11" t="s">
        <v>576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9" t="s">
        <v>577</v>
      </c>
      <c r="C71" s="60">
        <v>486</v>
      </c>
      <c r="D71" s="11" t="s">
        <v>578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9" t="s">
        <v>579</v>
      </c>
      <c r="C72" s="60">
        <v>63.78</v>
      </c>
      <c r="D72" s="11" t="s">
        <v>580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9" t="s">
        <v>581</v>
      </c>
      <c r="C73" s="47">
        <v>21</v>
      </c>
      <c r="D73" s="11" t="s">
        <v>582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9" t="s">
        <v>583</v>
      </c>
      <c r="C74" s="23" t="s">
        <v>584</v>
      </c>
      <c r="D74" s="11" t="s">
        <v>585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9" t="s">
        <v>586</v>
      </c>
      <c r="C75" s="78">
        <v>2.3</v>
      </c>
      <c r="D75" s="11" t="s">
        <v>587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9" t="s">
        <v>588</v>
      </c>
      <c r="C76" s="60">
        <v>552.09</v>
      </c>
      <c r="D76" s="11" t="s">
        <v>589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9" t="s">
        <v>590</v>
      </c>
      <c r="C77" s="23" t="s">
        <v>591</v>
      </c>
      <c r="D77" s="11" t="s">
        <v>592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9" t="s">
        <v>593</v>
      </c>
      <c r="C78" s="68">
        <v>46313</v>
      </c>
      <c r="D78" s="11" t="s">
        <v>594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1.5">
      <c r="A79" s="1"/>
      <c r="B79" s="9" t="s">
        <v>595</v>
      </c>
      <c r="C79" s="102" t="s">
        <v>596</v>
      </c>
      <c r="D79" s="11" t="s">
        <v>597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3" t="s">
        <v>598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4.5">
      <c r="A82" s="1"/>
      <c r="B82" s="13" t="s">
        <v>599</v>
      </c>
      <c r="C82" s="109" t="s">
        <v>600</v>
      </c>
      <c r="D82" s="105" t="s">
        <v>601</v>
      </c>
      <c r="E82" s="105" t="s">
        <v>602</v>
      </c>
      <c r="F82" s="105" t="s">
        <v>603</v>
      </c>
      <c r="G82" s="105" t="s">
        <v>604</v>
      </c>
      <c r="H82" s="105" t="s">
        <v>605</v>
      </c>
      <c r="I82" s="105" t="s">
        <v>606</v>
      </c>
      <c r="J82" s="105" t="s">
        <v>607</v>
      </c>
      <c r="K82" s="105" t="s">
        <v>608</v>
      </c>
      <c r="L82" s="105" t="s">
        <v>609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68">
        <v>45747</v>
      </c>
      <c r="C83" s="68">
        <v>45769</v>
      </c>
      <c r="D83" s="60">
        <v>6.32</v>
      </c>
      <c r="E83" s="60">
        <v>7.28</v>
      </c>
      <c r="F83" s="60">
        <v>6.35</v>
      </c>
      <c r="G83" s="60">
        <v>7.28</v>
      </c>
      <c r="H83" s="3">
        <v>17804.73</v>
      </c>
      <c r="I83" s="3">
        <v>17963</v>
      </c>
      <c r="J83" s="58">
        <f>IF(E83&gt;D83,1,0)</f>
        <v>1</v>
      </c>
      <c r="K83" s="31">
        <f>E83-D83</f>
        <v>0.96</v>
      </c>
      <c r="L83" s="31">
        <f>G83-F83</f>
        <v>0.9300000000000006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68">
        <v>45838</v>
      </c>
      <c r="C84" s="68">
        <v>45860</v>
      </c>
      <c r="D84" s="60">
        <v>6.47</v>
      </c>
      <c r="E84" s="60">
        <v>1.46</v>
      </c>
      <c r="F84" s="60">
        <v>6.42</v>
      </c>
      <c r="G84" s="60">
        <v>1.46</v>
      </c>
      <c r="H84" s="3">
        <v>18538.5</v>
      </c>
      <c r="I84" s="3">
        <v>18155</v>
      </c>
      <c r="J84" s="58">
        <f>IF(E84&gt;D84,1,0)</f>
        <v>0</v>
      </c>
      <c r="K84" s="31">
        <f>E84-D84</f>
        <v>-5.01</v>
      </c>
      <c r="L84" s="31">
        <f>G84-F84</f>
        <v>-4.96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68">
        <v>45930</v>
      </c>
      <c r="C85" s="68">
        <v>45951</v>
      </c>
      <c r="D85" s="60">
        <v>6.35</v>
      </c>
      <c r="E85" s="60">
        <v>6.95</v>
      </c>
      <c r="F85" s="60">
        <v>6.36</v>
      </c>
      <c r="G85" s="60">
        <v>6.95</v>
      </c>
      <c r="H85" s="3">
        <v>18525.55</v>
      </c>
      <c r="I85" s="3">
        <v>18609</v>
      </c>
      <c r="J85" s="58">
        <f>IF(E85&gt;D85,1,0)</f>
        <v>1</v>
      </c>
      <c r="K85" s="31">
        <f>E85-D85</f>
        <v>0.6000000000000005</v>
      </c>
      <c r="L85" s="31">
        <f>G85-F85</f>
        <v>0.5899999999999999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68">
        <v>46022</v>
      </c>
      <c r="C86" s="68">
        <v>46051</v>
      </c>
      <c r="D86" s="60">
        <v>5.96</v>
      </c>
      <c r="E86" s="60">
        <v>5.8</v>
      </c>
      <c r="F86" s="60">
        <v>5.75</v>
      </c>
      <c r="G86" s="60">
        <v>5.8</v>
      </c>
      <c r="H86" s="3">
        <v>19858.12</v>
      </c>
      <c r="I86" s="3">
        <v>20321</v>
      </c>
      <c r="J86" s="58">
        <f>IF(E86&gt;D86,1,0)</f>
        <v>0</v>
      </c>
      <c r="K86" s="31">
        <f>E86-D86</f>
        <v>-0.16000000000000014</v>
      </c>
      <c r="L86" s="31">
        <f>G86-F86</f>
        <v>0.04999999999999982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68">
        <v>46112</v>
      </c>
      <c r="C87" s="68">
        <v>46135</v>
      </c>
      <c r="D87" s="60">
        <v>6.73</v>
      </c>
      <c r="E87" s="60">
        <v>6.44</v>
      </c>
      <c r="F87" s="60">
        <v>6.69</v>
      </c>
      <c r="G87" s="60">
        <v>6.44</v>
      </c>
      <c r="H87" s="3">
        <v>18252.76</v>
      </c>
      <c r="I87" s="3">
        <v>18021</v>
      </c>
      <c r="J87" s="58">
        <f>IF(E87&gt;D87,1,0)</f>
        <v>0</v>
      </c>
      <c r="K87" s="31">
        <f>E87-D87</f>
        <v>-0.29000000000000004</v>
      </c>
      <c r="L87" s="31">
        <f>G87-F87</f>
        <v>-0.25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68">
        <v>46203</v>
      </c>
      <c r="C88" s="68">
        <v>46226</v>
      </c>
      <c r="D88" s="60">
        <v>7.18</v>
      </c>
      <c r="E88" s="60">
        <v>7.94</v>
      </c>
      <c r="F88" s="60">
        <v>7.2</v>
      </c>
      <c r="G88" s="60">
        <v>7.94</v>
      </c>
      <c r="H88" s="3">
        <v>19328.52</v>
      </c>
      <c r="I88" s="3">
        <v>20063</v>
      </c>
      <c r="J88" s="58">
        <f>IF(E88&gt;D88,1,0)</f>
        <v>1</v>
      </c>
      <c r="K88" s="31">
        <f>E88-D88</f>
        <v>0.7600000000000007</v>
      </c>
      <c r="L88" s="31">
        <f>G88-F88</f>
        <v>0.7400000000000002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1" t="s">
        <v>610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3" t="s">
        <v>611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9" t="s">
        <v>612</v>
      </c>
      <c r="C92" s="23" t="s">
        <v>613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9" t="s">
        <v>469</v>
      </c>
      <c r="C93" s="23" t="s">
        <v>470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9" t="s">
        <v>614</v>
      </c>
      <c r="C94" s="23" t="s">
        <v>14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9" t="s">
        <v>615</v>
      </c>
      <c r="C95" s="23" t="s">
        <v>486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9" t="s">
        <v>599</v>
      </c>
      <c r="C96" s="68">
        <v>46295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9" t="s">
        <v>616</v>
      </c>
      <c r="C97" s="68">
        <v>46313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9" t="s">
        <v>617</v>
      </c>
      <c r="C98" s="47">
        <v>14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9" t="s">
        <v>618</v>
      </c>
      <c r="C99" s="60">
        <v>7.52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9" t="s">
        <v>492</v>
      </c>
      <c r="C100" s="89" t="s">
        <v>619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9" t="s">
        <v>620</v>
      </c>
      <c r="C101" s="3">
        <v>20462.89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9" t="s">
        <v>621</v>
      </c>
      <c r="C102" s="23" t="s">
        <v>480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9" t="s">
        <v>622</v>
      </c>
      <c r="C103" s="89" t="s">
        <v>623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9" t="s">
        <v>624</v>
      </c>
      <c r="C104" s="23" t="s">
        <v>625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9" t="s">
        <v>626</v>
      </c>
      <c r="C105" s="23" t="s">
        <v>480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9" t="s">
        <v>627</v>
      </c>
      <c r="C106" s="23" t="s">
        <v>480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9" t="s">
        <v>628</v>
      </c>
      <c r="C107" s="23" t="s">
        <v>629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9" t="s">
        <v>630</v>
      </c>
      <c r="C108" s="23" t="s">
        <v>480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9" t="s">
        <v>631</v>
      </c>
      <c r="C109" s="23" t="s">
        <v>632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9" t="s">
        <v>633</v>
      </c>
      <c r="C110" s="9" t="s">
        <v>634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9" t="s">
        <v>635</v>
      </c>
      <c r="C111" s="9" t="s">
        <v>636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90" t="s">
        <v>637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3" t="s">
        <v>638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9" t="s">
        <v>639</v>
      </c>
      <c r="C114" s="3">
        <v>127.42</v>
      </c>
      <c r="D114" s="11" t="s">
        <v>640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9" t="s">
        <v>641</v>
      </c>
      <c r="C115" s="68">
        <v>46311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9" t="s">
        <v>642</v>
      </c>
      <c r="C116" s="35">
        <f>C76*'Share Count'!F25/1000</f>
        <v>127.41726682376999</v>
      </c>
      <c r="D116" s="11" t="s">
        <v>643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9" t="s">
        <v>644</v>
      </c>
      <c r="C117" s="3">
        <v>2</v>
      </c>
      <c r="D117" s="11" t="s">
        <v>645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9" t="s">
        <v>646</v>
      </c>
      <c r="C118" s="3">
        <v>10</v>
      </c>
      <c r="D118" s="11" t="s">
        <v>647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9" t="s">
        <v>648</v>
      </c>
      <c r="C119" s="42">
        <v>0.6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9" t="s">
        <v>649</v>
      </c>
      <c r="C120" s="42">
        <v>0.7</v>
      </c>
      <c r="D120" s="11" t="s">
        <v>650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9" t="s">
        <v>651</v>
      </c>
      <c r="C121" s="42">
        <v>0.78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9" t="s">
        <v>652</v>
      </c>
      <c r="C122" s="98" t="str">
        <f>IF(C114&gt;C118,"Large",IF(C114&gt;=C117,"Mid","Small"))</f>
        <v>Large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9" t="s">
        <v>653</v>
      </c>
      <c r="C123" s="78" t="b">
        <v>1</v>
      </c>
      <c r="D123" s="11" t="s">
        <v>654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9" t="s">
        <v>655</v>
      </c>
      <c r="C124" s="18">
        <f>IF(OR(C122="Large",C123=TRUE),C121,IF(C122="Mid",C120,C119))</f>
        <v>0.78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9" t="s">
        <v>656</v>
      </c>
      <c r="C125" s="58">
        <f>SUM(J83:J88)</f>
        <v>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9" t="s">
        <v>657</v>
      </c>
      <c r="C126" s="58">
        <f>COUNT(E83:E88)</f>
        <v>6</v>
      </c>
      <c r="D126" s="11" t="s">
        <v>658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9" t="s">
        <v>659</v>
      </c>
      <c r="C127" s="47">
        <v>8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9" t="s">
        <v>660</v>
      </c>
      <c r="C128" s="18">
        <f>(C127*C124+C125)/(C127+C126)</f>
        <v>0.66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9" t="s">
        <v>661</v>
      </c>
      <c r="C129" s="42">
        <v>-0.12</v>
      </c>
      <c r="D129" s="11" t="s">
        <v>662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9" t="s">
        <v>663</v>
      </c>
      <c r="C130" s="42">
        <v>-0.04</v>
      </c>
      <c r="D130" s="11" t="s">
        <v>664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9" t="s">
        <v>665</v>
      </c>
      <c r="C131" s="42">
        <v>-0.03</v>
      </c>
      <c r="D131" s="11" t="s">
        <v>666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9" t="s">
        <v>667</v>
      </c>
      <c r="C132" s="18">
        <f>C128+C129+C130+C131</f>
        <v>0.47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9" t="s">
        <v>53</v>
      </c>
      <c r="C133" s="78" t="s">
        <v>668</v>
      </c>
      <c r="D133" s="11" t="s">
        <v>669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9" t="s">
        <v>670</v>
      </c>
      <c r="C134" s="31">
        <f>AVERAGE(K83:K88)</f>
        <v>-0.5233333333333331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9" t="s">
        <v>671</v>
      </c>
      <c r="C135" s="31">
        <f>MEDIAN(K83:K88)</f>
        <v>0.2200000000000002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9" t="s">
        <v>672</v>
      </c>
      <c r="C136" s="31">
        <f>(SUM(K83:K88)-K84)/(COUNT(K83:K88)-1)</f>
        <v>0.3740000000000002</v>
      </c>
      <c r="D136" s="11" t="s">
        <v>673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3" t="s">
        <v>674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3" t="s">
        <v>675</v>
      </c>
      <c r="C139" s="57" t="s">
        <v>676</v>
      </c>
      <c r="D139" s="57" t="s">
        <v>677</v>
      </c>
      <c r="E139" s="57" t="s">
        <v>40</v>
      </c>
      <c r="F139" s="13" t="s">
        <v>446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9" t="s">
        <v>678</v>
      </c>
      <c r="C140" s="68">
        <v>46303</v>
      </c>
      <c r="D140" s="60">
        <v>7.56</v>
      </c>
      <c r="E140" s="3">
        <v>20450</v>
      </c>
      <c r="F140" s="1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9" t="s">
        <v>679</v>
      </c>
      <c r="C141" s="68">
        <v>46309</v>
      </c>
      <c r="D141" s="60">
        <v>7.43</v>
      </c>
      <c r="E141" s="3">
        <v>20440</v>
      </c>
      <c r="F141" s="1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9" t="s">
        <v>680</v>
      </c>
      <c r="C142" s="68">
        <v>46311</v>
      </c>
      <c r="D142" s="60">
        <v>7.48</v>
      </c>
      <c r="E142" s="3">
        <v>20350</v>
      </c>
      <c r="F142" s="1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9" t="s">
        <v>681</v>
      </c>
      <c r="C143" s="68">
        <v>46312</v>
      </c>
      <c r="D143" s="60">
        <v>30.42</v>
      </c>
      <c r="E143" s="2" t="s">
        <v>100</v>
      </c>
      <c r="F143" s="11" t="s">
        <v>682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Z330"/>
  <sheetViews>
    <sheetView showGridLines="0" workbookViewId="0"/>
  </sheetViews>
  <sheetFormatPr defaultColWidth="8.42578125" defaultRowHeight="15"/>
  <cols>
    <col min="1" max="1" width="2" customWidth="1"/>
    <col min="2" max="2" width="16" customWidth="1"/>
    <col min="3" max="3" width="14" customWidth="1"/>
    <col min="4" max="4" width="30" customWidth="1"/>
    <col min="5" max="6" width="70" customWidth="1"/>
    <col min="7" max="8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6" t="s">
        <v>683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4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24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73" t="s">
        <v>10</v>
      </c>
      <c r="C6" s="27">
        <v>45928</v>
      </c>
      <c r="D6" s="27">
        <v>46022</v>
      </c>
      <c r="E6" s="27">
        <v>46110</v>
      </c>
      <c r="F6" s="27">
        <v>46201</v>
      </c>
      <c r="G6" s="27">
        <v>46022</v>
      </c>
      <c r="H6" s="66">
        <v>46292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41" t="s">
        <v>11</v>
      </c>
      <c r="C7" s="15">
        <v>91</v>
      </c>
      <c r="D7" s="15">
        <v>94</v>
      </c>
      <c r="E7" s="15">
        <v>88</v>
      </c>
      <c r="F7" s="15">
        <v>91</v>
      </c>
      <c r="G7" s="15">
        <v>365</v>
      </c>
      <c r="H7" s="40">
        <v>91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3" t="s">
        <v>684</v>
      </c>
      <c r="C10" s="13"/>
      <c r="D10" s="13"/>
      <c r="E10" s="13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3" t="s">
        <v>685</v>
      </c>
      <c r="C11" s="13" t="s">
        <v>686</v>
      </c>
      <c r="D11" s="13" t="s">
        <v>687</v>
      </c>
      <c r="E11" s="13" t="s">
        <v>688</v>
      </c>
      <c r="F11" s="13" t="s">
        <v>689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624267578125">
      <c r="A12" s="1"/>
      <c r="B12" s="9" t="s">
        <v>690</v>
      </c>
      <c r="C12" s="16">
        <v>46313</v>
      </c>
      <c r="D12" s="9" t="s">
        <v>613</v>
      </c>
      <c r="E12" s="102" t="s">
        <v>691</v>
      </c>
      <c r="F12" s="9" t="s">
        <v>692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624267578125">
      <c r="A13" s="1"/>
      <c r="B13" s="9" t="s">
        <v>693</v>
      </c>
      <c r="C13" s="16">
        <v>46313</v>
      </c>
      <c r="D13" s="9" t="s">
        <v>613</v>
      </c>
      <c r="E13" s="102" t="s">
        <v>694</v>
      </c>
      <c r="F13" s="9" t="s">
        <v>695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5.5">
      <c r="A14" s="1"/>
      <c r="B14" s="9" t="s">
        <v>426</v>
      </c>
      <c r="C14" s="16">
        <v>46226</v>
      </c>
      <c r="D14" s="9" t="s">
        <v>696</v>
      </c>
      <c r="E14" s="102" t="s">
        <v>697</v>
      </c>
      <c r="F14" s="9" t="s">
        <v>698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5.5">
      <c r="A15" s="1"/>
      <c r="B15" s="9" t="s">
        <v>699</v>
      </c>
      <c r="C15" s="16">
        <v>46226</v>
      </c>
      <c r="D15" s="9" t="s">
        <v>700</v>
      </c>
      <c r="E15" s="102" t="s">
        <v>701</v>
      </c>
      <c r="F15" s="9" t="s">
        <v>702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5.5">
      <c r="A16" s="1"/>
      <c r="B16" s="9" t="s">
        <v>425</v>
      </c>
      <c r="C16" s="16">
        <v>46135</v>
      </c>
      <c r="D16" s="9" t="s">
        <v>696</v>
      </c>
      <c r="E16" s="102" t="s">
        <v>703</v>
      </c>
      <c r="F16" s="9" t="s">
        <v>704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5.5">
      <c r="A17" s="1"/>
      <c r="B17" s="9" t="s">
        <v>705</v>
      </c>
      <c r="C17" s="16">
        <v>46135</v>
      </c>
      <c r="D17" s="9" t="s">
        <v>700</v>
      </c>
      <c r="E17" s="102" t="s">
        <v>706</v>
      </c>
      <c r="F17" s="9" t="s">
        <v>707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5.5">
      <c r="A18" s="1"/>
      <c r="B18" s="9" t="s">
        <v>388</v>
      </c>
      <c r="C18" s="16">
        <v>46051</v>
      </c>
      <c r="D18" s="9" t="s">
        <v>696</v>
      </c>
      <c r="E18" s="102" t="s">
        <v>708</v>
      </c>
      <c r="F18" s="9" t="s">
        <v>709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5.5">
      <c r="A19" s="1"/>
      <c r="B19" s="9" t="s">
        <v>710</v>
      </c>
      <c r="C19" s="16">
        <v>46051</v>
      </c>
      <c r="D19" s="9" t="s">
        <v>711</v>
      </c>
      <c r="E19" s="102" t="s">
        <v>712</v>
      </c>
      <c r="F19" s="9" t="s">
        <v>713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5.5">
      <c r="A20" s="1"/>
      <c r="B20" s="9" t="s">
        <v>420</v>
      </c>
      <c r="C20" s="16">
        <v>45951</v>
      </c>
      <c r="D20" s="9" t="s">
        <v>696</v>
      </c>
      <c r="E20" s="102" t="s">
        <v>714</v>
      </c>
      <c r="F20" s="9" t="s">
        <v>715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5.5">
      <c r="A21" s="1"/>
      <c r="B21" s="9" t="s">
        <v>716</v>
      </c>
      <c r="C21" s="16">
        <v>45951</v>
      </c>
      <c r="D21" s="9" t="s">
        <v>700</v>
      </c>
      <c r="E21" s="102" t="s">
        <v>717</v>
      </c>
      <c r="F21" s="9" t="s">
        <v>718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5.5">
      <c r="A22" s="1"/>
      <c r="B22" s="9" t="s">
        <v>416</v>
      </c>
      <c r="C22" s="16">
        <v>45860</v>
      </c>
      <c r="D22" s="9" t="s">
        <v>696</v>
      </c>
      <c r="E22" s="102" t="s">
        <v>719</v>
      </c>
      <c r="F22" s="9" t="s">
        <v>720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5.5">
      <c r="A23" s="1"/>
      <c r="B23" s="9" t="s">
        <v>721</v>
      </c>
      <c r="C23" s="16">
        <v>45769</v>
      </c>
      <c r="D23" s="9" t="s">
        <v>696</v>
      </c>
      <c r="E23" s="102" t="s">
        <v>722</v>
      </c>
      <c r="F23" s="9" t="s">
        <v>723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5.5">
      <c r="A24" s="1"/>
      <c r="B24" s="9" t="s">
        <v>724</v>
      </c>
      <c r="C24" s="16">
        <v>45587</v>
      </c>
      <c r="D24" s="9" t="s">
        <v>696</v>
      </c>
      <c r="E24" s="102" t="s">
        <v>725</v>
      </c>
      <c r="F24" s="9" t="s">
        <v>726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624267578125">
      <c r="A25" s="1"/>
      <c r="B25" s="9" t="s">
        <v>432</v>
      </c>
      <c r="C25" s="16">
        <v>46226</v>
      </c>
      <c r="D25" s="9" t="s">
        <v>727</v>
      </c>
      <c r="E25" s="102" t="s">
        <v>728</v>
      </c>
      <c r="F25" s="9" t="s">
        <v>729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5.5">
      <c r="A26" s="1"/>
      <c r="B26" s="9" t="s">
        <v>730</v>
      </c>
      <c r="C26" s="16">
        <v>46282</v>
      </c>
      <c r="D26" s="9" t="s">
        <v>731</v>
      </c>
      <c r="E26" s="102" t="s">
        <v>732</v>
      </c>
      <c r="F26" s="9" t="s">
        <v>733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5.5">
      <c r="A27" s="1"/>
      <c r="B27" s="9" t="s">
        <v>734</v>
      </c>
      <c r="C27" s="16">
        <v>46296</v>
      </c>
      <c r="D27" s="9" t="s">
        <v>735</v>
      </c>
      <c r="E27" s="102" t="s">
        <v>736</v>
      </c>
      <c r="F27" s="9" t="s">
        <v>737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6.75">
      <c r="A28" s="1"/>
      <c r="B28" s="9" t="s">
        <v>738</v>
      </c>
      <c r="C28" s="16">
        <v>46232</v>
      </c>
      <c r="D28" s="9" t="s">
        <v>735</v>
      </c>
      <c r="E28" s="102" t="s">
        <v>739</v>
      </c>
      <c r="F28" s="9" t="s">
        <v>740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5.5">
      <c r="A29" s="1"/>
      <c r="B29" s="9" t="s">
        <v>741</v>
      </c>
      <c r="C29" s="16">
        <v>46252</v>
      </c>
      <c r="D29" s="9" t="s">
        <v>742</v>
      </c>
      <c r="E29" s="102" t="s">
        <v>743</v>
      </c>
      <c r="F29" s="9" t="s">
        <v>744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5.5">
      <c r="A30" s="1"/>
      <c r="B30" s="9" t="s">
        <v>745</v>
      </c>
      <c r="C30" s="16">
        <v>46295</v>
      </c>
      <c r="D30" s="9" t="s">
        <v>746</v>
      </c>
      <c r="E30" s="102" t="s">
        <v>747</v>
      </c>
      <c r="F30" s="9" t="s">
        <v>748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624267578125">
      <c r="A31" s="1"/>
      <c r="B31" s="9" t="s">
        <v>749</v>
      </c>
      <c r="C31" s="16">
        <v>46311</v>
      </c>
      <c r="D31" s="9" t="s">
        <v>750</v>
      </c>
      <c r="E31" s="102" t="s">
        <v>751</v>
      </c>
      <c r="F31" s="9" t="s">
        <v>752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624267578125">
      <c r="A32" s="1"/>
      <c r="B32" s="9" t="s">
        <v>753</v>
      </c>
      <c r="C32" s="16">
        <v>46311</v>
      </c>
      <c r="D32" s="9" t="s">
        <v>754</v>
      </c>
      <c r="E32" s="102" t="s">
        <v>755</v>
      </c>
      <c r="F32" s="9" t="s">
        <v>756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5.5">
      <c r="A33" s="1"/>
      <c r="B33" s="9" t="s">
        <v>757</v>
      </c>
      <c r="C33" s="16">
        <v>46311</v>
      </c>
      <c r="D33" s="9" t="s">
        <v>758</v>
      </c>
      <c r="E33" s="102" t="s">
        <v>759</v>
      </c>
      <c r="F33" s="9" t="s">
        <v>760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5.5">
      <c r="A34" s="1"/>
      <c r="B34" s="9" t="s">
        <v>761</v>
      </c>
      <c r="C34" s="16">
        <v>46311</v>
      </c>
      <c r="D34" s="9" t="s">
        <v>762</v>
      </c>
      <c r="E34" s="102" t="s">
        <v>763</v>
      </c>
      <c r="F34" s="9" t="s">
        <v>764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5.5">
      <c r="A35" s="1"/>
      <c r="B35" s="9" t="s">
        <v>765</v>
      </c>
      <c r="C35" s="16">
        <v>46309</v>
      </c>
      <c r="D35" s="9" t="s">
        <v>766</v>
      </c>
      <c r="E35" s="102" t="s">
        <v>767</v>
      </c>
      <c r="F35" s="9" t="s">
        <v>768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5.5">
      <c r="A36" s="1"/>
      <c r="B36" s="9" t="s">
        <v>769</v>
      </c>
      <c r="C36" s="16">
        <v>46303</v>
      </c>
      <c r="D36" s="9" t="s">
        <v>770</v>
      </c>
      <c r="E36" s="102" t="s">
        <v>771</v>
      </c>
      <c r="F36" s="9" t="s">
        <v>772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624267578125">
      <c r="A37" s="1"/>
      <c r="B37" s="9" t="s">
        <v>773</v>
      </c>
      <c r="C37" s="16">
        <v>46312</v>
      </c>
      <c r="D37" s="9" t="s">
        <v>774</v>
      </c>
      <c r="E37" s="102" t="s">
        <v>775</v>
      </c>
      <c r="F37" s="9" t="s">
        <v>776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5.5">
      <c r="A38" s="1"/>
      <c r="B38" s="9" t="s">
        <v>777</v>
      </c>
      <c r="C38" s="16">
        <v>46301</v>
      </c>
      <c r="D38" s="9" t="s">
        <v>778</v>
      </c>
      <c r="E38" s="102" t="s">
        <v>779</v>
      </c>
      <c r="F38" s="9" t="s">
        <v>780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48">
      <c r="A39" s="1"/>
      <c r="B39" s="9" t="s">
        <v>781</v>
      </c>
      <c r="C39" s="16">
        <v>46245</v>
      </c>
      <c r="D39" s="9" t="s">
        <v>782</v>
      </c>
      <c r="E39" s="102" t="s">
        <v>783</v>
      </c>
      <c r="F39" s="9" t="s">
        <v>784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5.5">
      <c r="A40" s="1"/>
      <c r="B40" s="9" t="s">
        <v>785</v>
      </c>
      <c r="C40" s="16">
        <v>46029</v>
      </c>
      <c r="D40" s="9" t="s">
        <v>786</v>
      </c>
      <c r="E40" s="102" t="s">
        <v>787</v>
      </c>
      <c r="F40" s="9" t="s">
        <v>788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5.5">
      <c r="A41" s="1"/>
      <c r="B41" s="9" t="s">
        <v>789</v>
      </c>
      <c r="C41" s="16">
        <v>46209</v>
      </c>
      <c r="D41" s="9" t="s">
        <v>735</v>
      </c>
      <c r="E41" s="102" t="s">
        <v>790</v>
      </c>
      <c r="F41" s="9" t="s">
        <v>791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5.5">
      <c r="A42" s="1"/>
      <c r="B42" s="9" t="s">
        <v>792</v>
      </c>
      <c r="C42" s="16">
        <v>46261</v>
      </c>
      <c r="D42" s="9" t="s">
        <v>793</v>
      </c>
      <c r="E42" s="102" t="s">
        <v>794</v>
      </c>
      <c r="F42" s="9" t="s">
        <v>795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5.5">
      <c r="A43" s="1"/>
      <c r="B43" s="9" t="s">
        <v>796</v>
      </c>
      <c r="C43" s="16">
        <v>46261</v>
      </c>
      <c r="D43" s="9" t="s">
        <v>793</v>
      </c>
      <c r="E43" s="102" t="s">
        <v>794</v>
      </c>
      <c r="F43" s="9" t="s">
        <v>797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1" t="s">
        <v>798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1" t="s">
        <v>799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1" t="s">
        <v>800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1" t="s">
        <v>801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</sheetData>
</worksheet>
</file>