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worksheets/sheet7.xml" ContentType="application/vnd.openxmlformats-officedocument.spreadsheetml.worksheet+xml"/>
  <Override PartName="/xl/comments7.xml" ContentType="application/vnd.openxmlformats-officedocument.spreadsheetml.comments+xml"/>
  <Override PartName="/xl/worksheets/sheet8.xml" ContentType="application/vnd.openxmlformats-officedocument.spreadsheetml.worksheet+xml"/>
  <Override PartName="/xl/comments8.xml" ContentType="application/vnd.openxmlformats-officedocument.spreadsheetml.comments+xml"/>
  <Override PartName="/xl/worksheets/sheet9.xml" ContentType="application/vnd.openxmlformats-officedocument.spreadsheetml.worksheet+xml"/>
  <Override PartName="/xl/comments9.xml" ContentType="application/vnd.openxmlformats-officedocument.spreadsheetml.comments+xml"/>
  <Override PartName="/xl/worksheets/sheet10.xml" ContentType="application/vnd.openxmlformats-officedocument.spreadsheetml.worksheet+xml"/>
  <Override PartName="/xl/comments10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r:id="rId1" name="Cover" sheetId="1"/>
    <sheet r:id="rId2" name="Revenue summary" sheetId="2"/>
    <sheet r:id="rId3" name="Income Statement" sheetId="3"/>
    <sheet r:id="rId4" name="Balance Sheet" sheetId="4"/>
    <sheet r:id="rId5" name="Cash Flow Statement" sheetId="5"/>
    <sheet r:id="rId6" name="Geo" sheetId="6"/>
    <sheet r:id="rId7" name="Share Count" sheetId="7"/>
    <sheet r:id="rId8" name="Guidance" sheetId="8"/>
    <sheet r:id="rId9" name="Sources" sheetId="9"/>
    <sheet r:id="rId10" name="Inputs" sheetId="10"/>
  </sheets>
  <calcPr calcId="0" iterateCount="100" iterateDelta="0.00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A33" authorId="0">
      <text>
        <r>
          <rPr>
            <sz val="9"/>
            <color rgb="FF000000"/>
            <rFont val="Arial"/>
            <family val="2"/>
          </rPr>
          <t>Range 13.5-15.5%, "closer to the midpoint" (S2).</t>
        </r>
      </text>
    </comment>
    <comment ref="A35" authorId="0">
      <text>
        <r>
          <rPr>
            <sz val="9"/>
            <color rgb="FF000000"/>
            <rFont val="Arial"/>
            <family val="2"/>
          </rPr>
          <t>Range 68-69% incl. ~1.0pt tariff impact (S2).</t>
        </r>
      </text>
    </comment>
    <comment ref="A37" authorId="0">
      <text>
        <r>
          <rPr>
            <sz val="9"/>
            <color rgb="FF000000"/>
            <rFont val="Arial"/>
            <family val="2"/>
          </rPr>
          <t>Range 22-23% (S2).</t>
        </r>
      </text>
    </comment>
    <comment ref="C21" authorId="0">
      <text>
        <r>
          <rPr>
            <sz val="9"/>
            <color rgb="FF000000"/>
            <rFont val="Arial"/>
            <family val="2"/>
          </rPr>
          <t>Consensus = S&amp;P Capital IQ snapshot captured 18-Oct-2026 (ISRG_consensus.json): normalized EPS mean $2.64 (24 est.), revenue mean $2,906.81m (25 est.), net income excl. exceptional $940.37m, GAAP net income $798.91m, GAAP EPS $2.37 (6 est.), EBIT $1,141.88m. Frozen scoring baseline.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Issuer guides annual procedure growth, non-GAAP gross margin, opex growth, SBC, other income and tax rate only; no revenue, net income or EPS guidance (see Guidance tab).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A14" authorId="0">
      <text>
        <r>
          <rPr>
            <sz val="9"/>
            <color rgb="FF000000"/>
            <rFont val="Arial"/>
            <family val="2"/>
          </rPr>
          <t>2025 periods: no acquired business contributed revenue (first revenue-bearing acquisition closed 1-Mar-2026; 2025 acquisition cash flows were IP/other, &lt;= $14m) -&gt; 0.0%. 1Q26 onward: contribution of the Mar-2026 Italy/Spain/Portugal distributor acquisition is not disclosed (described as not significant for pro forma disclosure, 2Q26 10-Q Note 7) -&gt; n.d., not zero.</t>
        </r>
      </text>
    </comment>
    <comment ref="A15" authorId="0">
      <text>
        <r>
          <rPr>
            <sz val="9"/>
            <color rgb="FF000000"/>
            <rFont val="Arial"/>
            <family val="2"/>
          </rPr>
          <t>FX impact is disclosed only for total OUS revenue (10-Q MD&amp;A), not by product line.</t>
        </r>
      </text>
    </comment>
    <comment ref="A22" authorId="0">
      <text>
        <r>
          <rPr>
            <sz val="9"/>
            <color rgb="FF000000"/>
            <rFont val="Arial"/>
            <family val="2"/>
          </rPr>
          <t>2025 periods: no acquired business contributed revenue (first revenue-bearing acquisition closed 1-Mar-2026; 2025 acquisition cash flows were IP/other, &lt;= $14m) -&gt; 0.0%. 1Q26 onward: contribution of the Mar-2026 Italy/Spain/Portugal distributor acquisition is not disclosed (described as not significant for pro forma disclosure, 2Q26 10-Q Note 7) -&gt; n.d., not zero.</t>
        </r>
      </text>
    </comment>
    <comment ref="A23" authorId="0">
      <text>
        <r>
          <rPr>
            <sz val="9"/>
            <color rgb="FF000000"/>
            <rFont val="Arial"/>
            <family val="2"/>
          </rPr>
          <t>FX impact is disclosed only for total OUS revenue (10-Q MD&amp;A), not by product line.</t>
        </r>
      </text>
    </comment>
    <comment ref="A30" authorId="0">
      <text>
        <r>
          <rPr>
            <sz val="9"/>
            <color rgb="FF000000"/>
            <rFont val="Arial"/>
            <family val="2"/>
          </rPr>
          <t>2025 periods: no acquired business contributed revenue (first revenue-bearing acquisition closed 1-Mar-2026; 2025 acquisition cash flows were IP/other, &lt;= $14m) -&gt; 0.0%. 1Q26 onward: contribution of the Mar-2026 Italy/Spain/Portugal distributor acquisition is not disclosed (described as not significant for pro forma disclosure, 2Q26 10-Q Note 7) -&gt; n.d., not zero.</t>
        </r>
      </text>
    </comment>
    <comment ref="A31" authorId="0">
      <text>
        <r>
          <rPr>
            <sz val="9"/>
            <color rgb="FF000000"/>
            <rFont val="Arial"/>
            <family val="2"/>
          </rPr>
          <t>FX impact is disclosed only for total OUS revenue (10-Q MD&amp;A), not by product line.</t>
        </r>
      </text>
    </comment>
    <comment ref="A39" authorId="0">
      <text>
        <r>
          <rPr>
            <sz val="9"/>
            <color rgb="FF000000"/>
            <rFont val="Arial"/>
            <family val="2"/>
          </rPr>
          <t>10-Q MD&amp;A: FX had a favorable impact on OUS revenue of $3m (3Q25), $36m (1Q26), $4m (2Q26); 4Q25/FY25 not captured (10-K MD&amp;A beyond fetched text) -&gt; n.d. 3Q26E assumption -$5m: EUR/USD averaged ~1.15 in 3Q26 vs ~1.17 in 3Q25 (WIFO/ECB, S19), partly hedged.</t>
        </r>
      </text>
    </comment>
    <comment ref="A41" authorId="0">
      <text>
        <r>
          <rPr>
            <sz val="9"/>
            <color rgb="FF000000"/>
            <rFont val="Arial"/>
            <family val="2"/>
          </rPr>
          <t>2025 periods: no acquired business contributed revenue (first revenue-bearing acquisition closed 1-Mar-2026; 2025 acquisition cash flows were IP/other, &lt;= $14m) -&gt; 0.0%. 1Q26 onward: contribution of the Mar-2026 Italy/Spain/Portugal distributor acquisition is not disclosed (described as not significant for pro forma disclosure, 2Q26 10-Q Note 7) -&gt; n.d., not zero.</t>
        </r>
      </text>
    </comment>
    <comment ref="A49" authorId="0">
      <text>
        <r>
          <rPr>
            <sz val="9"/>
            <color rgb="FF000000"/>
            <rFont val="Arial"/>
            <family val="2"/>
          </rPr>
          <t>2025 periods: no acquired business contributed revenue (first revenue-bearing acquisition closed 1-Mar-2026; 2025 acquisition cash flows were IP/other, &lt;= $14m) -&gt; 0.0%. 1Q26 onward: contribution of the Mar-2026 Italy/Spain/Portugal distributor acquisition is not disclosed (described as not significant for pro forma disclosure, 2Q26 10-Q Note 7) -&gt; n.d., not zero.</t>
        </r>
      </text>
    </comment>
    <comment ref="A50" authorId="0">
      <text>
        <r>
          <rPr>
            <sz val="9"/>
            <color rgb="FF000000"/>
            <rFont val="Arial"/>
            <family val="2"/>
          </rPr>
          <t>FX impact is disclosed only for total OUS revenue (10-Q MD&amp;A), not by product line.</t>
        </r>
      </text>
    </comment>
    <comment ref="A57" authorId="0">
      <text>
        <r>
          <rPr>
            <sz val="9"/>
            <color rgb="FF000000"/>
            <rFont val="Arial"/>
            <family val="2"/>
          </rPr>
          <t>2025 periods: no acquired business contributed revenue (first revenue-bearing acquisition closed 1-Mar-2026; 2025 acquisition cash flows were IP/other, &lt;= $14m) -&gt; 0.0%. 1Q26 onward: contribution of the Mar-2026 Italy/Spain/Portugal distributor acquisition is not disclosed (described as not significant for pro forma disclosure, 2Q26 10-Q Note 7) -&gt; n.d., not zero.</t>
        </r>
      </text>
    </comment>
    <comment ref="A58" authorId="0">
      <text>
        <r>
          <rPr>
            <sz val="9"/>
            <color rgb="FF000000"/>
            <rFont val="Arial"/>
            <family val="2"/>
          </rPr>
          <t>FX impact is disclosed only for total OUS revenue (10-Q MD&amp;A), not by product line.</t>
        </r>
      </text>
    </comment>
    <comment ref="A65" authorId="0">
      <text>
        <r>
          <rPr>
            <sz val="9"/>
            <color rgb="FF000000"/>
            <rFont val="Arial"/>
            <family val="2"/>
          </rPr>
          <t>2025 periods: no acquired business contributed revenue (first revenue-bearing acquisition closed 1-Mar-2026; 2025 acquisition cash flows were IP/other, &lt;= $14m) -&gt; 0.0%. 1Q26 onward: contribution of the Mar-2026 Italy/Spain/Portugal distributor acquisition is not disclosed (described as not significant for pro forma disclosure, 2Q26 10-Q Note 7) -&gt; n.d., not zero.</t>
        </r>
      </text>
    </comment>
    <comment ref="A66" authorId="0">
      <text>
        <r>
          <rPr>
            <sz val="9"/>
            <color rgb="FF000000"/>
            <rFont val="Arial"/>
            <family val="2"/>
          </rPr>
          <t>FX impact is disclosed only for total OUS revenue (10-Q MD&amp;A), not by product line.</t>
        </r>
      </text>
    </comment>
    <comment ref="A72" authorId="0">
      <text>
        <r>
          <rPr>
            <sz val="9"/>
            <color rgb="FF000000"/>
            <rFont val="Arial"/>
            <family val="2"/>
          </rPr>
          <t>3Q26E +10.5%: 2Q26 U.S. growth slowed to 12% (1Q26 14%) on ACA-subsidy deferrals and bariatric declines; 3Q25 comp +16% is the toughest of the year; hospital operators (HCA, Tenet) flagged softer elective surgery into 3Q (S16, S17). Implies ~+1.5% Q/Q vs +2% seasonal in 3Q25.</t>
        </r>
      </text>
    </comment>
    <comment ref="A75" authorId="0">
      <text>
        <r>
          <rPr>
            <sz val="9"/>
            <color rgb="FF000000"/>
            <rFont val="Arial"/>
            <family val="2"/>
          </rPr>
          <t>3Q26E +19%: OUS grew 19-20% in 1H26 with broad-based Europe/Asia growth; Japan reimbursement expansion effective Jun-26 (S9).</t>
        </r>
      </text>
    </comment>
    <comment ref="A86" authorId="0">
      <text>
        <r>
          <rPr>
            <sz val="9"/>
            <color rgb="FF000000"/>
            <rFont val="Arial"/>
            <family val="2"/>
          </rPr>
          <t>3Q26E +34%: Ion growth decelerating ~3-5pts per quarter (52%, 44%, 39%, 36%).</t>
        </r>
      </text>
    </comment>
    <comment ref="A114" authorId="0">
      <text>
        <r>
          <rPr>
            <sz val="9"/>
            <color rgb="FF000000"/>
            <rFont val="Arial"/>
            <family val="2"/>
          </rPr>
          <t>3Q26E 465 units (+9% Y/Y): 1H26 placements +17%; 3Q is seasonally &gt;= 2Q (3Q25 427 vs 2Q25 395) but 3Q25 is a high base and China remains minimal; U.S. capital described as stable through 2Q (S9, S12).</t>
        </r>
      </text>
    </comment>
    <comment ref="A126" authorId="0">
      <text>
        <r>
          <rPr>
            <sz val="9"/>
            <color rgb="FF000000"/>
            <rFont val="Arial"/>
            <family val="2"/>
          </rPr>
          <t>Regional split from 10-Q MD&amp;A ("By geography ...") and the 4Q25 call (Europe 118; Asia / other not given in the same taxonomy -&gt; n.d.). 3Q26E: Europe 85, Asia 70 (Japan reimbursement tailwind, China minimal), other 45.</t>
        </r>
      </text>
    </comment>
    <comment ref="A153" authorId="0">
      <text>
        <r>
          <rPr>
            <sz val="9"/>
            <color rgb="FF000000"/>
            <rFont val="Arial"/>
            <family val="2"/>
          </rPr>
          <t>Reported ASP excludes leases, Ion and specified-price trade-in rights; reported rounded to $10k. FY25 = reported annual ASP. 3Q26E $1.62m: between 2Q26 $1.59m and 1Q26 $1.74m; dV5/dual-console mix up, more X/XiR in distributor markets.</t>
        </r>
      </text>
    </comment>
    <comment ref="A177" authorId="0">
      <text>
        <r>
          <rPr>
            <sz val="9"/>
            <color rgb="FF000000"/>
            <rFont val="Arial"/>
            <family val="2"/>
          </rPr>
          <t>3Q26E -150: trade-ins running 142-189 per quarter on U.S. dV5 upgrades (2Q26: 144 trade-in transactions).</t>
        </r>
      </text>
    </comment>
    <comment ref="A226" authorId="0">
      <text>
        <r>
          <rPr>
            <sz val="9"/>
            <color rgb="FF000000"/>
            <rFont val="Arial"/>
            <family val="2"/>
          </rPr>
          <t>Regional installed base disclosed in the 1Q26 and 2Q26 10-Q MD&amp;A only; earlier quarters not captured -&gt; n.d.; not forecast (n.f.).</t>
        </r>
      </text>
    </comment>
    <comment ref="A236" authorId="0">
      <text>
        <r>
          <rPr>
            <sz val="9"/>
            <color rgb="FF000000"/>
            <rFont val="Arial"/>
            <family val="2"/>
          </rPr>
          <t>3Q26E assumes no da Vinci 5 trade-ins/retirements (platform launched 2024).</t>
        </r>
      </text>
    </comment>
    <comment ref="A240" authorId="0">
      <text>
        <r>
          <rPr>
            <sz val="9"/>
            <color rgb="FF000000"/>
            <rFont val="Arial"/>
            <family val="2"/>
          </rPr>
          <t>3Q26E assumes no SP retirements.</t>
        </r>
      </text>
    </comment>
    <comment ref="A243" authorId="0">
      <text>
        <r>
          <rPr>
            <sz val="9"/>
            <color rgb="FF000000"/>
            <rFont val="Arial"/>
            <family val="2"/>
          </rPr>
          <t>Historical = change in fixed-payment lease base less fixed-payment lease placements (lease buyouts, conversions to sale, terminations). 3Q26E -85 vs -78 in 2Q26.</t>
        </r>
      </text>
    </comment>
    <comment ref="A249" authorId="0">
      <text>
        <r>
          <rPr>
            <sz val="9"/>
            <color rgb="FF000000"/>
            <rFont val="Arial"/>
            <family val="2"/>
          </rPr>
          <t>Historical = change in usage-based lease base less usage-based placements. 3Q26E -75 vs -76 in 2Q26.</t>
        </r>
      </text>
    </comment>
    <comment ref="A267" authorId="0">
      <text>
        <r>
          <rPr>
            <sz val="9"/>
            <color rgb="FF000000"/>
            <rFont val="Arial"/>
            <family val="2"/>
          </rPr>
          <t>10-Q MD&amp;A Ion placements by geography (3Q25 lists U.S. 41, Europe 5, Asia 4 = 50 total, so other = 0); 4Q25 not disclosed. 3Q26E repeats 2Q26 mix (55 total).</t>
        </r>
      </text>
    </comment>
    <comment ref="A294" authorId="0">
      <text>
        <r>
          <rPr>
            <sz val="9"/>
            <color rgb="FF000000"/>
            <rFont val="Arial"/>
            <family val="2"/>
          </rPr>
          <t>3Q26E +12: OUS Ion base grew +6 to +13 per quarter over the last four quarters; 2Q26 +13.</t>
        </r>
      </text>
    </comment>
    <comment ref="A308" authorId="0">
      <text>
        <r>
          <rPr>
            <sz val="9"/>
            <color rgb="FF000000"/>
            <rFont val="Arial"/>
            <family val="2"/>
          </rPr>
          <t>1Q26 derived from 6M26 (36 fixed / 31 usage) less 2Q26 (14 / 17) in the 2Q26 10-Q; 4Q25 not captured.</t>
        </r>
      </text>
    </comment>
    <comment ref="A310" authorId="0">
      <text>
        <r>
          <rPr>
            <sz val="9"/>
            <color rgb="FF000000"/>
            <rFont val="Arial"/>
            <family val="2"/>
          </rPr>
          <t>Historical = change in Ion lease base less lease placements (3Q25 -13, 4Q25 -18, 1Q26 -16, 2Q26 -14). 3Q26E -15.</t>
        </r>
      </text>
    </comment>
    <comment ref="A332" authorId="0">
      <text>
        <r>
          <rPr>
            <sz val="9"/>
            <color rgb="FF000000"/>
            <rFont val="Arial"/>
            <family val="2"/>
          </rPr>
          <t>2025 periods: no acquired business contributed revenue (first revenue-bearing acquisition closed 1-Mar-2026; 2025 acquisition cash flows were IP/other, &lt;= $14m) -&gt; 0.0%. 1Q26 onward: contribution of the Mar-2026 Italy/Spain/Portugal distributor acquisition is not disclosed (described as not significant for pro forma disclosure, 2Q26 10-Q Note 7) -&gt; n.d., not zero.</t>
        </r>
      </text>
    </comment>
    <comment ref="A333" authorId="0">
      <text>
        <r>
          <rPr>
            <sz val="9"/>
            <color rgb="FF000000"/>
            <rFont val="Arial"/>
            <family val="2"/>
          </rPr>
          <t>FX impact is disclosed only for total OUS revenue (10-Q MD&amp;A), not by product line.</t>
        </r>
      </text>
    </comment>
    <comment ref="A336" authorId="0">
      <text>
        <r>
          <rPr>
            <sz val="9"/>
            <color rgb="FF000000"/>
            <rFont val="Arial"/>
            <family val="2"/>
          </rPr>
          <t>Derived = (total I&amp;A - Ion I&amp;A) / da Vinci procedures; issuer reports a rounded figure (row below). 3Q26E $1.83k: 2Q26 $1.83k after elevated 1Q26 OUS ordering; 3Q25 $1.80k; dV5/SP mix accretive, benign/OUS mix and slight FX headwind offset.</t>
        </r>
      </text>
    </comment>
    <comment ref="A344" authorId="0">
      <text>
        <r>
          <rPr>
            <sz val="9"/>
            <color rgb="FF000000"/>
            <rFont val="Arial"/>
            <family val="2"/>
          </rPr>
          <t>2025 periods: no acquired business contributed revenue (first revenue-bearing acquisition closed 1-Mar-2026; 2025 acquisition cash flows were IP/other, &lt;= $14m) -&gt; 0.0%. 1Q26 onward: contribution of the Mar-2026 Italy/Spain/Portugal distributor acquisition is not disclosed (described as not significant for pro forma disclosure, 2Q26 10-Q Note 7) -&gt; n.d., not zero.</t>
        </r>
      </text>
    </comment>
    <comment ref="A345" authorId="0">
      <text>
        <r>
          <rPr>
            <sz val="9"/>
            <color rgb="FF000000"/>
            <rFont val="Arial"/>
            <family val="2"/>
          </rPr>
          <t>FX impact is disclosed only for total OUS revenue (10-Q MD&amp;A), not by product line.</t>
        </r>
      </text>
    </comment>
    <comment ref="A348" authorId="0">
      <text>
        <r>
          <rPr>
            <sz val="9"/>
            <color rgb="FF000000"/>
            <rFont val="Arial"/>
            <family val="2"/>
          </rPr>
          <t>3Q26E $2.25k: range $2.20-2.28k over the last 5 quarters.</t>
        </r>
      </text>
    </comment>
    <comment ref="A354" authorId="0">
      <text>
        <r>
          <rPr>
            <sz val="9"/>
            <color rgb="FF000000"/>
            <rFont val="Arial"/>
            <family val="2"/>
          </rPr>
          <t>2025 periods: no acquired business contributed revenue (first revenue-bearing acquisition closed 1-Mar-2026; 2025 acquisition cash flows were IP/other, &lt;= $14m) -&gt; 0.0%. 1Q26 onward: contribution of the Mar-2026 Italy/Spain/Portugal distributor acquisition is not disclosed (described as not significant for pro forma disclosure, 2Q26 10-Q Note 7) -&gt; n.d., not zero.</t>
        </r>
      </text>
    </comment>
    <comment ref="A355" authorId="0">
      <text>
        <r>
          <rPr>
            <sz val="9"/>
            <color rgb="FF000000"/>
            <rFont val="Arial"/>
            <family val="2"/>
          </rPr>
          <t>FX impact is disclosed only for total OUS revenue (10-Q MD&amp;A), not by product line.</t>
        </r>
      </text>
    </comment>
    <comment ref="A360" authorId="0">
      <text>
        <r>
          <rPr>
            <sz val="9"/>
            <color rgb="FF000000"/>
            <rFont val="Arial"/>
            <family val="2"/>
          </rPr>
          <t>Derived from reported purchased units and rounded reported ASP; approximates sales of purchased systems before trade-in and other adjustments.</t>
        </r>
      </text>
    </comment>
    <comment ref="A364" authorId="0">
      <text>
        <r>
          <rPr>
            <sz val="9"/>
            <color rgb="FF000000"/>
            <rFont val="Arial"/>
            <family val="2"/>
          </rPr>
          <t>2025 periods: no acquired business contributed revenue (first revenue-bearing acquisition closed 1-Mar-2026; 2025 acquisition cash flows were IP/other, &lt;= $14m) -&gt; 0.0%. 1Q26 onward: contribution of the Mar-2026 Italy/Spain/Portugal distributor acquisition is not disclosed (described as not significant for pro forma disclosure, 2Q26 10-Q Note 7) -&gt; n.d., not zero.</t>
        </r>
      </text>
    </comment>
    <comment ref="A365" authorId="0">
      <text>
        <r>
          <rPr>
            <sz val="9"/>
            <color rgb="FF000000"/>
            <rFont val="Arial"/>
            <family val="2"/>
          </rPr>
          <t>FX impact is disclosed only for total OUS revenue (10-Q MD&amp;A), not by product line.</t>
        </r>
      </text>
    </comment>
    <comment ref="A368" authorId="0">
      <text>
        <r>
          <rPr>
            <sz val="9"/>
            <color rgb="FF000000"/>
            <rFont val="Arial"/>
            <family val="2"/>
          </rPr>
          <t>Residual: da Vinci systems revenue less purchased-system sales; includes operating-lease revenue for da Vinci, lease buyouts ($51m 1Q26, $56m 2Q26) and other items.</t>
        </r>
      </text>
    </comment>
    <comment ref="A369" authorId="0">
      <text>
        <r>
          <rPr>
            <sz val="9"/>
            <color rgb="FF000000"/>
            <rFont val="Arial"/>
            <family val="2"/>
          </rPr>
          <t>3Q26E +2% Q/Q: lease installed base growing ~3-4% Q/Q, offset by lower assumed lease buyouts vs the $56m in 2Q26.</t>
        </r>
      </text>
    </comment>
    <comment ref="A373" authorId="0">
      <text>
        <r>
          <rPr>
            <sz val="9"/>
            <color rgb="FF000000"/>
            <rFont val="Arial"/>
            <family val="2"/>
          </rPr>
          <t>2025 periods: no acquired business contributed revenue (first revenue-bearing acquisition closed 1-Mar-2026; 2025 acquisition cash flows were IP/other, &lt;= $14m) -&gt; 0.0%. 1Q26 onward: contribution of the Mar-2026 Italy/Spain/Portugal distributor acquisition is not disclosed (described as not significant for pro forma disclosure, 2Q26 10-Q Note 7) -&gt; n.d., not zero.</t>
        </r>
      </text>
    </comment>
    <comment ref="A374" authorId="0">
      <text>
        <r>
          <rPr>
            <sz val="9"/>
            <color rgb="FF000000"/>
            <rFont val="Arial"/>
            <family val="2"/>
          </rPr>
          <t>FX impact is disclosed only for total OUS revenue (10-Q MD&amp;A), not by product line.</t>
        </r>
      </text>
    </comment>
    <comment ref="A381" authorId="0">
      <text>
        <r>
          <rPr>
            <sz val="9"/>
            <color rgb="FF000000"/>
            <rFont val="Arial"/>
            <family val="2"/>
          </rPr>
          <t>2025 periods: no acquired business contributed revenue (first revenue-bearing acquisition closed 1-Mar-2026; 2025 acquisition cash flows were IP/other, &lt;= $14m) -&gt; 0.0%. 1Q26 onward: contribution of the Mar-2026 Italy/Spain/Portugal distributor acquisition is not disclosed (described as not significant for pro forma disclosure, 2Q26 10-Q Note 7) -&gt; n.d., not zero.</t>
        </r>
      </text>
    </comment>
    <comment ref="A382" authorId="0">
      <text>
        <r>
          <rPr>
            <sz val="9"/>
            <color rgb="FF000000"/>
            <rFont val="Arial"/>
            <family val="2"/>
          </rPr>
          <t>FX impact is disclosed only for total OUS revenue (10-Q MD&amp;A), not by product line.</t>
        </r>
      </text>
    </comment>
    <comment ref="A392" authorId="0">
      <text>
        <r>
          <rPr>
            <sz val="9"/>
            <color rgb="FF000000"/>
            <rFont val="Arial"/>
            <family val="2"/>
          </rPr>
          <t>2025 periods: no acquired business contributed revenue (first revenue-bearing acquisition closed 1-Mar-2026; 2025 acquisition cash flows were IP/other, &lt;= $14m) -&gt; 0.0%. 1Q26 onward: contribution of the Mar-2026 Italy/Spain/Portugal distributor acquisition is not disclosed (described as not significant for pro forma disclosure, 2Q26 10-Q Note 7) -&gt; n.d., not zero.</t>
        </r>
      </text>
    </comment>
    <comment ref="A393" authorId="0">
      <text>
        <r>
          <rPr>
            <sz val="9"/>
            <color rgb="FF000000"/>
            <rFont val="Arial"/>
            <family val="2"/>
          </rPr>
          <t>FX impact is disclosed only for total OUS revenue (10-Q MD&amp;A), not by product line.</t>
        </r>
      </text>
    </comment>
    <comment ref="A397" authorId="0">
      <text>
        <r>
          <rPr>
            <sz val="9"/>
            <color rgb="FF000000"/>
            <rFont val="Arial"/>
            <family val="2"/>
          </rPr>
          <t>3Q26E +4% Q/Q: Ion lease base +4% Q/Q (397 -&gt; ~412).</t>
        </r>
      </text>
    </comment>
    <comment ref="A401" authorId="0">
      <text>
        <r>
          <rPr>
            <sz val="9"/>
            <color rgb="FF000000"/>
            <rFont val="Arial"/>
            <family val="2"/>
          </rPr>
          <t>2025 periods: no acquired business contributed revenue (first revenue-bearing acquisition closed 1-Mar-2026; 2025 acquisition cash flows were IP/other, &lt;= $14m) -&gt; 0.0%. 1Q26 onward: contribution of the Mar-2026 Italy/Spain/Portugal distributor acquisition is not disclosed (described as not significant for pro forma disclosure, 2Q26 10-Q Note 7) -&gt; n.d., not zero.</t>
        </r>
      </text>
    </comment>
    <comment ref="A402" authorId="0">
      <text>
        <r>
          <rPr>
            <sz val="9"/>
            <color rgb="FF000000"/>
            <rFont val="Arial"/>
            <family val="2"/>
          </rPr>
          <t>FX impact is disclosed only for total OUS revenue (10-Q MD&amp;A), not by product line.</t>
        </r>
      </text>
    </comment>
    <comment ref="A409" authorId="0">
      <text>
        <r>
          <rPr>
            <sz val="9"/>
            <color rgb="FF000000"/>
            <rFont val="Arial"/>
            <family val="2"/>
          </rPr>
          <t>2025 periods: no acquired business contributed revenue (first revenue-bearing acquisition closed 1-Mar-2026; 2025 acquisition cash flows were IP/other, &lt;= $14m) -&gt; 0.0%. 1Q26 onward: contribution of the Mar-2026 Italy/Spain/Portugal distributor acquisition is not disclosed (described as not significant for pro forma disclosure, 2Q26 10-Q Note 7) -&gt; n.d., not zero.</t>
        </r>
      </text>
    </comment>
    <comment ref="A410" authorId="0">
      <text>
        <r>
          <rPr>
            <sz val="9"/>
            <color rgb="FF000000"/>
            <rFont val="Arial"/>
            <family val="2"/>
          </rPr>
          <t>FX impact is disclosed only for total OUS revenue (10-Q MD&amp;A), not by product line.</t>
        </r>
      </text>
    </comment>
    <comment ref="A416" authorId="0">
      <text>
        <r>
          <rPr>
            <sz val="9"/>
            <color rgb="FF000000"/>
            <rFont val="Arial"/>
            <family val="2"/>
          </rPr>
          <t>2025 periods: no acquired business contributed revenue (first revenue-bearing acquisition closed 1-Mar-2026; 2025 acquisition cash flows were IP/other, &lt;= $14m) -&gt; 0.0%. 1Q26 onward: contribution of the Mar-2026 Italy/Spain/Portugal distributor acquisition is not disclosed (described as not significant for pro forma disclosure, 2Q26 10-Q Note 7) -&gt; n.d., not zero.</t>
        </r>
      </text>
    </comment>
    <comment ref="A417" authorId="0">
      <text>
        <r>
          <rPr>
            <sz val="9"/>
            <color rgb="FF000000"/>
            <rFont val="Arial"/>
            <family val="2"/>
          </rPr>
          <t>FX impact is disclosed only for total OUS revenue (10-Q MD&amp;A), not by product line.</t>
        </r>
      </text>
    </comment>
    <comment ref="A424" authorId="0">
      <text>
        <r>
          <rPr>
            <sz val="9"/>
            <color rgb="FF000000"/>
            <rFont val="Arial"/>
            <family val="2"/>
          </rPr>
          <t>2025 periods: no acquired business contributed revenue (first revenue-bearing acquisition closed 1-Mar-2026; 2025 acquisition cash flows were IP/other, &lt;= $14m) -&gt; 0.0%. 1Q26 onward: contribution of the Mar-2026 Italy/Spain/Portugal distributor acquisition is not disclosed (described as not significant for pro forma disclosure, 2Q26 10-Q Note 7) -&gt; n.d., not zero.</t>
        </r>
      </text>
    </comment>
    <comment ref="A425" authorId="0">
      <text>
        <r>
          <rPr>
            <sz val="9"/>
            <color rgb="FF000000"/>
            <rFont val="Arial"/>
            <family val="2"/>
          </rPr>
          <t>FX impact is disclosed only for total OUS revenue (10-Q MD&amp;A), not by product line.</t>
        </r>
      </text>
    </comment>
    <comment ref="A431" authorId="0">
      <text>
        <r>
          <rPr>
            <sz val="9"/>
            <color rgb="FF000000"/>
            <rFont val="Arial"/>
            <family val="2"/>
          </rPr>
          <t>2025 periods: no acquired business contributed revenue (first revenue-bearing acquisition closed 1-Mar-2026; 2025 acquisition cash flows were IP/other, &lt;= $14m) -&gt; 0.0%. 1Q26 onward: contribution of the Mar-2026 Italy/Spain/Portugal distributor acquisition is not disclosed (described as not significant for pro forma disclosure, 2Q26 10-Q Note 7) -&gt; n.d., not zero.</t>
        </r>
      </text>
    </comment>
    <comment ref="A432" authorId="0">
      <text>
        <r>
          <rPr>
            <sz val="9"/>
            <color rgb="FF000000"/>
            <rFont val="Arial"/>
            <family val="2"/>
          </rPr>
          <t>FX impact is disclosed only for total OUS revenue (10-Q MD&amp;A), not by product line.</t>
        </r>
      </text>
    </comment>
    <comment ref="A438" authorId="0">
      <text>
        <r>
          <rPr>
            <sz val="9"/>
            <color rgb="FF000000"/>
            <rFont val="Arial"/>
            <family val="2"/>
          </rPr>
          <t>2025 periods: no acquired business contributed revenue (first revenue-bearing acquisition closed 1-Mar-2026; 2025 acquisition cash flows were IP/other, &lt;= $14m) -&gt; 0.0%. 1Q26 onward: contribution of the Mar-2026 Italy/Spain/Portugal distributor acquisition is not disclosed (described as not significant for pro forma disclosure, 2Q26 10-Q Note 7) -&gt; n.d., not zero.</t>
        </r>
      </text>
    </comment>
    <comment ref="A439" authorId="0">
      <text>
        <r>
          <rPr>
            <sz val="9"/>
            <color rgb="FF000000"/>
            <rFont val="Arial"/>
            <family val="2"/>
          </rPr>
          <t>FX impact is disclosed only for total OUS revenue (10-Q MD&amp;A), not by product line.</t>
        </r>
      </text>
    </comment>
    <comment ref="A448" authorId="0">
      <text>
        <r>
          <rPr>
            <sz val="9"/>
            <color rgb="FF000000"/>
            <rFont val="Arial"/>
            <family val="2"/>
          </rPr>
          <t>2025 periods: no acquired business contributed revenue (first revenue-bearing acquisition closed 1-Mar-2026; 2025 acquisition cash flows were IP/other, &lt;= $14m) -&gt; 0.0%. 1Q26 onward: contribution of the Mar-2026 Italy/Spain/Portugal distributor acquisition is not disclosed (described as not significant for pro forma disclosure, 2Q26 10-Q Note 7) -&gt; n.d., not zero.</t>
        </r>
      </text>
    </comment>
    <comment ref="A449" authorId="0">
      <text>
        <r>
          <rPr>
            <sz val="9"/>
            <color rgb="FF000000"/>
            <rFont val="Arial"/>
            <family val="2"/>
          </rPr>
          <t>FX impact is disclosed only for total OUS revenue (10-Q MD&amp;A), not by product line.</t>
        </r>
      </text>
    </comment>
    <comment ref="A452" authorId="0">
      <text>
        <r>
          <rPr>
            <sz val="9"/>
            <color rgb="FF000000"/>
            <rFont val="Arial"/>
            <family val="2"/>
          </rPr>
          <t>3Q26E $38.9k vs $39.4k in 2Q26 (+9% Q/Q jump incl. My Intuitive+ renewals) and $36.0k in 3Q25; issuer cited +8% Y/Y service revenue per system in 2Q26.</t>
        </r>
      </text>
    </comment>
    <comment ref="A455" authorId="0">
      <text>
        <r>
          <rPr>
            <sz val="9"/>
            <color rgb="FF000000"/>
            <rFont val="Arial"/>
            <family val="2"/>
          </rPr>
          <t>3Q26E $15.6k vs $15.8k in 2Q26 and $14.0k in 3Q25.</t>
        </r>
      </text>
    </comment>
    <comment ref="A462" authorId="0">
      <text>
        <r>
          <rPr>
            <sz val="9"/>
            <color rgb="FF000000"/>
            <rFont val="Arial"/>
            <family val="2"/>
          </rPr>
          <t>2025 periods: no acquired business contributed revenue (first revenue-bearing acquisition closed 1-Mar-2026; 2025 acquisition cash flows were IP/other, &lt;= $14m) -&gt; 0.0%. 1Q26 onward: contribution of the Mar-2026 Italy/Spain/Portugal distributor acquisition is not disclosed (described as not significant for pro forma disclosure, 2Q26 10-Q Note 7) -&gt; n.d., not zero.</t>
        </r>
      </text>
    </comment>
    <comment ref="A463" authorId="0">
      <text>
        <r>
          <rPr>
            <sz val="9"/>
            <color rgb="FF000000"/>
            <rFont val="Arial"/>
            <family val="2"/>
          </rPr>
          <t>FX impact is disclosed only for total OUS revenue (10-Q MD&amp;A), not by product line.</t>
        </r>
      </text>
    </comment>
    <comment ref="A469" authorId="0">
      <text>
        <r>
          <rPr>
            <sz val="9"/>
            <color rgb="FF000000"/>
            <rFont val="Arial"/>
            <family val="2"/>
          </rPr>
          <t>2025 periods: no acquired business contributed revenue (first revenue-bearing acquisition closed 1-Mar-2026; 2025 acquisition cash flows were IP/other, &lt;= $14m) -&gt; 0.0%. 1Q26 onward: contribution of the Mar-2026 Italy/Spain/Portugal distributor acquisition is not disclosed (described as not significant for pro forma disclosure, 2Q26 10-Q Note 7) -&gt; n.d., not zero.</t>
        </r>
      </text>
    </comment>
    <comment ref="A470" authorId="0">
      <text>
        <r>
          <rPr>
            <sz val="9"/>
            <color rgb="FF000000"/>
            <rFont val="Arial"/>
            <family val="2"/>
          </rPr>
          <t>FX impact is disclosed only for total OUS revenue (10-Q MD&amp;A), not by product line.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A28" authorId="0">
      <text>
        <r>
          <rPr>
            <sz val="9"/>
            <color rgb="FF000000"/>
            <rFont val="Arial"/>
            <family val="2"/>
          </rPr>
          <t>3Q26E 66%: service GM 63.8% (3Q25), 64.0% (4Q25), 63.0% (1Q26), 67.2% (2Q26, incl. $8.4m IEEPA refund benefit in service COGS).</t>
        </r>
      </text>
    </comment>
    <comment ref="A109" authorId="0">
      <text>
        <r>
          <rPr>
            <sz val="9"/>
            <color rgb="FF000000"/>
            <rFont val="Arial"/>
            <family val="2"/>
          </rPr>
          <t>3Q26E 68.5% = FY26 guidance midpoint (68-69%, incl. ~100bp tariff impact). 1H26 68.9% incl. $36m IEEPA refund; ex-refund 2Q26 68.7%, 3Q25 68.0%. Freight and semiconductor memory cost pressure flagged (S2, S9).</t>
        </r>
      </text>
    </comment>
    <comment ref="A113" authorId="0">
      <text>
        <r>
          <rPr>
            <sz val="9"/>
            <color rgb="FF000000"/>
            <rFont val="Arial"/>
            <family val="2"/>
          </rPr>
          <t>3Q26E +10%: 1H26 non-GAAP SG&amp;A +8.6% Y/Y; R&amp;D growing faster than SG&amp;A per management (S9).</t>
        </r>
      </text>
    </comment>
    <comment ref="A116" authorId="0">
      <text>
        <r>
          <rPr>
            <sz val="9"/>
            <color rgb="FF000000"/>
            <rFont val="Arial"/>
            <family val="2"/>
          </rPr>
          <t>3Q26E +17.5%: 1H26 non-GAAP R&amp;D +16.7% Y/Y (2Q26 +19.2%).</t>
        </r>
      </text>
    </comment>
    <comment ref="A118" authorId="0">
      <text>
        <r>
          <rPr>
            <sz val="9"/>
            <color rgb="FF000000"/>
            <rFont val="Arial"/>
            <family val="2"/>
          </rPr>
          <t>3Q26E implies H2 growth consistent with FY26 non-GAAP opex guidance of +11-13% (S2): FY25 base $3,039m; 1H26 $1,608m.</t>
        </r>
      </text>
    </comment>
    <comment ref="A125" authorId="0">
      <text>
        <r>
          <rPr>
            <sz val="9"/>
            <color rgb="FF000000"/>
            <rFont val="Arial"/>
            <family val="2"/>
          </rPr>
          <t>3Q26E $80m: FY26 guidance $315-335m; 1H26 $168m implies $74-84m per quarter in 2H.</t>
        </r>
      </text>
    </comment>
    <comment ref="A130" authorId="0">
      <text>
        <r>
          <rPr>
            <sz val="9"/>
            <color rgb="FF000000"/>
            <rFont val="Arial"/>
            <family val="2"/>
          </rPr>
          <t>3Q26E 22.5% = midpoint of FY26 non-GAAP tax-rate guidance of 22-23% (S2); 2Q26 22.6%.</t>
        </r>
      </text>
    </comment>
    <comment ref="A159" authorId="0">
      <text>
        <r>
          <rPr>
            <sz val="9"/>
            <color rgb="FF000000"/>
            <rFont val="Arial"/>
            <family val="2"/>
          </rPr>
          <t>3Q26E $230m: FY26 SBC guidance $880-900m (S2) less 1H26 $419m leaves ~$461-481m for 2H.</t>
        </r>
      </text>
    </comment>
    <comment ref="A161" authorId="0">
      <text>
        <r>
          <rPr>
            <sz val="9"/>
            <color rgb="FF000000"/>
            <rFont val="Arial"/>
            <family val="2"/>
          </rPr>
          <t>3Q is a light vesting quarter (3Q25 -$24.2m); 3Q26E -$20m with a lower share price.</t>
        </r>
      </text>
    </comment>
    <comment ref="A163" authorId="0">
      <text>
        <r>
          <rPr>
            <sz val="9"/>
            <color rgb="FF000000"/>
            <rFont val="Arial"/>
            <family val="2"/>
          </rPr>
          <t>Historical with-and-without effect 17-32%; 2Q26 22.6%. 3Q26E 21.5%.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A10" authorId="0">
      <text>
        <r>
          <rPr>
            <sz val="9"/>
            <color rgb="FF000000"/>
            <rFont val="Arial"/>
            <family val="2"/>
          </rPr>
          <t>3Q26E $195m vs $192m in 2Q26 (depreciation of leased systems rising with lease base).</t>
        </r>
      </text>
    </comment>
    <comment ref="A11" authorId="0">
      <text>
        <r>
          <rPr>
            <sz val="9"/>
            <color rgb="FF000000"/>
            <rFont val="Arial"/>
            <family val="2"/>
          </rPr>
          <t>9M25 combines amortization of intangibles ($9.9m) and of contract acquisition assets ($27.4m), presented separately in the 3Q25 10-Q (see Inputs).</t>
        </r>
      </text>
    </comment>
    <comment ref="A29" authorId="0">
      <text>
        <r>
          <rPr>
            <sz val="9"/>
            <color rgb="FF000000"/>
            <rFont val="Arial"/>
            <family val="2"/>
          </rPr>
          <t>3Q26E assumes maturities are reinvested (net investment flow of zero).</t>
        </r>
      </text>
    </comment>
    <comment ref="A31" authorId="0">
      <text>
        <r>
          <rPr>
            <sz val="9"/>
            <color rgb="FF000000"/>
            <rFont val="Arial"/>
            <family val="2"/>
          </rPr>
          <t>3Q26E $130m: 1H26 $216m ($103m, $113m); management says capex returning to normalized levels (S11).</t>
        </r>
      </text>
    </comment>
    <comment ref="A37" authorId="0">
      <text>
        <r>
          <rPr>
            <sz val="9"/>
            <color rgb="FF000000"/>
            <rFont val="Arial"/>
            <family val="2"/>
          </rPr>
          <t>3Q26E $90m: ESPP purchase in 3Q (3Q25 $90m).</t>
        </r>
      </text>
    </comment>
    <comment ref="A53" authorId="0">
      <text>
        <r>
          <rPr>
            <sz val="9"/>
            <color rgb="FF000000"/>
            <rFont val="Arial"/>
            <family val="2"/>
          </rPr>
          <t>Issuer usage: CFO cited 1H26 free cash flow of $1.8bn = OCF $1,972.9m less PP&amp;E purchases $215.9m (S9).</t>
        </r>
      </text>
    </comment>
    <comment ref="A60" authorId="0">
      <text>
        <r>
          <rPr>
            <sz val="9"/>
            <color rgb="FF000000"/>
            <rFont val="Arial"/>
            <family val="2"/>
          </rPr>
          <t>Disclosed only year-to-date: $357.2m (6M25), $419.3m (6M26). 3Q26E $210m (half of 1H26).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A12" authorId="0">
      <text>
        <r>
          <rPr>
            <sz val="9"/>
            <color rgb="FF000000"/>
            <rFont val="Arial"/>
            <family val="2"/>
          </rPr>
          <t>U.S. revenue: no acquisition in scope (the Mar-2026 acquisition covered Italy/Spain/Portugal distributors) -&gt; 0.0% based on disclosure.</t>
        </r>
      </text>
    </comment>
    <comment ref="A13" authorId="0">
      <text>
        <r>
          <rPr>
            <sz val="9"/>
            <color rgb="FF000000"/>
            <rFont val="Arial"/>
            <family val="2"/>
          </rPr>
          <t>U.S. revenue is USD-denominated; issuer attributes FX impacts only to OUS revenue (10-Q MD&amp;A) -&gt; 0.0% disclosed, not assumed.</t>
        </r>
      </text>
    </comment>
    <comment ref="A19" authorId="0">
      <text>
        <r>
          <rPr>
            <sz val="9"/>
            <color rgb="FF000000"/>
            <rFont val="Arial"/>
            <family val="2"/>
          </rPr>
          <t>U.S. revenue: no acquisition in scope (the Mar-2026 acquisition covered Italy/Spain/Portugal distributors) -&gt; 0.0% based on disclosure.</t>
        </r>
      </text>
    </comment>
    <comment ref="A20" authorId="0">
      <text>
        <r>
          <rPr>
            <sz val="9"/>
            <color rgb="FF000000"/>
            <rFont val="Arial"/>
            <family val="2"/>
          </rPr>
          <t>U.S. revenue is USD-denominated; issuer attributes FX impacts only to OUS revenue (10-Q MD&amp;A) -&gt; 0.0% disclosed, not assumed.</t>
        </r>
      </text>
    </comment>
    <comment ref="A26" authorId="0">
      <text>
        <r>
          <rPr>
            <sz val="9"/>
            <color rgb="FF000000"/>
            <rFont val="Arial"/>
            <family val="2"/>
          </rPr>
          <t>U.S. revenue: no acquisition in scope (the Mar-2026 acquisition covered Italy/Spain/Portugal distributors) -&gt; 0.0% based on disclosure.</t>
        </r>
      </text>
    </comment>
    <comment ref="A27" authorId="0">
      <text>
        <r>
          <rPr>
            <sz val="9"/>
            <color rgb="FF000000"/>
            <rFont val="Arial"/>
            <family val="2"/>
          </rPr>
          <t>U.S. revenue is USD-denominated; issuer attributes FX impacts only to OUS revenue (10-Q MD&amp;A) -&gt; 0.0% disclosed, not assumed.</t>
        </r>
      </text>
    </comment>
    <comment ref="A34" authorId="0">
      <text>
        <r>
          <rPr>
            <sz val="9"/>
            <color rgb="FF000000"/>
            <rFont val="Arial"/>
            <family val="2"/>
          </rPr>
          <t>No acquisition in U.S. scope (Mar-2026 acquisition covered Italy/Spain/Portugal distributors).</t>
        </r>
      </text>
    </comment>
    <comment ref="A35" authorId="0">
      <text>
        <r>
          <rPr>
            <sz val="9"/>
            <color rgb="FF000000"/>
            <rFont val="Arial"/>
            <family val="2"/>
          </rPr>
          <t>U.S. revenue is USD-denominated; issuer attributes FX impacts only to OUS revenue (10-Q MD&amp;A) -&gt; 0.0% is disclosed, not assumed.</t>
        </r>
      </text>
    </comment>
    <comment ref="A42" authorId="0">
      <text>
        <r>
          <rPr>
            <sz val="9"/>
            <color rgb="FF000000"/>
            <rFont val="Arial"/>
            <family val="2"/>
          </rPr>
          <t>2025 periods: no acquired business contributed revenue (first revenue-bearing acquisition closed 1-Mar-2026; 2025 acquisition cash flows were IP/other, &lt;= $14m) -&gt; 0.0%. 1Q26 onward: contribution of the Mar-2026 Italy/Spain/Portugal distributor acquisition is not disclosed (described as not significant for pro forma disclosure, 2Q26 10-Q Note 7) -&gt; n.d., not zero.</t>
        </r>
      </text>
    </comment>
    <comment ref="A43" authorId="0">
      <text>
        <r>
          <rPr>
            <sz val="9"/>
            <color rgb="FF000000"/>
            <rFont val="Arial"/>
            <family val="2"/>
          </rPr>
          <t>FX impact is disclosed only for total OUS revenue (10-Q MD&amp;A), not by product line.</t>
        </r>
      </text>
    </comment>
    <comment ref="A49" authorId="0">
      <text>
        <r>
          <rPr>
            <sz val="9"/>
            <color rgb="FF000000"/>
            <rFont val="Arial"/>
            <family val="2"/>
          </rPr>
          <t>2025 periods: no acquired business contributed revenue (first revenue-bearing acquisition closed 1-Mar-2026; 2025 acquisition cash flows were IP/other, &lt;= $14m) -&gt; 0.0%. 1Q26 onward: contribution of the Mar-2026 Italy/Spain/Portugal distributor acquisition is not disclosed (described as not significant for pro forma disclosure, 2Q26 10-Q Note 7) -&gt; n.d., not zero.</t>
        </r>
      </text>
    </comment>
    <comment ref="A50" authorId="0">
      <text>
        <r>
          <rPr>
            <sz val="9"/>
            <color rgb="FF000000"/>
            <rFont val="Arial"/>
            <family val="2"/>
          </rPr>
          <t>FX impact is disclosed only for total OUS revenue (10-Q MD&amp;A), not by product line.</t>
        </r>
      </text>
    </comment>
    <comment ref="A56" authorId="0">
      <text>
        <r>
          <rPr>
            <sz val="9"/>
            <color rgb="FF000000"/>
            <rFont val="Arial"/>
            <family val="2"/>
          </rPr>
          <t>2025 periods: no acquired business contributed revenue (first revenue-bearing acquisition closed 1-Mar-2026; 2025 acquisition cash flows were IP/other, &lt;= $14m) -&gt; 0.0%. 1Q26 onward: contribution of the Mar-2026 Italy/Spain/Portugal distributor acquisition is not disclosed (described as not significant for pro forma disclosure, 2Q26 10-Q Note 7) -&gt; n.d., not zero.</t>
        </r>
      </text>
    </comment>
    <comment ref="A57" authorId="0">
      <text>
        <r>
          <rPr>
            <sz val="9"/>
            <color rgb="FF000000"/>
            <rFont val="Arial"/>
            <family val="2"/>
          </rPr>
          <t>FX impact is disclosed only for total OUS revenue (10-Q MD&amp;A), not by product line.</t>
        </r>
      </text>
    </comment>
    <comment ref="A64" authorId="0">
      <text>
        <r>
          <rPr>
            <sz val="9"/>
            <color rgb="FF000000"/>
            <rFont val="Arial"/>
            <family val="2"/>
          </rPr>
          <t>2025 periods: no acquired business contributed revenue (first revenue-bearing acquisition closed 1-Mar-2026; 2025 acquisition cash flows were IP/other, &lt;= $14m) -&gt; 0.0%. 1Q26 onward: contribution of the Mar-2026 Italy/Spain/Portugal distributor acquisition is not disclosed (described as not significant for pro forma disclosure, 2Q26 10-Q Note 7) -&gt; n.d., not zero.</t>
        </r>
      </text>
    </comment>
    <comment ref="A70" authorId="0">
      <text>
        <r>
          <rPr>
            <sz val="9"/>
            <color rgb="FF000000"/>
            <rFont val="Arial"/>
            <family val="2"/>
          </rPr>
          <t>2Q26 32.0%, 1Q26 33.5% (direct-sales step-up after Mar-26 distributor acquisition), 3Q25 30.1%.</t>
        </r>
      </text>
    </comment>
    <comment ref="A73" authorId="0">
      <text>
        <r>
          <rPr>
            <sz val="9"/>
            <color rgb="FF000000"/>
            <rFont val="Arial"/>
            <family val="2"/>
          </rPr>
          <t>2Q26 35.5%, 1Q26 41.6%, 3Q25 32.7%; OUS placements assumed 200 of 465.</t>
        </r>
      </text>
    </comment>
    <comment ref="A76" authorId="0">
      <text>
        <r>
          <rPr>
            <sz val="9"/>
            <color rgb="FF000000"/>
            <rFont val="Arial"/>
            <family val="2"/>
          </rPr>
          <t>2Q26 34.2%, 1Q26 35.0%, 3Q25 34.8%.</t>
        </r>
      </text>
    </comment>
    <comment ref="B23" authorId="0">
      <text>
        <r>
          <rPr>
            <sz val="9"/>
            <color rgb="FF000000"/>
            <rFont val="Arial"/>
            <family val="2"/>
          </rPr>
          <t>investor_intuitivesurgical_com_static_files_6ea9f7b2_ca9a_44_1ca1df53.md | Line 59 | $ 258.1 $ 258.1</t>
        </r>
      </text>
    </comment>
    <comment ref="B39" authorId="0">
      <text>
        <r>
          <rPr>
            <sz val="9"/>
            <color rgb="FF000000"/>
            <rFont val="Arial"/>
            <family val="2"/>
          </rPr>
          <t>investor_intuitivesurgical_com_static_files_6ea9f7b2_ca9a_44_1ca1df53.md | Line 65 | $ 456.8 $ 456.8</t>
        </r>
      </text>
    </comment>
    <comment ref="D12" authorId="0">
      <text>
        <r>
          <rPr>
            <sz val="9"/>
            <color rgb="FF000000"/>
            <rFont val="Arial"/>
            <family val="2"/>
          </rPr>
          <t>www_sec_gov_Archives_edgar_data_1035267_000103526726000058_i_c0a448c7.md | Line 540 | Intuitive assumed direct distribution responsibilities for Italy, Spain, Portugal, Malta, San Marino, and associated territories.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A9" authorId="0">
      <text>
        <r>
          <rPr>
            <sz val="9"/>
            <color rgb="FF000000"/>
            <rFont val="Arial"/>
            <family val="2"/>
          </rPr>
          <t>30-Jun-25 shares outstanding not captured from the 2Q25 10-Q -&gt; n.d.; FY25 opening 356.6m per 10-K balance sheet.</t>
        </r>
      </text>
    </comment>
    <comment ref="A10" authorId="0">
      <text>
        <r>
          <rPr>
            <sz val="9"/>
            <color rgb="FF000000"/>
            <rFont val="Arial"/>
            <family val="2"/>
          </rPr>
          <t>3Q26E 0.8m: ESPP purchase and RSU vesting, net of shares withheld; 2Q26 derived 0.4m, 1Q26 1.6m.</t>
        </r>
      </text>
    </comment>
    <comment ref="A16" authorId="0">
      <text>
        <r>
          <rPr>
            <sz val="9"/>
            <color rgb="FF000000"/>
            <rFont val="Arial"/>
            <family val="2"/>
          </rPr>
          <t>3Q26E $500m: no in-quarter disclosure; $4.7bn authorization remaining at 30-Jun-26, shares traded $330-415 in 3Q26 (S9, S3). Assumption, settled in quarter.</t>
        </r>
      </text>
    </comment>
    <comment ref="A24" authorId="0">
      <text>
        <r>
          <rPr>
            <sz val="9"/>
            <color rgb="FF000000"/>
            <rFont val="Arial"/>
            <family val="2"/>
          </rPr>
          <t>3Q26E = simple average of opening and closing shares outstanding (2Q26: average 354.15m vs reported 354.1m).</t>
        </r>
      </text>
    </comment>
    <comment ref="A27" authorId="0">
      <text>
        <r>
          <rPr>
            <sz val="9"/>
            <color rgb="FF000000"/>
            <rFont val="Arial"/>
            <family val="2"/>
          </rPr>
          <t>3Q26E 3.0m: dilution fell to 3.2m in 2Q26 from 4.9m in 1Q26 as the share price declined (treasury-stock method).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A9" authorId="0">
      <text>
        <r>
          <rPr>
            <sz val="9"/>
            <color rgb="FF000000"/>
            <rFont val="Arial"/>
            <family val="2"/>
          </rPr>
          <t>FY25 actual procedure growth computed from reported procedure counts (3,153k vs 2,683k, rounded to thousands) = 17.5%; issuer described growth as "approximately 18%".</t>
        </r>
      </text>
    </comment>
    <comment ref="A30" authorId="0">
      <text>
        <r>
          <rPr>
            <sz val="9"/>
            <color rgb="FF000000"/>
            <rFont val="Arial"/>
            <family val="2"/>
          </rPr>
          <t>Issuer gives no revenue, net income or EPS guidance; Cover shows "Not guided" for the guidance-midpoint column.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B35" authorId="0">
      <text>
        <r>
          <rPr>
            <sz val="9"/>
            <color rgb="FF000000"/>
            <rFont val="Arial"/>
            <family val="2"/>
          </rPr>
          <t>EDGAR submissions index as retrieved 19-Oct-2026 04:40 UTC; latest ISRG filing listed was the 27-Jul-2026 8-K; no 3Q26 Item 2.02 earnings 8-K present.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A337" authorId="0">
      <text>
        <r>
          <rPr>
            <sz val="9"/>
            <color rgb="FF000000"/>
            <rFont val="Arial"/>
            <family val="2"/>
          </rPr>
          <t>stockanalysis.com market cap page: $150.74bn as of 16-Oct-2026 (Nasdaq Data Link); companiesmarketcap.com same figure (S20).</t>
        </r>
      </text>
    </comment>
    <comment ref="A341" authorId="0">
      <text>
        <r>
          <rPr>
            <sz val="9"/>
            <color rgb="FF000000"/>
            <rFont val="Arial"/>
            <family val="2"/>
          </rPr>
          <t>whichindex.com S&amp;P 500 constituent list as of 15/16-Oct-2026: ISRG rank 77, weight 0.23% (S21).</t>
        </r>
      </text>
    </comment>
    <comment ref="A347" authorId="0">
      <text>
        <r>
          <rPr>
            <sz val="9"/>
            <color rgb="FF000000"/>
            <rFont val="Arial"/>
            <family val="2"/>
          </rPr>
          <t>Small downward update from the 87.4% starting value: model EPS $2.76 is $0.12 above the $2.64 consensus (supports a beat), but U.S. procedure deceleration, hospital elective-surgery softness (HCA/Tenet, Evercore survey), J&amp;J surgery weakness OUS and memory/freight cost pressure are live downside risks. Not used to inflate the EPS estimate.</t>
        </r>
      </text>
    </comment>
  </commentList>
</comments>
</file>

<file path=xl/sharedStrings.xml><?xml version="1.0" encoding="utf-8"?>
<sst xmlns="http://schemas.openxmlformats.org/spreadsheetml/2006/main" count="882" uniqueCount="882">
  <si>
    <t>Intuitive Surgical, Inc. (NasdaqGS: ISRG)</t>
  </si>
  <si>
    <t>Cover</t>
  </si>
  <si>
    <t>$ millions, except per share</t>
  </si>
  <si>
    <t>Period</t>
  </si>
  <si>
    <t>3Q26E</t>
  </si>
  <si>
    <t>Period end</t>
  </si>
  <si>
    <t>Days in period</t>
  </si>
  <si>
    <t>Company Model — built by Shortcut</t>
  </si>
  <si>
    <t>Author: Shortcut (model built with Shortcut tools; not investment advice)</t>
  </si>
  <si>
    <t>Company</t>
  </si>
  <si>
    <t>Intuitive Surgical, Inc.</t>
  </si>
  <si>
    <t>Ticker</t>
  </si>
  <si>
    <t>ISRG</t>
  </si>
  <si>
    <t>Exchange</t>
  </si>
  <si>
    <t>Nasdaq Global Select Market (NasdaqGS:ISRG)</t>
  </si>
  <si>
    <t>Fiscal year end</t>
  </si>
  <si>
    <t>31-Dec; FQ3 2026 = quarter ended 30-Sep-2026 (issuer calendar quarter; supplied label 2026-09-30 matches)</t>
  </si>
  <si>
    <t>Reporting currency</t>
  </si>
  <si>
    <t>USD; amounts in $ millions</t>
  </si>
  <si>
    <t>EPS basis</t>
  </si>
  <si>
    <t>Issuer non-GAAP diluted EPS = CapIQ normalized diluted EPS, USD per diluted common share</t>
  </si>
  <si>
    <t>Information cutoff</t>
  </si>
  <si>
    <t>2026-10-18 21:34:46 UTC</t>
  </si>
  <si>
    <t>Expected report date</t>
  </si>
  <si>
    <t>2026-10-20 after market close (issuer IR event page; CapIQ supplied 2026-10-20)</t>
  </si>
  <si>
    <t>Consensus capture</t>
  </si>
  <si>
    <t>CapIQ snapshot 18-Oct-2026 (date precision); 24 EPS / 25 revenue estimates</t>
  </si>
  <si>
    <t>3Q26E headline</t>
  </si>
  <si>
    <t>Estimate</t>
  </si>
  <si>
    <t>Consensus</t>
  </si>
  <si>
    <t>Variance</t>
  </si>
  <si>
    <t>Var. %</t>
  </si>
  <si>
    <t>Guide mid</t>
  </si>
  <si>
    <t>3Q25A</t>
  </si>
  <si>
    <t>Y/Y %</t>
  </si>
  <si>
    <t>Revenue ($m)</t>
  </si>
  <si>
    <t>Not guided</t>
  </si>
  <si>
    <t>Non-GAAP net income ($m)</t>
  </si>
  <si>
    <t>Non-GAAP diluted EPS (scored basis)</t>
  </si>
  <si>
    <t>Net income – GAAP ($m)</t>
  </si>
  <si>
    <t>Diluted EPS – GAAP</t>
  </si>
  <si>
    <t>Non-GAAP operating income ($m)</t>
  </si>
  <si>
    <t>Structural checks (see note 1)</t>
  </si>
  <si>
    <t>PASS</t>
  </si>
  <si>
    <t>P(beat consensus EPS)</t>
  </si>
  <si>
    <t>Confidence</t>
  </si>
  <si>
    <t>medium</t>
  </si>
  <si>
    <t>Guidance context (FY26, 16-Jul-26)</t>
  </si>
  <si>
    <t>FY26 dV procedure growth guide mid</t>
  </si>
  <si>
    <t>3Q26E dV procedure growth (model)</t>
  </si>
  <si>
    <t>FY26 non-GAAP GM guide midpoint</t>
  </si>
  <si>
    <t>3Q26E NG GM (input = guide mid)</t>
  </si>
  <si>
    <t>Non-GAAP tax rate midpoint (FY26)</t>
  </si>
  <si>
    <t>3Q26E NG tax (input = guide mid)</t>
  </si>
  <si>
    <t>Check: Cover ties to statements (= 0)</t>
  </si>
  <si>
    <t>Notes</t>
  </si>
  <si>
    <t>(1) Checks: 3Q26E cells Income Statement!G74, G96, G101, G140; Revenue summary!G135, G279, G475:G477; Geo!G80:G83;</t>
  </si>
  <si>
    <t>Cash Flow Statement!G50:G51 and Share Count!G38 are identities by construction and cannot fail. Balance Sheet!G39 holds by double-entry</t>
  </si>
  <si>
    <t>construction. None validates forecast assumptions. Revenue summary!G136/G225 test independent inputs; historical columns tie to reported values.</t>
  </si>
  <si>
    <t>(2) GAAP consensus lines (C25 net income 798.91; C26 EPS 2.37, 6 estimates) come from different CapIQ contributor sets and</t>
  </si>
  <si>
    <t>imply ~337m shares vs ~356m for the normalized pair (940.37 / 2.64). Raw snapshot retained; GAAP variances are indicative</t>
  </si>
  <si>
    <t>only. Scored basis is row 24.</t>
  </si>
  <si>
    <t>(3) Target coverage: organic revenue growth is unavailable for 2026 periods because the acquired-distributor scope effect is</t>
  </si>
  <si>
    <t>not disclosed (Revenue summary!G41/G43 = n.d.); constant-currency growth (Revenue summary!G40) is the proxy. Issuer-defined</t>
  </si>
  <si>
    <t>EBITDA is not applicable (not reported; Income Statement!A141).</t>
  </si>
  <si>
    <t>(4) Free cash flow (Cash Flow Statement!G53) is model-defined as OCF less purchases of PP&amp;E. It is not an issuer-defined or</t>
  </si>
  <si>
    <t>reconciled metric, although it matches the magnitudes management quoted on calls (S11: FY25 $2.5bn; S9: 1H26 $1.8bn).</t>
  </si>
  <si>
    <t>Revenue summary — single reportable segment; drivers built here</t>
  </si>
  <si>
    <t>4Q25A</t>
  </si>
  <si>
    <t>1Q26A</t>
  </si>
  <si>
    <t>2Q26A</t>
  </si>
  <si>
    <t>FY25A</t>
  </si>
  <si>
    <t>Source</t>
  </si>
  <si>
    <t>Revenue by product line</t>
  </si>
  <si>
    <t>Single reportable segment; effectively ~66% U.S. / ~34% OUS revenue - split on Geo tab</t>
  </si>
  <si>
    <t>Instruments &amp; accessories</t>
  </si>
  <si>
    <t>S1</t>
  </si>
  <si>
    <t>Q/Q %</t>
  </si>
  <si>
    <t>n.a.</t>
  </si>
  <si>
    <t>% of total revenue</t>
  </si>
  <si>
    <t>M&amp;A / scope impact</t>
  </si>
  <si>
    <t>n.d.</t>
  </si>
  <si>
    <t>FX impact</t>
  </si>
  <si>
    <t>Organic = (1+Y/Y)/((1+M&amp;A)(1+FX))-1</t>
  </si>
  <si>
    <t>Total Y/Y</t>
  </si>
  <si>
    <t>Systems</t>
  </si>
  <si>
    <t>Services</t>
  </si>
  <si>
    <t>Total revenue</t>
  </si>
  <si>
    <t>Total revenue (as reported)</t>
  </si>
  <si>
    <t>Check: lines = reported total (= 0)</t>
  </si>
  <si>
    <t>FX impact on OUS revenue ($m)</t>
  </si>
  <si>
    <t>S3/S4/S5; G: assumption (S19)</t>
  </si>
  <si>
    <t>Constant-currency revenue growth</t>
  </si>
  <si>
    <t>FX impact: FX$/(rev − FX$)</t>
  </si>
  <si>
    <t>Recurring revenue</t>
  </si>
  <si>
    <t>Recurring % of total revenue</t>
  </si>
  <si>
    <t>Ion revenue (all lines)</t>
  </si>
  <si>
    <t>da Vinci revenue (total less Ion)</t>
  </si>
  <si>
    <t>Procedures (000s)</t>
  </si>
  <si>
    <t>U.S. da Vinci procedures</t>
  </si>
  <si>
    <t>Y/Y % (3Q26E: assumption)</t>
  </si>
  <si>
    <t>Q/Q change</t>
  </si>
  <si>
    <t>OUS da Vinci procedures</t>
  </si>
  <si>
    <t>Total da Vinci procedures</t>
  </si>
  <si>
    <t>da Vinci procedures (as reported)</t>
  </si>
  <si>
    <t>Check: U.S. + OUS = reported (= 0)</t>
  </si>
  <si>
    <t>OUS % of da Vinci procedures</t>
  </si>
  <si>
    <t>Y/Y change (bp)</t>
  </si>
  <si>
    <t>Q/Q change (bp)</t>
  </si>
  <si>
    <t>Ion procedures</t>
  </si>
  <si>
    <t>Total procedures (da Vinci + Ion)</t>
  </si>
  <si>
    <t>da Vinci system placements (units)</t>
  </si>
  <si>
    <t>da Vinci X dual console</t>
  </si>
  <si>
    <t>da Vinci X single console</t>
  </si>
  <si>
    <t>da Vinci Xi dual console</t>
  </si>
  <si>
    <t>da Vinci Xi single console</t>
  </si>
  <si>
    <t>da Vinci 5 dual console</t>
  </si>
  <si>
    <t>da Vinci 5 single console</t>
  </si>
  <si>
    <t>da Vinci SP</t>
  </si>
  <si>
    <t>Total da Vinci placements</t>
  </si>
  <si>
    <t>da Vinci 5 % of placements</t>
  </si>
  <si>
    <t>U.S. placements</t>
  </si>
  <si>
    <t>OUS placements</t>
  </si>
  <si>
    <t>OUS placements: Europe</t>
  </si>
  <si>
    <t>S3/S4/S5/S11</t>
  </si>
  <si>
    <t>OUS placements: Asia</t>
  </si>
  <si>
    <t>OUS placements: other markets</t>
  </si>
  <si>
    <t>Check: regions = OUS (= 0)</t>
  </si>
  <si>
    <t>Check: U.S. + OUS = total (= 0)</t>
  </si>
  <si>
    <t>Fixed-payment lease placements</t>
  </si>
  <si>
    <t>Usage-based lease placements</t>
  </si>
  <si>
    <t>Total operating lease placements</t>
  </si>
  <si>
    <t>Purchased (sold) placements</t>
  </si>
  <si>
    <t>Memo: sales-type lease placements</t>
  </si>
  <si>
    <t>n.f.</t>
  </si>
  <si>
    <t>S3/S4/S5</t>
  </si>
  <si>
    <t>Lease % of placements</t>
  </si>
  <si>
    <t>da Vinci system ASP ($000)</t>
  </si>
  <si>
    <t>Placements by model and geography (memo, as disclosed)</t>
  </si>
  <si>
    <t>U.S. placements: X single</t>
  </si>
  <si>
    <t>U.S. placements: Xi dual</t>
  </si>
  <si>
    <t>U.S. placements: Xi single</t>
  </si>
  <si>
    <t>U.S. placements: dV5 dual</t>
  </si>
  <si>
    <t>U.S. placements: dV5 single</t>
  </si>
  <si>
    <t>U.S. placements: SP</t>
  </si>
  <si>
    <t>Check: U.S. model split (= 0)</t>
  </si>
  <si>
    <t>OUS placements: X dual</t>
  </si>
  <si>
    <t>OUS placements: X single</t>
  </si>
  <si>
    <t>OUS placements: Xi dual</t>
  </si>
  <si>
    <t>OUS placements: Xi single</t>
  </si>
  <si>
    <t>OUS placements: dV5 dual</t>
  </si>
  <si>
    <t>OUS placements: dV5 single</t>
  </si>
  <si>
    <t>OUS placements: SP</t>
  </si>
  <si>
    <t>Check: OUS model split (= 0)</t>
  </si>
  <si>
    <t>da Vinci installed base rollforward (units)</t>
  </si>
  <si>
    <t>Beginning installed base</t>
  </si>
  <si>
    <t>Gross additions: systems placed</t>
  </si>
  <si>
    <t>Trade-ins, upgrades &amp; retirements</t>
  </si>
  <si>
    <t>Y/Y % (n.m. on negative-count base)</t>
  </si>
  <si>
    <t>n.m.</t>
  </si>
  <si>
    <t>Net additions</t>
  </si>
  <si>
    <t>Ending installed base</t>
  </si>
  <si>
    <t>Ending installed base (as reported)</t>
  </si>
  <si>
    <t>Check: rollforward = reported (= 0)</t>
  </si>
  <si>
    <t>Average installed base</t>
  </si>
  <si>
    <t>Trade-in rate, % beg. (FY = annual)</t>
  </si>
  <si>
    <t>Procs/avg dV system (FY = annual)</t>
  </si>
  <si>
    <t>U.S. beginning installed base</t>
  </si>
  <si>
    <t>U.S. gross additions</t>
  </si>
  <si>
    <t>U.S. trade-ins and retirements</t>
  </si>
  <si>
    <t>U.S. net additions</t>
  </si>
  <si>
    <t>U.S. ending installed base</t>
  </si>
  <si>
    <t>U.S. average installed base</t>
  </si>
  <si>
    <t>OUS beginning installed base</t>
  </si>
  <si>
    <t>OUS gross additions</t>
  </si>
  <si>
    <t>OUS trade-ins and retirements</t>
  </si>
  <si>
    <t>OUS net additions</t>
  </si>
  <si>
    <t>OUS ending installed base</t>
  </si>
  <si>
    <t>OUS average installed base</t>
  </si>
  <si>
    <t>Check: U.S. + OUS base = total (= 0)</t>
  </si>
  <si>
    <t>Installed base: Europe</t>
  </si>
  <si>
    <t>S3/S4</t>
  </si>
  <si>
    <t>Installed base: Asia</t>
  </si>
  <si>
    <t>Installed base: rest of world</t>
  </si>
  <si>
    <t>Check: regions = total base (= 0)</t>
  </si>
  <si>
    <t>Installed base: da Vinci 5</t>
  </si>
  <si>
    <t>da Vinci 5 base outside the U.S.</t>
  </si>
  <si>
    <t>Installed base: da Vinci SP</t>
  </si>
  <si>
    <t>Fixed lease base: other movements</t>
  </si>
  <si>
    <t>Fixed-payment lease installed base</t>
  </si>
  <si>
    <t>Other movements (fixed) Y/Y %</t>
  </si>
  <si>
    <t>Other movements (fixed) Q/Q change</t>
  </si>
  <si>
    <t>Usage lease base: other movements</t>
  </si>
  <si>
    <t>Usage-based lease installed base</t>
  </si>
  <si>
    <t>Other movements (usage) Y/Y %</t>
  </si>
  <si>
    <t>Other movements (usage) Q/Q change</t>
  </si>
  <si>
    <t>Operating lease installed base</t>
  </si>
  <si>
    <t>Lease % of installed base</t>
  </si>
  <si>
    <t>Ion endoluminal system</t>
  </si>
  <si>
    <t>Beginning Ion installed base</t>
  </si>
  <si>
    <t>Gross additions: Ion systems placed</t>
  </si>
  <si>
    <t>Ion placed: U.S.</t>
  </si>
  <si>
    <t>Ion placed: Europe</t>
  </si>
  <si>
    <t>Ion placed: Asia</t>
  </si>
  <si>
    <t>Ion placed: other markets</t>
  </si>
  <si>
    <t>Check: Ion regions = Ion placed (= 0)</t>
  </si>
  <si>
    <t>Trade-ins and retirements</t>
  </si>
  <si>
    <t>Ending Ion installed base</t>
  </si>
  <si>
    <t>Ending Ion base (as reported)</t>
  </si>
  <si>
    <t>Check: Ion rollforward (= 0)</t>
  </si>
  <si>
    <t>Average Ion installed base</t>
  </si>
  <si>
    <t>Ion OUS net additions</t>
  </si>
  <si>
    <t>Ion ending base – OUS</t>
  </si>
  <si>
    <t>Ion ending base – U.S.</t>
  </si>
  <si>
    <t>Ion placed under operating leases</t>
  </si>
  <si>
    <t>Ion lease placed: fixed</t>
  </si>
  <si>
    <t>Ion lease placed: usage-based</t>
  </si>
  <si>
    <t>Ion lease base: other movements</t>
  </si>
  <si>
    <t>Other movements (Ion) Y/Y %</t>
  </si>
  <si>
    <t>Other movements (Ion) Q/Q change</t>
  </si>
  <si>
    <t>Ion lease installed base</t>
  </si>
  <si>
    <t>Ion lease base: fixed-payment</t>
  </si>
  <si>
    <t>S3/S5</t>
  </si>
  <si>
    <t>Ion lease base: usage-based</t>
  </si>
  <si>
    <t>Ion system ASP ($000)</t>
  </si>
  <si>
    <t>Procs/avg Ion system (FY = annual)</t>
  </si>
  <si>
    <t>Instruments &amp; accessories build</t>
  </si>
  <si>
    <t>da Vinci I&amp;A revenue</t>
  </si>
  <si>
    <t>dV I&amp;A per procedure ($000)</t>
  </si>
  <si>
    <t>dV I&amp;A per procedure, reported</t>
  </si>
  <si>
    <t>Ion I&amp;A revenue</t>
  </si>
  <si>
    <t>Ion I&amp;A revenue per procedure ($000)</t>
  </si>
  <si>
    <t>Total I&amp;A revenue</t>
  </si>
  <si>
    <t>Systems build</t>
  </si>
  <si>
    <t>dV units x ASP (FY non-additive)</t>
  </si>
  <si>
    <t>dV lease, buyout, other (FY residual)</t>
  </si>
  <si>
    <t>Q/Q % (3Q26E: assumption)</t>
  </si>
  <si>
    <t>da Vinci systems revenue</t>
  </si>
  <si>
    <t>Ion purchased placements</t>
  </si>
  <si>
    <t>Ion units x ASP (FY non-additive)</t>
  </si>
  <si>
    <t>Ion lease &amp; other (FY residual)</t>
  </si>
  <si>
    <t>Q/Q % (3Q26E: input)</t>
  </si>
  <si>
    <t>Ion systems revenue</t>
  </si>
  <si>
    <t>Total systems revenue</t>
  </si>
  <si>
    <t>Memo: operating lease revenue</t>
  </si>
  <si>
    <t>Memo: lease buyout revenue</t>
  </si>
  <si>
    <t>S5/S9/S10/S11</t>
  </si>
  <si>
    <t>Memo: variable lease revenue</t>
  </si>
  <si>
    <t>Services build</t>
  </si>
  <si>
    <t>da Vinci services revenue</t>
  </si>
  <si>
    <t>dV svc rev/avg sys $000 (FY annual)</t>
  </si>
  <si>
    <t>Ion svc rev/avg sys $000 (FY annual)</t>
  </si>
  <si>
    <t>Ion services revenue</t>
  </si>
  <si>
    <t>Total services revenue</t>
  </si>
  <si>
    <t>Checks</t>
  </si>
  <si>
    <t>Check: dV + Ion I&amp;A = total (= 0)</t>
  </si>
  <si>
    <t>Check: dV + Ion systems = total (= 0)</t>
  </si>
  <si>
    <t>Check: segments sum to total (= 0)</t>
  </si>
  <si>
    <t>Income Statement (GAAP) and non-GAAP bridge</t>
  </si>
  <si>
    <t>Revenue</t>
  </si>
  <si>
    <t>Product revenue</t>
  </si>
  <si>
    <t>Cost of revenue</t>
  </si>
  <si>
    <t>Cost of revenue – service</t>
  </si>
  <si>
    <t>S2/S7</t>
  </si>
  <si>
    <t>Cost of revenue – product</t>
  </si>
  <si>
    <t>Total cost of revenue</t>
  </si>
  <si>
    <t>Gross profit</t>
  </si>
  <si>
    <t>Gross margin</t>
  </si>
  <si>
    <t>Product gross margin</t>
  </si>
  <si>
    <t>Service GM (3Q26E: input)</t>
  </si>
  <si>
    <t>Operating expenses</t>
  </si>
  <si>
    <t>Selling, general &amp; administrative</t>
  </si>
  <si>
    <t>SG&amp;A % of revenue</t>
  </si>
  <si>
    <t>Research &amp; development</t>
  </si>
  <si>
    <t>R&amp;D % of revenue</t>
  </si>
  <si>
    <t>Total operating expenses</t>
  </si>
  <si>
    <t>Income from operations (GAAP)</t>
  </si>
  <si>
    <t>GAAP operating margin</t>
  </si>
  <si>
    <t>Interest and other income, net</t>
  </si>
  <si>
    <t>Income before taxes</t>
  </si>
  <si>
    <t>Income tax expense (benefit)</t>
  </si>
  <si>
    <t>Effective tax rate</t>
  </si>
  <si>
    <t>Net income</t>
  </si>
  <si>
    <t>Less: NCI (Intuitive-Fosun JV)</t>
  </si>
  <si>
    <t>GAAP net income to Intuitive</t>
  </si>
  <si>
    <t>GAAP net margin</t>
  </si>
  <si>
    <t>Basic weighted average shares (m)</t>
  </si>
  <si>
    <t>S2/S6</t>
  </si>
  <si>
    <t>Diluted weighted average shares (m)</t>
  </si>
  <si>
    <t>GAAP basic EPS</t>
  </si>
  <si>
    <t>GAAP diluted EPS</t>
  </si>
  <si>
    <t>Y/Y % (hist. cols: recomputed EPS)</t>
  </si>
  <si>
    <t>GAAP diluted EPS (as reported)</t>
  </si>
  <si>
    <t>Check: EPS = reported (= 0)</t>
  </si>
  <si>
    <t>GAAP to non-GAAP bridge (consensus basis = issuer non-GAAP)</t>
  </si>
  <si>
    <t>GAAP net income (bridge start)</t>
  </si>
  <si>
    <t>Share-based compensation expense</t>
  </si>
  <si>
    <t>Long-term incentive plan expense</t>
  </si>
  <si>
    <t>Amortization of intangible assets</t>
  </si>
  <si>
    <t>Facilities asset abandonment charge</t>
  </si>
  <si>
    <t>Litigation charges</t>
  </si>
  <si>
    <t>Gains on sale of businesses/assets</t>
  </si>
  <si>
    <t>Acquisition-related items</t>
  </si>
  <si>
    <t>(Gains) losses on strategic invest.</t>
  </si>
  <si>
    <t>Total pre-tax adjustments</t>
  </si>
  <si>
    <t>Tax adj (a): SBC excess tax benefit</t>
  </si>
  <si>
    <t>Tax adj (b): intra-entity transfers</t>
  </si>
  <si>
    <t>Tax adj (c): tax on adjustments</t>
  </si>
  <si>
    <t>Total tax adjustments</t>
  </si>
  <si>
    <t>Adjustments attributable to NCI</t>
  </si>
  <si>
    <t>Non-GAAP net income to Intuitive</t>
  </si>
  <si>
    <t>Non-GAAP net income (as reported)</t>
  </si>
  <si>
    <t>Check: bridge = reported NI (= 0)</t>
  </si>
  <si>
    <t>Non-GAAP diluted EPS (cons. basis)</t>
  </si>
  <si>
    <t>Q/Q change ($) (hist.: recomputed)</t>
  </si>
  <si>
    <t>Non-GAAP diluted EPS (as reported)</t>
  </si>
  <si>
    <t>CapIQ normalized EPS consensus</t>
  </si>
  <si>
    <t>S13/S14</t>
  </si>
  <si>
    <t>Surprise ($/sh; hist.: recomputed EPS)</t>
  </si>
  <si>
    <t>Non-GAAP less GAAP diluted EPS</t>
  </si>
  <si>
    <t>Non-GAAP P&amp;L (forecast engine)</t>
  </si>
  <si>
    <t>Non-GAAP gross profit</t>
  </si>
  <si>
    <t>Non-GAAP GM (3Q26E: input)</t>
  </si>
  <si>
    <t>Non-GAAP SG&amp;A</t>
  </si>
  <si>
    <t>Non-GAAP R&amp;D</t>
  </si>
  <si>
    <t>Non-GAAP operating expenses</t>
  </si>
  <si>
    <t>Non-GAAP income from operations</t>
  </si>
  <si>
    <t>Non-GAAP operating margin</t>
  </si>
  <si>
    <t>Non-GAAP other income (input)</t>
  </si>
  <si>
    <t>Non-GAAP income before taxes</t>
  </si>
  <si>
    <t>Non-GAAP income tax</t>
  </si>
  <si>
    <t>Non-GAAP tax rate (3Q26E: input)</t>
  </si>
  <si>
    <t>Non-GAAP NCI</t>
  </si>
  <si>
    <t>Non-GAAP net income (P&amp;L build)</t>
  </si>
  <si>
    <t>Non-GAAP net margin</t>
  </si>
  <si>
    <t>Check: P&amp;L build = bridge (= 0)</t>
  </si>
  <si>
    <t>EBITDA: not reported (n.a.)</t>
  </si>
  <si>
    <t>Adjustment items by line (reported; 3Q26E assumptions)</t>
  </si>
  <si>
    <t>COGS: share-based compensation</t>
  </si>
  <si>
    <t>COGS: LTIP expense</t>
  </si>
  <si>
    <t>COGS: amortization of intangibles</t>
  </si>
  <si>
    <t>COGS: acquisition-related items</t>
  </si>
  <si>
    <t>SG&amp;A: share-based compensation</t>
  </si>
  <si>
    <t>SG&amp;A: LTIP expense</t>
  </si>
  <si>
    <t>SG&amp;A: amortization of intangibles</t>
  </si>
  <si>
    <t>SG&amp;A: facilities asset abandonment</t>
  </si>
  <si>
    <t>SG&amp;A: litigation charges</t>
  </si>
  <si>
    <t>SG&amp;A: (gains) on sale of assets</t>
  </si>
  <si>
    <t>SG&amp;A: acquisition-related items</t>
  </si>
  <si>
    <t>R&amp;D: share-based compensation</t>
  </si>
  <si>
    <t>R&amp;D: amortization of intangibles</t>
  </si>
  <si>
    <t>Total share-based compensation</t>
  </si>
  <si>
    <t>S2/S7/S8</t>
  </si>
  <si>
    <t>Tax rate on pre-tax adjustments</t>
  </si>
  <si>
    <t>Total tax adjustments (as reported)</t>
  </si>
  <si>
    <t>Check: tax adj = reported (= 0)</t>
  </si>
  <si>
    <t>Balance Sheet</t>
  </si>
  <si>
    <t>Assets</t>
  </si>
  <si>
    <t>Cash and cash equivalents</t>
  </si>
  <si>
    <t>S3/S4/S5/S6</t>
  </si>
  <si>
    <t>Short-term investments</t>
  </si>
  <si>
    <t>Accounts receivable, net</t>
  </si>
  <si>
    <t>Inventory</t>
  </si>
  <si>
    <t>Prepaids and other current assets</t>
  </si>
  <si>
    <t>Total current assets</t>
  </si>
  <si>
    <t>Property, plant and equipment, net</t>
  </si>
  <si>
    <t>Long-term investments</t>
  </si>
  <si>
    <t>Deferred tax assets</t>
  </si>
  <si>
    <t>Intangible and other assets, net</t>
  </si>
  <si>
    <t>Goodwill</t>
  </si>
  <si>
    <t>Total assets</t>
  </si>
  <si>
    <t>Liabilities</t>
  </si>
  <si>
    <t>Accounts payable</t>
  </si>
  <si>
    <t>Accrued compensation &amp; benefits</t>
  </si>
  <si>
    <t>Deferred revenue</t>
  </si>
  <si>
    <t>Other accrued liabilities</t>
  </si>
  <si>
    <t>Total current liabilities</t>
  </si>
  <si>
    <t>Other long-term liabilities</t>
  </si>
  <si>
    <t>Total liabilities</t>
  </si>
  <si>
    <t>Stockholders' equity</t>
  </si>
  <si>
    <t>Common stock</t>
  </si>
  <si>
    <t>Additional paid-in capital</t>
  </si>
  <si>
    <t>Retained earnings</t>
  </si>
  <si>
    <t>Accumulated OCI</t>
  </si>
  <si>
    <t>Total Intuitive stockholders' equity</t>
  </si>
  <si>
    <t>Noncontrolling interest (JV)</t>
  </si>
  <si>
    <t>Total stockholders' equity</t>
  </si>
  <si>
    <t>Total liabilities &amp; equity</t>
  </si>
  <si>
    <t>Check: assets - liab. - equity (= 0)</t>
  </si>
  <si>
    <t>Total assets (as reported)</t>
  </si>
  <si>
    <t>Check: total assets = reported (= 0)</t>
  </si>
  <si>
    <t>Total liabilities (as reported)</t>
  </si>
  <si>
    <t>Check: liabilities = reported (= 0)</t>
  </si>
  <si>
    <t>Memo</t>
  </si>
  <si>
    <t>Restricted cash (other current)</t>
  </si>
  <si>
    <t>Restricted cash (other assets)</t>
  </si>
  <si>
    <t>Cash incl. restricted cash</t>
  </si>
  <si>
    <t>Cash and investments</t>
  </si>
  <si>
    <t>Net cash (no debt outstanding)</t>
  </si>
  <si>
    <t>Common shares outstanding (m)</t>
  </si>
  <si>
    <t>Book value per share ($)</t>
  </si>
  <si>
    <t>Note: 3Q26E roll assumes Cash Flow Statement!G13 (gain on sale), G30 (asset-sale proceeds) and G44 (FX on cash) = 0; no BS offset is mapped for nonzero values.</t>
  </si>
  <si>
    <t>Cash Flow Statement</t>
  </si>
  <si>
    <t>Operating activities</t>
  </si>
  <si>
    <t>Depreciation &amp; loss on PP&amp;E disposal</t>
  </si>
  <si>
    <t>Amortization of intangibles &amp; other</t>
  </si>
  <si>
    <t>(Gains) on investments/accretion</t>
  </si>
  <si>
    <t>Gain on sale of business and assets</t>
  </si>
  <si>
    <t>Deferred income taxes</t>
  </si>
  <si>
    <t>Change in accounts receivable</t>
  </si>
  <si>
    <t>Change in inventory</t>
  </si>
  <si>
    <t>Change in prepaids and other assets</t>
  </si>
  <si>
    <t>Change in accounts payable</t>
  </si>
  <si>
    <t>Change in accrued compensation</t>
  </si>
  <si>
    <t>Change in deferred revenue</t>
  </si>
  <si>
    <t>Change in other liabilities</t>
  </si>
  <si>
    <t>Net cash from operating activities</t>
  </si>
  <si>
    <t>Operating cash flow (as reported)</t>
  </si>
  <si>
    <t>Check: OCF = reported (= 0)</t>
  </si>
  <si>
    <t>Investing activities</t>
  </si>
  <si>
    <t>Purchases of investments</t>
  </si>
  <si>
    <t>Proceeds from sales of investments</t>
  </si>
  <si>
    <t>Maturities of investments</t>
  </si>
  <si>
    <t>Proceeds from sale of assets</t>
  </si>
  <si>
    <t>Purchases of PP&amp;E (capex)</t>
  </si>
  <si>
    <t>Acquisitions, IP and other</t>
  </si>
  <si>
    <t>Net cash from investing activities</t>
  </si>
  <si>
    <t>Investing cash flow (as reported)</t>
  </si>
  <si>
    <t>Check: lines sum to reported (= 0)</t>
  </si>
  <si>
    <t>Financing activities</t>
  </si>
  <si>
    <t>Proceeds from employee stock plans</t>
  </si>
  <si>
    <t>Taxes paid on net share settlement</t>
  </si>
  <si>
    <t>Repurchase of common stock</t>
  </si>
  <si>
    <t>Other financing activities</t>
  </si>
  <si>
    <t>Net cash from financing activities</t>
  </si>
  <si>
    <t>Financing cash flow (as reported)</t>
  </si>
  <si>
    <t>Effect of exchange rates on cash</t>
  </si>
  <si>
    <t>Net change in cash incl. restricted</t>
  </si>
  <si>
    <t>Beginning cash incl. restricted</t>
  </si>
  <si>
    <t>Ending cash incl. restricted</t>
  </si>
  <si>
    <t>Ending cash (as reported)</t>
  </si>
  <si>
    <t>Check: ending cash = reported (= 0)</t>
  </si>
  <si>
    <t>Check: cash ties to BS (= 0)</t>
  </si>
  <si>
    <t>Check: change in cash = BS change</t>
  </si>
  <si>
    <t>Free cash flow and memo</t>
  </si>
  <si>
    <t>Free cash flow (model-defined)</t>
  </si>
  <si>
    <t>FCF margin</t>
  </si>
  <si>
    <t>Capex % of revenue</t>
  </si>
  <si>
    <t>Non-cash: inventory-to-PP&amp;E transfers</t>
  </si>
  <si>
    <t>S3</t>
  </si>
  <si>
    <t>Revenue by geography (U.S. / OUS)</t>
  </si>
  <si>
    <t>United States</t>
  </si>
  <si>
    <t>U.S. instruments &amp; accessories</t>
  </si>
  <si>
    <t>S3; G: assumption</t>
  </si>
  <si>
    <t>U.S. systems</t>
  </si>
  <si>
    <t>U.S. services</t>
  </si>
  <si>
    <t>Total U.S. revenue</t>
  </si>
  <si>
    <t>Outside the United States (OUS)</t>
  </si>
  <si>
    <t>OUS instruments &amp; accessories</t>
  </si>
  <si>
    <t>OUS systems</t>
  </si>
  <si>
    <t>OUS services</t>
  </si>
  <si>
    <t>Total OUS revenue</t>
  </si>
  <si>
    <t>FX impact: FX$/(OUS rev − FX$)</t>
  </si>
  <si>
    <t>OUS constant-currency growth</t>
  </si>
  <si>
    <t>OUS share by line (3Q26E: assumptions)</t>
  </si>
  <si>
    <t>OUS share of I&amp;A revenue</t>
  </si>
  <si>
    <t>OUS share of systems revenue</t>
  </si>
  <si>
    <t>OUS share of services revenue</t>
  </si>
  <si>
    <t>Total revenue (U.S. + OUS)</t>
  </si>
  <si>
    <t>Check: Geo sums to total (= 0)</t>
  </si>
  <si>
    <t>Check: Geo I&amp;A = total I&amp;A (= 0)</t>
  </si>
  <si>
    <t>Check: Geo systems = total (= 0)</t>
  </si>
  <si>
    <t>Check: Geo services = total (= 0)</t>
  </si>
  <si>
    <t>Share Count</t>
  </si>
  <si>
    <t>Shares outstanding rollforward (m)</t>
  </si>
  <si>
    <t>Shares outstanding – beginning</t>
  </si>
  <si>
    <t>S6</t>
  </si>
  <si>
    <t>Issued under employee plans, net</t>
  </si>
  <si>
    <t>Shares repurchased</t>
  </si>
  <si>
    <t>Shares outstanding – ending</t>
  </si>
  <si>
    <t>Repurchases</t>
  </si>
  <si>
    <t>Value repurchased ($m, trade date)</t>
  </si>
  <si>
    <t>S1; G: assumption</t>
  </si>
  <si>
    <t>Average price paid per share ($)</t>
  </si>
  <si>
    <t>S3/S4/S5; G: assumption</t>
  </si>
  <si>
    <t>Cash paid for repurchases ($m)</t>
  </si>
  <si>
    <t>Weighted average shares (m)</t>
  </si>
  <si>
    <t>Basic weighted average shares</t>
  </si>
  <si>
    <t>Dilutive effect of equity awards</t>
  </si>
  <si>
    <t>Diluted weighted average shares</t>
  </si>
  <si>
    <t>EPS chain</t>
  </si>
  <si>
    <t>Non-GAAP EPS = NI / diluted shs</t>
  </si>
  <si>
    <t>GAAP net income attributable ($m)</t>
  </si>
  <si>
    <t>GAAP EPS = NI / diluted shs</t>
  </si>
  <si>
    <t>Check: EPS = NI / diluted shs (= 0)</t>
  </si>
  <si>
    <t>Guidance history</t>
  </si>
  <si>
    <t>Metric (non-GAAP unless stated)</t>
  </si>
  <si>
    <t>Date given</t>
  </si>
  <si>
    <t>Low</t>
  </si>
  <si>
    <t>High</t>
  </si>
  <si>
    <t>Midpoint</t>
  </si>
  <si>
    <t>Actual</t>
  </si>
  <si>
    <t>Beat / miss</t>
  </si>
  <si>
    <t>Worldwide da Vinci procedure growth</t>
  </si>
  <si>
    <t>FY25</t>
  </si>
  <si>
    <t>Beat</t>
  </si>
  <si>
    <t>S8</t>
  </si>
  <si>
    <t>Gross profit margin</t>
  </si>
  <si>
    <t>Operating expense growth</t>
  </si>
  <si>
    <t>Above (unfavourable)</t>
  </si>
  <si>
    <t>FY26</t>
  </si>
  <si>
    <t>Pending</t>
  </si>
  <si>
    <t>S11</t>
  </si>
  <si>
    <t>SBC ($m, GAAP)</t>
  </si>
  <si>
    <t>Other income ($m)</t>
  </si>
  <si>
    <t>Income tax rate</t>
  </si>
  <si>
    <t>S10</t>
  </si>
  <si>
    <t>S2</t>
  </si>
  <si>
    <t>S9</t>
  </si>
  <si>
    <t>Revenue, net income, EPS (quarterly)</t>
  </si>
  <si>
    <t>3Q26</t>
  </si>
  <si>
    <t>Record: FY25 procedure and gross-margin guidance were raised through the year and finished above the final midpoint; FY26 procedure guidance raised in Apr-26 and held in Jul-26; GM guidance raised twice.</t>
  </si>
  <si>
    <t>Sources</t>
  </si>
  <si>
    <t>ID</t>
  </si>
  <si>
    <t>Publication date</t>
  </si>
  <si>
    <t>Publisher</t>
  </si>
  <si>
    <t>Feeds</t>
  </si>
  <si>
    <t>Retrieved (UTC)</t>
  </si>
  <si>
    <t>URL or file</t>
  </si>
  <si>
    <t>Intuitive Surgical (IR)</t>
  </si>
  <si>
    <t>Rev summary, Geo, IS, Inputs ext</t>
  </si>
  <si>
    <t>https://investor.intuitivesurgical.com/static-files/6ea9f7b2-ca9a-4441-96e2-9c95729cdce2</t>
  </si>
  <si>
    <t>Intuitive / SEC 8-K Ex.99.1</t>
  </si>
  <si>
    <t>IS bridge, guidance, BS</t>
  </si>
  <si>
    <t>https://www.sec.gov/Archives/edgar/data/1035267/000103526726000047/q226ex-991earningsrelease.htm</t>
  </si>
  <si>
    <t>SEC 10-Q (2Q26)</t>
  </si>
  <si>
    <t>BS, CF, FX, buybacks</t>
  </si>
  <si>
    <t>https://www.sec.gov/Archives/edgar/data/1035267/000103526726000058/isrg-20260630.htm</t>
  </si>
  <si>
    <t>S4</t>
  </si>
  <si>
    <t>SEC 10-Q (1Q26)</t>
  </si>
  <si>
    <t>https://www.sec.gov/Archives/edgar/data/1035267/000103526726000032/isrg-20260331.htm</t>
  </si>
  <si>
    <t>S5</t>
  </si>
  <si>
    <t>SEC 10-Q (3Q25)</t>
  </si>
  <si>
    <t>https://www.sec.gov/Archives/edgar/data/1035267/000103526725000209/isrg-20250930.htm</t>
  </si>
  <si>
    <t>SEC 10-K (FY25) incl. R4/R6/R9</t>
  </si>
  <si>
    <t>FY25 IS, BS, CF</t>
  </si>
  <si>
    <t>https://www.sec.gov/Archives/edgar/data/1035267/000103526726000010/isrg-20251231.htm</t>
  </si>
  <si>
    <t>S7</t>
  </si>
  <si>
    <t>Intuitive (IR) Q4 release</t>
  </si>
  <si>
    <t>IS (4Q25), tax adj</t>
  </si>
  <si>
    <t>https://investor.intuitivesurgical.com/news-releases/news-release-details/intuitive-announces-fourth-quarter-earnings-5</t>
  </si>
  <si>
    <t>Tax adj 3Q25, FY25 guide</t>
  </si>
  <si>
    <t>https://www.sec.gov/Archives/edgar/data/1035267/000103526725000206/q325ex-991earningsrelease.htm</t>
  </si>
  <si>
    <t>Quartr via StockAnalysis</t>
  </si>
  <si>
    <t>2Q26 call: guidance, drivers</t>
  </si>
  <si>
    <t>https://stockanalysis.com/stocks/isrg/transcripts/652493-q2-2026/</t>
  </si>
  <si>
    <t>1Q26 call: guidance</t>
  </si>
  <si>
    <t>https://stockanalysis.com/stocks/isrg/transcripts/544923-q1-2026/</t>
  </si>
  <si>
    <t>4Q25 call: FY26 guidance</t>
  </si>
  <si>
    <t>https://stockanalysis.com/stocks/isrg/transcripts/400878-q4-2025/</t>
  </si>
  <si>
    <t>S12</t>
  </si>
  <si>
    <t>Investing.com transcript</t>
  </si>
  <si>
    <t>In-quarter mgmt commentary</t>
  </si>
  <si>
    <t>https://www.investing.com/news/transcripts/intuitive-surgical-at-wells-fargo-conference-growth-slows-outlook-holds-93CH-4894134</t>
  </si>
  <si>
    <t>S13</t>
  </si>
  <si>
    <t>S&amp;P Capital IQ (supplied)</t>
  </si>
  <si>
    <t>Consensus, Cover, Inputs</t>
  </si>
  <si>
    <t>ISRG_consensus.json</t>
  </si>
  <si>
    <t>S14</t>
  </si>
  <si>
    <t>EPS history, calibration</t>
  </si>
  <si>
    <t>ISRG_history.csv</t>
  </si>
  <si>
    <t>S15</t>
  </si>
  <si>
    <t>Intuitive IR / MarketBeat</t>
  </si>
  <si>
    <t>Report date 20-Oct-26</t>
  </si>
  <si>
    <t>https://isrg.intuitive.com/events/event-details/q3-2026-intuitive-earnings-conference-call</t>
  </si>
  <si>
    <t>S16</t>
  </si>
  <si>
    <t>Becker's Hospital Review</t>
  </si>
  <si>
    <t>U.S. procedure risk (ACA)</t>
  </si>
  <si>
    <t>https://www.beckershospitalreview.com/finance/aca-subsidy-lapse-slows-procedures-at-nearly-1-in-4-hospitals-survey/</t>
  </si>
  <si>
    <t>S17</t>
  </si>
  <si>
    <t>HCA elective surgery slowdown</t>
  </si>
  <si>
    <t>https://www.beckershospitalreview.com/finance/hca-sees-elective-surgery-slowdown-as-coverage-erodes/</t>
  </si>
  <si>
    <t>S18</t>
  </si>
  <si>
    <t>MedTech Dive</t>
  </si>
  <si>
    <t>2Q26 U.S. softness context</t>
  </si>
  <si>
    <t>https://www.medtechdive.com/news/intuitive-ties-q2-procedure-softness-to-aca-subsidy-expirations/825548/</t>
  </si>
  <si>
    <t>S19</t>
  </si>
  <si>
    <t>WIFO (Austrian Inst. of Econ. Research)</t>
  </si>
  <si>
    <t>FX assumption (EUR/USD)</t>
  </si>
  <si>
    <t>https://www.wifo.ac.at/wp-content/uploads/wtabellen/e/16.11_e_out.pdf</t>
  </si>
  <si>
    <t>S20</t>
  </si>
  <si>
    <t>StockAnalysis (Nasdaq Data Link)</t>
  </si>
  <si>
    <t>Market cap (calibration)</t>
  </si>
  <si>
    <t>https://stockanalysis.com/stocks/isrg/market-cap/</t>
  </si>
  <si>
    <t>S21</t>
  </si>
  <si>
    <t>WhichIndex</t>
  </si>
  <si>
    <t>S&amp;P 500 membership</t>
  </si>
  <si>
    <t>https://whichindex.com/companies/intuitive-surgical/</t>
  </si>
  <si>
    <t>S22</t>
  </si>
  <si>
    <t>Zacks via Yahoo Finance</t>
  </si>
  <si>
    <t>Alt. consensus, procedures</t>
  </si>
  <si>
    <t>https://finance.yahoo.com/markets/stocks/articles/countdown-intuitive-surgical-isrg-q3-121519440.html</t>
  </si>
  <si>
    <t>S23</t>
  </si>
  <si>
    <t>MarketBeat</t>
  </si>
  <si>
    <t>Alt. consensus</t>
  </si>
  <si>
    <t>https://www.marketbeat.com/instant-alerts/upcoming-intuitive-surgical-isrg-expected-to-announce-earnings-on-tuesday-2026-10-13/</t>
  </si>
  <si>
    <t>S24</t>
  </si>
  <si>
    <t>Johnson &amp; Johnson</t>
  </si>
  <si>
    <t>Peer: surgery weakness OUS</t>
  </si>
  <si>
    <t>https://www.jnj.com/media-center/press-releases/johnson-johnson-q3-2026-earnings-ceo-and-cfo-prepared-remarks</t>
  </si>
  <si>
    <t>S25</t>
  </si>
  <si>
    <t>UnitedHealth Group</t>
  </si>
  <si>
    <t>Payer utilization context</t>
  </si>
  <si>
    <t>https://www.unitedhealthgroup.com/newsroom/2026/2026-10-13-uhg-reports-third-quarter-2026-results.html</t>
  </si>
  <si>
    <t>S26</t>
  </si>
  <si>
    <t>TIKR</t>
  </si>
  <si>
    <t>3Q26 share price context</t>
  </si>
  <si>
    <t>https://www.tikr.com/blog/intuitive-surgical-stock-has-fallen-39-from-its-high-could-this-be-the-bottom</t>
  </si>
  <si>
    <t>S27</t>
  </si>
  <si>
    <t>SEC EDGAR submissions API</t>
  </si>
  <si>
    <t>No 3Q26 Item 2.02 8-K pre-cutoff</t>
  </si>
  <si>
    <t>https://data.sec.gov/submissions/CIK0001035267.json</t>
  </si>
  <si>
    <t>Omitted tabs</t>
  </si>
  <si>
    <t>Segment tabs omitted: one reportable segment per FY25 10-K and 2Q26 10-Q segment note (S6, S3); drivers are on Revenue summary.</t>
  </si>
  <si>
    <t>Inputs tab included as required by the task: extended comparatives, CF year-to-date as reported, raw CapIQ snapshot and history, calibration.</t>
  </si>
  <si>
    <t>Target-quarter actuals: none seen; EDGAR showed no 3Q26 earnings 8-K and the release is scheduled for 20-Oct-26 (S15, S27).</t>
  </si>
  <si>
    <t>Retrieval note: column E is the live retrieval date (19-Oct-26), after the 18-Oct-26 21:34:46 UTC information cutoff.</t>
  </si>
  <si>
    <t>Only sources published on or before the cutoff (column B) were used. Retrieval dates have date precision only.</t>
  </si>
  <si>
    <t>No immutable page snapshots were captured, so no capture timestamps are asserted; pages may have changed after publication.</t>
  </si>
  <si>
    <t>Frozen CapIQ inputs (S13/S14) come from the 18-Oct-26 manifest.</t>
  </si>
  <si>
    <t>Inputs — extended history comparatives and CapIQ snapshot</t>
  </si>
  <si>
    <t>3Q24A</t>
  </si>
  <si>
    <t>4Q24A</t>
  </si>
  <si>
    <t>1Q25A</t>
  </si>
  <si>
    <t>2Q25A</t>
  </si>
  <si>
    <t>FY24A</t>
  </si>
  <si>
    <t>1H25A</t>
  </si>
  <si>
    <t>A. Extended history comparatives (reported; used for Y/Y, Q/Q and FY25 = 1Q25 + 2Q25 + 3Q25 + 4Q25)</t>
  </si>
  <si>
    <t>U.S. da Vinci procedures (000s)</t>
  </si>
  <si>
    <t>OUS da Vinci procedures (000s)</t>
  </si>
  <si>
    <t>Total da Vinci procedures (000s)</t>
  </si>
  <si>
    <t>Ion procedures (000s)</t>
  </si>
  <si>
    <t>Total procedures (000s)</t>
  </si>
  <si>
    <t>Placed: da Vinci X dual console</t>
  </si>
  <si>
    <t>Placed: da Vinci X single console</t>
  </si>
  <si>
    <t>Placed: da Vinci Xi dual console</t>
  </si>
  <si>
    <t>Placed: da Vinci Xi single console</t>
  </si>
  <si>
    <t>Placed: da Vinci 5 dual console</t>
  </si>
  <si>
    <t>Placed: da Vinci 5 single console</t>
  </si>
  <si>
    <t>Placed: da Vinci SP</t>
  </si>
  <si>
    <t>Total lease placements</t>
  </si>
  <si>
    <t>Purchased placements</t>
  </si>
  <si>
    <t>Beginning da Vinci installed base</t>
  </si>
  <si>
    <t>Ending da Vinci installed base</t>
  </si>
  <si>
    <t>Average da Vinci installed base</t>
  </si>
  <si>
    <t>Trade-in/retirement rate (% beg.)</t>
  </si>
  <si>
    <t>Procedures per avg dV system</t>
  </si>
  <si>
    <t>Ion systems placed</t>
  </si>
  <si>
    <t>Instruments &amp; accessories revenue</t>
  </si>
  <si>
    <t>da Vinci I&amp;A per procedure ($000)</t>
  </si>
  <si>
    <t>Ion I&amp;A per procedure ($000)</t>
  </si>
  <si>
    <t>Systems revenue</t>
  </si>
  <si>
    <t>dV system sales (units x ASP)</t>
  </si>
  <si>
    <t>dV lease, buyout &amp; other systems</t>
  </si>
  <si>
    <t>Operating lease revenue (memo)</t>
  </si>
  <si>
    <t>Services revenue</t>
  </si>
  <si>
    <t>dV service rev per avg system ($000)</t>
  </si>
  <si>
    <t>Ion revenue</t>
  </si>
  <si>
    <t>da Vinci revenue</t>
  </si>
  <si>
    <t>U.S. I&amp;A revenue</t>
  </si>
  <si>
    <t>U.S. systems revenue</t>
  </si>
  <si>
    <t>U.S. services revenue</t>
  </si>
  <si>
    <t>OUS I&amp;A revenue</t>
  </si>
  <si>
    <t>OUS systems revenue</t>
  </si>
  <si>
    <t>OUS services revenue</t>
  </si>
  <si>
    <t>U.S. revenue</t>
  </si>
  <si>
    <t>OUS revenue</t>
  </si>
  <si>
    <t>SG&amp;A</t>
  </si>
  <si>
    <t>R&amp;D</t>
  </si>
  <si>
    <t>Income from operations</t>
  </si>
  <si>
    <t>Net income attributable to NCI</t>
  </si>
  <si>
    <t>Net income attributable to Intuitive</t>
  </si>
  <si>
    <t>Diluted weighted shares (m)</t>
  </si>
  <si>
    <t>Basic weighted shares (m)</t>
  </si>
  <si>
    <t>GAAP diluted EPS (computed)</t>
  </si>
  <si>
    <t>Tax adjustments (total, reported)</t>
  </si>
  <si>
    <t>NCI adjustments</t>
  </si>
  <si>
    <t>Non-GAAP diluted EPS (computed)</t>
  </si>
  <si>
    <t>Share-based compensation (total)</t>
  </si>
  <si>
    <t>Net additions to dV installed base</t>
  </si>
  <si>
    <t>Ion trade-ins and retirements</t>
  </si>
  <si>
    <t>Procedures per avg Ion system</t>
  </si>
  <si>
    <t>Placements by model/geo: us_xs</t>
  </si>
  <si>
    <t>Placements by model/geo: us_xid</t>
  </si>
  <si>
    <t>Placements by model/geo: us_xis</t>
  </si>
  <si>
    <t>Placements by model/geo: us_5d</t>
  </si>
  <si>
    <t>Placements by model/geo: us_5s</t>
  </si>
  <si>
    <t>Placements by model/geo: us_sp</t>
  </si>
  <si>
    <t>Placements by model/geo: ous_xd</t>
  </si>
  <si>
    <t>Placements by model/geo: ous_xs</t>
  </si>
  <si>
    <t>Placements by model/geo: ous_xid</t>
  </si>
  <si>
    <t>Placements by model/geo: ous_xis</t>
  </si>
  <si>
    <t>Placements by model/geo: ous_5d</t>
  </si>
  <si>
    <t>Placements by model/geo: ous_5s</t>
  </si>
  <si>
    <t>Placements by model/geo: ous_sp</t>
  </si>
  <si>
    <t>Non-GAAP gross margin</t>
  </si>
  <si>
    <t>Non-GAAP tax rate</t>
  </si>
  <si>
    <t>Value of shares repurchased ($m)</t>
  </si>
  <si>
    <t>Placed: Europe</t>
  </si>
  <si>
    <t>Placed: Asia</t>
  </si>
  <si>
    <t>Placed: other markets</t>
  </si>
  <si>
    <t>Ion placements: U.S.</t>
  </si>
  <si>
    <t>Ion placements: Europe</t>
  </si>
  <si>
    <t>Ion placements: Asia</t>
  </si>
  <si>
    <t>Ion placements: other markets</t>
  </si>
  <si>
    <t>Lease buyout revenue ($m)</t>
  </si>
  <si>
    <t>Variable lease revenue ($m)</t>
  </si>
  <si>
    <t>Ion system sales (units x ASP)</t>
  </si>
  <si>
    <t>Ion lease &amp; other systems revenue</t>
  </si>
  <si>
    <t>Ion service rev per avg system ($000)</t>
  </si>
  <si>
    <t>Service gross margin</t>
  </si>
  <si>
    <t>Ion net additions</t>
  </si>
  <si>
    <t>Non-GAAP other income</t>
  </si>
  <si>
    <t>Average repurchase price ($)</t>
  </si>
  <si>
    <t>B. Cash flow statement – year-to-date as reported (quarters on Cash Flow Statement = differences). Columns follow the row 190–191 headers, not rows 4–6.</t>
  </si>
  <si>
    <t>Year-to-date period</t>
  </si>
  <si>
    <t>6M25A</t>
  </si>
  <si>
    <t>9M25A</t>
  </si>
  <si>
    <t>3M26A</t>
  </si>
  <si>
    <t>6M26A</t>
  </si>
  <si>
    <t>YTD period end</t>
  </si>
  <si>
    <t>9M25: amortization of intangibles</t>
  </si>
  <si>
    <t>9M25: amort. of contract acq. assets</t>
  </si>
  <si>
    <t>Share-based compensation</t>
  </si>
  <si>
    <t>Accounts receivable</t>
  </si>
  <si>
    <t>Prepaids and other assets</t>
  </si>
  <si>
    <t>Other liabilities</t>
  </si>
  <si>
    <t>Purchases of PP&amp;E</t>
  </si>
  <si>
    <t>Effect of exchange rates</t>
  </si>
  <si>
    <t>Beginning cash and restricted cash</t>
  </si>
  <si>
    <t>Ending cash and restricted cash</t>
  </si>
  <si>
    <t>C. CapIQ consensus snapshot – ISRG_consensus.json top-level fields (frozen scoring baseline)</t>
  </si>
  <si>
    <t>source</t>
  </si>
  <si>
    <t>S&amp;P Capital IQ</t>
  </si>
  <si>
    <t>ticker</t>
  </si>
  <si>
    <t>company</t>
  </si>
  <si>
    <t>fiscal_period</t>
  </si>
  <si>
    <t>FQ3 2026 - Sep 2026</t>
  </si>
  <si>
    <t>period_end_date</t>
  </si>
  <si>
    <t>as_of_date</t>
  </si>
  <si>
    <t>analyst_count</t>
  </si>
  <si>
    <t>consensus_eps</t>
  </si>
  <si>
    <t>eps_basis</t>
  </si>
  <si>
    <t>Normalized diluted EPS per ordinary/common share, USD; verify issuer adjustments and share identity</t>
  </si>
  <si>
    <t>consensus_revenue_m</t>
  </si>
  <si>
    <t>currency</t>
  </si>
  <si>
    <t>USD</t>
  </si>
  <si>
    <t>summary_sha256</t>
  </si>
  <si>
    <t>e59b846434f90c9b5de8c2ed951fd1b25c1f6d0217c680f72dea41992051a49d</t>
  </si>
  <si>
    <t>captured_precision</t>
  </si>
  <si>
    <t>date only, user confirmed</t>
  </si>
  <si>
    <t>currency_units_status</t>
  </si>
  <si>
    <t>metric_units.eps_currency</t>
  </si>
  <si>
    <t>metric_units.eps_share_unit</t>
  </si>
  <si>
    <t>diluted ordinary/common share</t>
  </si>
  <si>
    <t>metric_units.revenue_currency</t>
  </si>
  <si>
    <t>metric_units.financial_amount_scale</t>
  </si>
  <si>
    <t>millions</t>
  </si>
  <si>
    <t>target_manifest.targets</t>
  </si>
  <si>
    <t>total_revenue, net_income_to_common, normalized_diluted_eps, gaap_diluted_eps, diluted_shares, revenue_growth, material_segment_revenue, operating_income, operating_margin, gross_profit, gross_margin, issuer_defined_ebitda, organic_revenue_growth, operating_cash_flow, capital_expenditures, issuer_defined_free_cash_flow</t>
  </si>
  <si>
    <t>D. CapIQ raw summary row – all fields as supplied (blank source values preserved as blank)</t>
  </si>
  <si>
    <t>Field</t>
  </si>
  <si>
    <t>Value</t>
  </si>
  <si>
    <t>company_name</t>
  </si>
  <si>
    <t>exchange_ticker</t>
  </si>
  <si>
    <t>NasdaqGS:ISRG</t>
  </si>
  <si>
    <t>capiq_company_id</t>
  </si>
  <si>
    <t>currency_basis</t>
  </si>
  <si>
    <t>fiscal_year_end</t>
  </si>
  <si>
    <t>Dec-31</t>
  </si>
  <si>
    <t>fiscal_quarter</t>
  </si>
  <si>
    <t>quarter_end_date</t>
  </si>
  <si>
    <t>expected_report_date</t>
  </si>
  <si>
    <t>normalized diluted and GAAP diluted, as labelled</t>
  </si>
  <si>
    <t>eps_normalized_estimates</t>
  </si>
  <si>
    <t>eps_normalized_contributors</t>
  </si>
  <si>
    <t>detail_tab_total_contributors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</si>
  <si>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</si>
  <si>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</si>
  <si>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</si>
  <si>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</si>
  <si>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</si>
  <si>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</si>
  <si>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</si>
  <si>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</si>
  <si>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</si>
  <si>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</si>
  <si>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</si>
  <si>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</si>
  <si>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</si>
  <si>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</si>
  <si>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</si>
  <si>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</si>
  <si>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</si>
  <si>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</si>
  <si>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</si>
  <si>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</si>
  <si>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</si>
  <si>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</si>
  <si>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</si>
  <si>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</si>
  <si>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</si>
  <si>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</si>
  <si>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</si>
  <si>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</si>
  <si>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ebit</t>
  </si>
  <si>
    <t>ebt_excl_excep</t>
  </si>
  <si>
    <t>ebt_gaap</t>
  </si>
  <si>
    <t>net_income_excl_excep</t>
  </si>
  <si>
    <t>net_income_gaap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</si>
  <si>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</si>
  <si>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</si>
  <si>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</si>
  <si>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</si>
  <si>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</si>
  <si>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</si>
  <si>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</si>
  <si>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</si>
  <si>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</si>
  <si>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</si>
  <si>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</si>
  <si>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</si>
  <si>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</si>
  <si>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</si>
  <si>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</si>
  <si>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</si>
  <si>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</si>
  <si>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</si>
  <si>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</si>
  <si>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</si>
  <si>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</si>
  <si>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603.88/328.57</t>
  </si>
  <si>
    <t>estimates_captured_at</t>
  </si>
  <si>
    <t>notes</t>
  </si>
  <si>
    <t>E. CapIQ history – ISRG_history.csv (all six rows, as supplied)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</si>
  <si>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</si>
  <si>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</si>
  <si>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</si>
  <si>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</si>
  <si>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</si>
  <si>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</si>
  <si>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</si>
  <si>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beat_flag (actual &gt; consensus)</t>
  </si>
  <si>
    <t>surprise_usd</t>
  </si>
  <si>
    <t>F. Other consensus references (recorded separately; NOT the scoring baseline)</t>
  </si>
  <si>
    <t>Source (date)</t>
  </si>
  <si>
    <t>EPS</t>
  </si>
  <si>
    <t>Revenue $m</t>
  </si>
  <si>
    <t>Contributors</t>
  </si>
  <si>
    <t>MarketBeat (13-Oct-26)</t>
  </si>
  <si>
    <t>Zacks via Yahoo Finance (15-Oct-26)</t>
  </si>
  <si>
    <t>Earnings Whispers consensus</t>
  </si>
  <si>
    <t>Earnings Whispers whisper number</t>
  </si>
  <si>
    <t>FXEmpire (undated page)</t>
  </si>
  <si>
    <t>G. Starting-probability calibration (playbook v2: size and issuer history)</t>
  </si>
  <si>
    <t>Market cap ($bn, 16-Oct-26)</t>
  </si>
  <si>
    <t>Small/mid boundary ($bn)</t>
  </si>
  <si>
    <t>Mid/large boundary ($bn)</t>
  </si>
  <si>
    <t>Size bucket</t>
  </si>
  <si>
    <t>Large (&gt;$10bn)</t>
  </si>
  <si>
    <t>S&amp;P 500 member (dated source)</t>
  </si>
  <si>
    <t>Cohort prior (large / S&amp;P 500)</t>
  </si>
  <si>
    <t>Cited: forecasting-playbook.md (frozen copy, header 'v2 experimental') §7: 0.78 for large OR S&amp;P 500, applied once; rounded experimental hypothesis, not empirically calibrated.</t>
  </si>
  <si>
    <t>Pseudo-observations</t>
  </si>
  <si>
    <t>Valid historical pairs n</t>
  </si>
  <si>
    <t>Strict beats b</t>
  </si>
  <si>
    <t>Starting p = (8*prior+b)/(8+n)</t>
  </si>
  <si>
    <t>Final P(beat consensus EPS)</t>
  </si>
  <si>
    <t>Evidence update (final - starting)</t>
  </si>
  <si>
    <t>Mean historical surprise ($/sh)</t>
  </si>
  <si>
    <t>Min historical surprise ($/sh)</t>
  </si>
  <si>
    <t>Consensus std dev ($/sh)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</si>
</sst>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3213" formatCode="#,##0_);(#,##0);&quot;–&quot;_)"/>
    <numFmt numFmtId="13214" formatCode="dd-mmm-yy"/>
    <numFmt numFmtId="13215" formatCode="0.0%_);(0.0%);&quot;–&quot;_)"/>
    <numFmt numFmtId="13220" formatCode="#,##0.0_);(#,##0.0);&quot;–&quot;_)"/>
    <numFmt numFmtId="13223" formatCode="$0.00_);($0.00);&quot;–&quot;_)"/>
    <numFmt numFmtId="13241" formatCode="#,##0&quot; bp&quot;_);(#,##0&quot; bp&quot;);&quot;–&quot;_)"/>
    <numFmt numFmtId="13250" formatCode="0.0%"/>
    <numFmt numFmtId="13254" formatCode="#,##0.00_);(#,##0.00);&quot;–&quot;_)"/>
    <numFmt numFmtId="13272" formatCode="0.0%_);(0.0%);0.0%_)"/>
    <numFmt numFmtId="13274" formatCode="$0.00_);($0.00);$0.00_)"/>
    <numFmt numFmtId="13275" formatCode="#,##0.0_);(#,##0.0);#,##0.0_)"/>
    <numFmt numFmtId="13280" formatCode="#,##0&quot; bp&quot;_);(#,##0&quot; bp&quot;);#,##0&quot; bp&quot;_)"/>
    <numFmt numFmtId="13286" formatCode="#,##0_);(#,##0);#,##0_)"/>
    <numFmt numFmtId="13289" formatCode="#,##0.00_);(#,##0.00);#,##0.00_)"/>
  </numFmts>
  <fonts count="15">
    <font>
      <b val="0"/>
      <i val="0"/>
      <sz val="11"/>
      <color auto="1"/>
      <name val="Calibri"/>
    </font>
    <font>
      <b val="0"/>
      <i val="0"/>
      <sz val="10"/>
      <color rgb="FF0000FF"/>
      <name val="Arial"/>
    </font>
    <font>
      <b val="0"/>
      <i val="0"/>
      <sz val="10"/>
      <color rgb="FF000000"/>
      <name val="Arial"/>
    </font>
    <font>
      <b/>
      <i val="0"/>
      <sz val="10"/>
      <color rgb="FF000000"/>
      <name val="Arial"/>
    </font>
    <font>
      <b val="0"/>
      <i val="0"/>
      <sz val="10"/>
      <color rgb="FF006100"/>
      <name val="Arial"/>
    </font>
    <font>
      <b/>
      <i val="0"/>
      <sz val="10"/>
      <color rgb="FF006100"/>
      <name val="Arial"/>
    </font>
    <font>
      <b val="0"/>
      <i/>
      <sz val="10"/>
      <color rgb="FF000000"/>
      <name val="Arial"/>
    </font>
    <font>
      <b val="0"/>
      <i/>
      <sz val="10"/>
      <color rgb="FF006100"/>
      <name val="Arial"/>
    </font>
    <font>
      <b/>
      <i val="0"/>
      <sz val="12"/>
      <color rgb="FF000000"/>
      <name val="Arial"/>
    </font>
    <font>
      <b val="0"/>
      <i/>
      <sz val="10"/>
      <color rgb="FF595959"/>
      <name val="Arial"/>
    </font>
    <font>
      <b val="0"/>
      <i/>
      <sz val="10"/>
      <color rgb="FF0000FF"/>
      <name val="Arial"/>
    </font>
    <font>
      <b/>
      <i/>
      <sz val="10"/>
      <color rgb="FF006100"/>
      <name val="Arial"/>
    </font>
    <font>
      <b/>
      <i val="0"/>
      <sz val="14"/>
      <color rgb="FF000000"/>
      <name val="Arial"/>
    </font>
    <font>
      <b/>
      <i/>
      <sz val="10"/>
      <color rgb="FF000000"/>
      <name val="Arial"/>
    </font>
    <font>
      <b/>
      <i val="0"/>
      <sz val="10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EF3FA"/>
      </patternFill>
    </fill>
    <fill>
      <patternFill patternType="solid">
        <fgColor rgb="FFDCE6F2"/>
      </patternFill>
    </fill>
  </fills>
  <borders count="12">
    <border>
      <left/>
      <right/>
      <top/>
      <bottom/>
    </border>
    <border>
      <left/>
      <right/>
      <top/>
      <bottom/>
      <diagonal/>
    </border>
    <border>
      <top style="thin">
        <color rgb="FF808080"/>
      </top>
    </border>
    <border>
      <bottom style="thin">
        <color rgb="FF808080"/>
      </bottom>
    </border>
    <border>
      <top style="thin">
        <color rgb="FF808080"/>
      </top>
      <bottom style="thin">
        <color rgb="FF808080"/>
      </bottom>
    </border>
    <border>
      <top style="thin">
        <color rgb="FF000000"/>
      </top>
    </border>
    <border>
      <bottom style="thin">
        <color rgb="FFA6A6A6"/>
      </bottom>
    </border>
    <border>
      <left/>
      <right/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A6A6A6"/>
      </bottom>
      <diagonal/>
    </border>
  </borders>
  <cellStyleXfs count="1">
    <xf numFmtId="0" fontId="0" fillId="0" borderId="1"/>
  </cellStyleXfs>
  <cellXfs count="117">
    <xf numFmtId="0" fontId="0" fillId="0" borderId="1" xfId="0"/>
    <xf numFmtId="0" fontId="8" fillId="0" borderId="1" xfId="0">
      <alignment horizontal="left" vertical="bottom" indent="7"/>
    </xf>
    <xf numFmtId="0" fontId="2" fillId="0" borderId="1" xfId="0"/>
    <xf numFmtId="0" fontId="3" fillId="0" borderId="1" xfId="0">
      <alignment horizontal="left" vertical="bottom" indent="7"/>
    </xf>
    <xf numFmtId="0" fontId="6" fillId="0" borderId="1" xfId="0">
      <alignment horizontal="left" vertical="bottom" indent="7"/>
    </xf>
    <xf numFmtId="0" fontId="3" fillId="2" borderId="7" xfId="0"/>
    <xf numFmtId="0" fontId="3" fillId="2" borderId="7" xfId="0">
      <alignment horizontal="right" vertical="bottom"/>
    </xf>
    <xf numFmtId="0" fontId="3" fillId="2" borderId="1" xfId="0"/>
    <xf numFmtId="13214" fontId="3" fillId="2" borderId="1" xfId="0">
      <alignment horizontal="right" vertical="bottom"/>
    </xf>
    <xf numFmtId="0" fontId="3" fillId="2" borderId="1" xfId="0">
      <alignment horizontal="right" vertical="bottom"/>
    </xf>
    <xf numFmtId="0" fontId="3" fillId="2" borderId="8" xfId="0"/>
    <xf numFmtId="1" fontId="3" fillId="2" borderId="8" xfId="0">
      <alignment horizontal="right" vertical="bottom"/>
    </xf>
    <xf numFmtId="0" fontId="3" fillId="2" borderId="8" xfId="0">
      <alignment horizontal="right" vertical="bottom"/>
    </xf>
    <xf numFmtId="0" fontId="12" fillId="0" borderId="1" xfId="0"/>
    <xf numFmtId="0" fontId="3" fillId="2" borderId="9" xfId="0">
      <alignment horizontal="left" vertical="bottom"/>
    </xf>
    <xf numFmtId="0" fontId="3" fillId="2" borderId="9" xfId="0">
      <alignment horizontal="right" vertical="bottom"/>
    </xf>
    <xf numFmtId="13220" fontId="5" fillId="3" borderId="1" xfId="0">
      <alignment horizontal="right" vertical="bottom"/>
    </xf>
    <xf numFmtId="13220" fontId="4" fillId="0" borderId="1" xfId="0">
      <alignment horizontal="right" vertical="bottom"/>
    </xf>
    <xf numFmtId="13220" fontId="2" fillId="0" borderId="1" xfId="0">
      <alignment horizontal="right" vertical="bottom"/>
    </xf>
    <xf numFmtId="13215" fontId="6" fillId="0" borderId="1" xfId="0">
      <alignment horizontal="right" vertical="bottom"/>
    </xf>
    <xf numFmtId="0" fontId="2" fillId="0" borderId="1" xfId="0">
      <alignment horizontal="right" vertical="bottom"/>
    </xf>
    <xf numFmtId="13223" fontId="5" fillId="3" borderId="1" xfId="0">
      <alignment horizontal="right" vertical="bottom"/>
    </xf>
    <xf numFmtId="13223" fontId="4" fillId="0" borderId="1" xfId="0">
      <alignment horizontal="right" vertical="bottom"/>
    </xf>
    <xf numFmtId="13223" fontId="2" fillId="0" borderId="1" xfId="0">
      <alignment horizontal="right" vertical="bottom"/>
    </xf>
    <xf numFmtId="0" fontId="3" fillId="0" borderId="10" xfId="0"/>
    <xf numFmtId="0" fontId="5" fillId="0" borderId="10" xfId="0">
      <alignment horizontal="right" vertical="bottom"/>
    </xf>
    <xf numFmtId="0" fontId="13" fillId="0" borderId="1" xfId="0"/>
    <xf numFmtId="13250" fontId="11" fillId="0" borderId="1" xfId="0">
      <alignment horizontal="right" vertical="bottom"/>
    </xf>
    <xf numFmtId="0" fontId="3" fillId="0" borderId="1" xfId="0"/>
    <xf numFmtId="0" fontId="5" fillId="0" borderId="1" xfId="0">
      <alignment horizontal="right" vertical="bottom"/>
    </xf>
    <xf numFmtId="0" fontId="3" fillId="0" borderId="11" xfId="0"/>
    <xf numFmtId="0" fontId="6" fillId="0" borderId="1" xfId="0"/>
    <xf numFmtId="13215" fontId="7" fillId="0" borderId="1" xfId="0">
      <alignment horizontal="right" vertical="bottom"/>
    </xf>
    <xf numFmtId="0" fontId="9" fillId="0" borderId="1" xfId="0"/>
    <xf numFmtId="0" fontId="9" fillId="0" borderId="1" xfId="0">
      <alignment horizontal="left" vertical="bottom" indent="1"/>
    </xf>
    <xf numFmtId="0" fontId="8" fillId="0" borderId="1" xfId="0"/>
    <xf numFmtId="0" fontId="3" fillId="4" borderId="7" xfId="0">
      <alignment horizontal="right" vertical="bottom"/>
    </xf>
    <xf numFmtId="0" fontId="3" fillId="2" borderId="7" xfId="0">
      <alignment horizontal="left" vertical="bottom"/>
    </xf>
    <xf numFmtId="13214" fontId="3" fillId="4" borderId="1" xfId="0">
      <alignment horizontal="right" vertical="bottom"/>
    </xf>
    <xf numFmtId="1" fontId="3" fillId="4" borderId="8" xfId="0">
      <alignment horizontal="right" vertical="bottom"/>
    </xf>
    <xf numFmtId="0" fontId="2" fillId="3" borderId="1" xfId="0"/>
    <xf numFmtId="0" fontId="3" fillId="3" borderId="11" xfId="0"/>
    <xf numFmtId="13220" fontId="2" fillId="3" borderId="1" xfId="0">
      <alignment horizontal="right" vertical="bottom"/>
    </xf>
    <xf numFmtId="0" fontId="6" fillId="0" borderId="1" xfId="0">
      <alignment horizontal="left" vertical="bottom" indent="1"/>
    </xf>
    <xf numFmtId="13272" fontId="7" fillId="0" borderId="1" xfId="0">
      <alignment horizontal="right" vertical="bottom"/>
    </xf>
    <xf numFmtId="13272" fontId="6" fillId="3" borderId="1" xfId="0">
      <alignment horizontal="right" vertical="bottom"/>
    </xf>
    <xf numFmtId="13272" fontId="6" fillId="0" borderId="1" xfId="0">
      <alignment horizontal="right" vertical="bottom"/>
    </xf>
    <xf numFmtId="13215" fontId="6" fillId="3" borderId="1" xfId="0">
      <alignment horizontal="right" vertical="bottom"/>
    </xf>
    <xf numFmtId="13215" fontId="10" fillId="0" borderId="1" xfId="0">
      <alignment horizontal="right" vertical="bottom"/>
    </xf>
    <xf numFmtId="13220" fontId="3" fillId="0" borderId="10" xfId="0">
      <alignment horizontal="right" vertical="bottom"/>
    </xf>
    <xf numFmtId="13220" fontId="3" fillId="3" borderId="10" xfId="0">
      <alignment horizontal="right" vertical="bottom"/>
    </xf>
    <xf numFmtId="0" fontId="2" fillId="0" borderId="1" xfId="0">
      <alignment horizontal="left" vertical="bottom" indent="1"/>
    </xf>
    <xf numFmtId="13220" fontId="1" fillId="0" borderId="1" xfId="0">
      <alignment horizontal="right" vertical="bottom"/>
    </xf>
    <xf numFmtId="13220" fontId="1" fillId="3" borderId="1" xfId="0">
      <alignment horizontal="right" vertical="bottom"/>
    </xf>
    <xf numFmtId="13272" fontId="10" fillId="3" borderId="1" xfId="0">
      <alignment horizontal="right" vertical="bottom"/>
    </xf>
    <xf numFmtId="13275" fontId="4" fillId="0" borderId="1" xfId="0">
      <alignment horizontal="right" vertical="bottom"/>
    </xf>
    <xf numFmtId="13275" fontId="2" fillId="0" borderId="1" xfId="0">
      <alignment horizontal="right" vertical="bottom"/>
    </xf>
    <xf numFmtId="13275" fontId="2" fillId="3" borderId="1" xfId="0">
      <alignment horizontal="right" vertical="bottom"/>
    </xf>
    <xf numFmtId="13280" fontId="7" fillId="0" borderId="1" xfId="0">
      <alignment horizontal="right" vertical="bottom"/>
    </xf>
    <xf numFmtId="13280" fontId="6" fillId="3" borderId="1" xfId="0">
      <alignment horizontal="right" vertical="bottom"/>
    </xf>
    <xf numFmtId="13280" fontId="6" fillId="0" borderId="1" xfId="0">
      <alignment horizontal="right" vertical="bottom"/>
    </xf>
    <xf numFmtId="13213" fontId="1" fillId="0" borderId="1" xfId="0">
      <alignment horizontal="right" vertical="bottom"/>
    </xf>
    <xf numFmtId="13213" fontId="4" fillId="0" borderId="1" xfId="0">
      <alignment horizontal="right" vertical="bottom"/>
    </xf>
    <xf numFmtId="13213" fontId="1" fillId="3" borderId="1" xfId="0">
      <alignment horizontal="right" vertical="bottom"/>
    </xf>
    <xf numFmtId="13286" fontId="4" fillId="0" borderId="1" xfId="0">
      <alignment horizontal="right" vertical="bottom"/>
    </xf>
    <xf numFmtId="13286" fontId="2" fillId="0" borderId="1" xfId="0">
      <alignment horizontal="right" vertical="bottom"/>
    </xf>
    <xf numFmtId="13286" fontId="2" fillId="3" borderId="1" xfId="0">
      <alignment horizontal="right" vertical="bottom"/>
    </xf>
    <xf numFmtId="13213" fontId="3" fillId="0" borderId="10" xfId="0">
      <alignment horizontal="right" vertical="bottom"/>
    </xf>
    <xf numFmtId="13213" fontId="3" fillId="3" borderId="10" xfId="0">
      <alignment horizontal="right" vertical="bottom"/>
    </xf>
    <xf numFmtId="13213" fontId="2" fillId="3" borderId="1" xfId="0">
      <alignment horizontal="right" vertical="bottom"/>
    </xf>
    <xf numFmtId="13213" fontId="2" fillId="0" borderId="1" xfId="0">
      <alignment horizontal="right" vertical="bottom"/>
    </xf>
    <xf numFmtId="0" fontId="3" fillId="0" borderId="1" xfId="0">
      <alignment horizontal="left" vertical="bottom" indent="1"/>
    </xf>
    <xf numFmtId="0" fontId="2" fillId="0" borderId="1" xfId="0">
      <alignment horizontal="left" vertical="bottom" indent="2"/>
    </xf>
    <xf numFmtId="13213" fontId="14" fillId="0" borderId="10" xfId="0">
      <alignment horizontal="right" vertical="bottom"/>
    </xf>
    <xf numFmtId="13254" fontId="2" fillId="0" borderId="1" xfId="0">
      <alignment horizontal="right" vertical="bottom"/>
    </xf>
    <xf numFmtId="13254" fontId="1" fillId="3" borderId="1" xfId="0">
      <alignment horizontal="right" vertical="bottom"/>
    </xf>
    <xf numFmtId="13289" fontId="4" fillId="0" borderId="1" xfId="0">
      <alignment horizontal="right" vertical="bottom"/>
    </xf>
    <xf numFmtId="13289" fontId="2" fillId="0" borderId="1" xfId="0">
      <alignment horizontal="right" vertical="bottom"/>
    </xf>
    <xf numFmtId="13289" fontId="2" fillId="3" borderId="1" xfId="0">
      <alignment horizontal="right" vertical="bottom"/>
    </xf>
    <xf numFmtId="13254" fontId="1" fillId="0" borderId="1" xfId="0">
      <alignment horizontal="right" vertical="bottom"/>
    </xf>
    <xf numFmtId="13254" fontId="2" fillId="3" borderId="1" xfId="0">
      <alignment horizontal="right" vertical="bottom"/>
    </xf>
    <xf numFmtId="13220" fontId="14" fillId="0" borderId="10" xfId="0">
      <alignment horizontal="right" vertical="bottom"/>
    </xf>
    <xf numFmtId="13220" fontId="5" fillId="0" borderId="10" xfId="0">
      <alignment horizontal="right" vertical="bottom"/>
    </xf>
    <xf numFmtId="0" fontId="6" fillId="0" borderId="1" xfId="0">
      <alignment horizontal="left" vertical="bottom" indent="2"/>
    </xf>
    <xf numFmtId="13220" fontId="4" fillId="3" borderId="1" xfId="0">
      <alignment horizontal="right" vertical="bottom"/>
    </xf>
    <xf numFmtId="13215" fontId="10" fillId="3" borderId="1" xfId="0">
      <alignment horizontal="right" vertical="bottom"/>
    </xf>
    <xf numFmtId="13223" fontId="2" fillId="3" borderId="1" xfId="0">
      <alignment horizontal="right" vertical="bottom"/>
    </xf>
    <xf numFmtId="13223" fontId="3" fillId="0" borderId="10" xfId="0">
      <alignment horizontal="right" vertical="bottom"/>
    </xf>
    <xf numFmtId="13223" fontId="3" fillId="3" borderId="10" xfId="0">
      <alignment horizontal="right" vertical="bottom"/>
    </xf>
    <xf numFmtId="13223" fontId="1" fillId="0" borderId="1" xfId="0">
      <alignment horizontal="right" vertical="bottom"/>
    </xf>
    <xf numFmtId="13274" fontId="4" fillId="0" borderId="1" xfId="0">
      <alignment horizontal="right" vertical="bottom"/>
    </xf>
    <xf numFmtId="13274" fontId="2" fillId="0" borderId="1" xfId="0">
      <alignment horizontal="right" vertical="bottom"/>
    </xf>
    <xf numFmtId="13274" fontId="2" fillId="3" borderId="1" xfId="0">
      <alignment horizontal="right" vertical="bottom"/>
    </xf>
    <xf numFmtId="13223" fontId="4" fillId="3" borderId="1" xfId="0">
      <alignment horizontal="right" vertical="bottom"/>
    </xf>
    <xf numFmtId="13215" fontId="7" fillId="3" borderId="1" xfId="0">
      <alignment horizontal="right" vertical="bottom"/>
    </xf>
    <xf numFmtId="13223" fontId="1" fillId="3" borderId="1" xfId="0">
      <alignment horizontal="right" vertical="bottom"/>
    </xf>
    <xf numFmtId="13220" fontId="5" fillId="0" borderId="1" xfId="0">
      <alignment horizontal="right" vertical="bottom"/>
    </xf>
    <xf numFmtId="13220" fontId="3" fillId="3" borderId="1" xfId="0">
      <alignment horizontal="right" vertical="bottom"/>
    </xf>
    <xf numFmtId="13223" fontId="3" fillId="0" borderId="1" xfId="0">
      <alignment horizontal="right" vertical="bottom"/>
    </xf>
    <xf numFmtId="13223" fontId="3" fillId="3" borderId="1" xfId="0">
      <alignment horizontal="right" vertical="bottom"/>
    </xf>
    <xf numFmtId="0" fontId="3" fillId="2" borderId="9" xfId="0"/>
    <xf numFmtId="13214" fontId="2" fillId="0" borderId="1" xfId="0">
      <alignment horizontal="right" vertical="bottom"/>
    </xf>
    <xf numFmtId="13215" fontId="1" fillId="0" borderId="1" xfId="0">
      <alignment horizontal="right" vertical="bottom"/>
    </xf>
    <xf numFmtId="13215" fontId="2" fillId="0" borderId="1" xfId="0">
      <alignment horizontal="right" vertical="bottom"/>
    </xf>
    <xf numFmtId="13215" fontId="4" fillId="0" borderId="1" xfId="0">
      <alignment horizontal="right" vertical="bottom"/>
    </xf>
    <xf numFmtId="0" fontId="2" fillId="0" borderId="1" xfId="0">
      <alignment horizontal="left" vertical="bottom"/>
    </xf>
    <xf numFmtId="0" fontId="2" fillId="0" borderId="1" xfId="0">
      <alignment vertical="top" wrapText="1"/>
    </xf>
    <xf numFmtId="0" fontId="1" fillId="0" borderId="1" xfId="0"/>
    <xf numFmtId="0" fontId="1" fillId="0" borderId="1" xfId="0">
      <alignment horizontal="left" vertical="bottom"/>
    </xf>
    <xf numFmtId="13214" fontId="1" fillId="0" borderId="1" xfId="0">
      <alignment horizontal="right" vertical="bottom"/>
    </xf>
    <xf numFmtId="13223" fontId="1" fillId="0" borderId="1" xfId="0">
      <alignment horizontal="left" vertical="bottom"/>
    </xf>
    <xf numFmtId="0" fontId="3" fillId="2" borderId="9" xfId="0">
      <alignment vertical="bottom" wrapText="1"/>
    </xf>
    <xf numFmtId="0" fontId="3" fillId="2" borderId="9" xfId="0">
      <alignment horizontal="right" vertical="bottom" wrapText="1"/>
    </xf>
    <xf numFmtId="13223" fontId="1" fillId="0" borderId="1" xfId="0"/>
    <xf numFmtId="13220" fontId="1" fillId="0" borderId="1" xfId="0"/>
    <xf numFmtId="13213" fontId="2" fillId="0" borderId="1" xfId="0"/>
    <xf numFmtId="13223" fontId="2" fillId="0" borderId="1" xf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Relationship Id="rId12" Type="http://schemas.openxmlformats.org/officeDocument/2006/relationships/theme" Target="theme/theme1.xml"/><Relationship Id="rId1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0</xdr:row>
      <xdr:rowOff>19050</xdr:rowOff>
    </xdr:from>
    <xdr:to>
      <xdr:col>8</xdr:col>
      <xdr:colOff>590550</xdr:colOff>
      <xdr:row>3</xdr:row>
      <xdr:rowOff>0</xdr:rowOff>
    </xdr:to>
    <xdr:pic>
      <xdr:nvPicPr>
        <xdr:cNvPr id="2" name="Shortcut logo"/>
        <xdr:cNvPicPr>
          <a:picLocks noChangeAspect="1"/>
        </xdr:cNvPicPr>
      </xdr:nvPicPr>
      <xdr:blipFill>
        <a:blip xmlns:r="http://schemas.openxmlformats.org/officeDocument/2006/relationships" r:embed="rId1"/>
        <a:srcRect l="0" r="0" t="0" b="0"/>
        <a:stretch/>
      </xdr:blipFill>
      <xdr:spPr>
        <a:xfrm>
          <a:off x="7806267" y="19050"/>
          <a:ext cx="552450" cy="552450"/>
        </a:xfrm>
        <a:prstGeom prst="rect">
          <a:avLst/>
        </a:prstGeom>
        <a:noFill/>
        <a:ln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3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8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9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61BE588-71D4-6D88-5538-AD6CDAD5D688}" mc:Ignorable="x14ac xr xr2 xr3">
  <dimension ref="A1:CV10000"/>
  <sheetViews>
    <sheetView showGridLines="0" topLeftCell="A1" zoomScale="90" workbookViewId="0" tabSelected="1">
      <selection activeCell="A1" sqref="A1"/>
    </sheetView>
  </sheetViews>
  <sheetFormatPr defaultRowHeight="15" defaultColWidth="8.421875" customHeight="1"/>
  <cols>
    <col min="1" max="1" width="34.00390625" customWidth="1"/>
    <col min="2" max="7" width="12.00390625" customWidth="1"/>
    <col min="8" max="8" width="10.00390625" customWidth="1"/>
    <col min="9" max="10" width="12.00390625" customWidth="1"/>
  </cols>
  <sheetData>
    <row r="1" ht="1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>
      <c r="A3" s="4" t="s">
        <v>2</v>
      </c>
      <c r="B3" s="2"/>
      <c r="C3" s="2"/>
      <c r="D3" s="2"/>
      <c r="E3" s="2"/>
      <c r="F3" s="2"/>
      <c r="G3" s="2"/>
      <c r="H3" s="2"/>
      <c r="I3" s="2"/>
      <c r="J3" s="2"/>
    </row>
    <row r="4" ht="15" customHeight="1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2"/>
      <c r="J4" s="2"/>
    </row>
    <row r="5" ht="15" customHeight="1">
      <c r="A5" s="7" t="s">
        <v>5</v>
      </c>
      <c r="B5" s="8">
        <f>DATE(2026,9,30)</f>
        <v>46295</v>
      </c>
      <c r="C5" s="8"/>
      <c r="D5" s="8"/>
      <c r="E5" s="8"/>
      <c r="F5" s="8"/>
      <c r="G5" s="8"/>
      <c r="H5" s="9"/>
      <c r="I5" s="2"/>
      <c r="J5" s="2"/>
    </row>
    <row r="6" ht="15" customHeight="1">
      <c r="A6" s="10" t="s">
        <v>6</v>
      </c>
      <c r="B6" s="11">
        <f>B5-EOMONTH(B5,-3)</f>
        <v>92</v>
      </c>
      <c r="C6" s="11"/>
      <c r="D6" s="11"/>
      <c r="E6" s="11"/>
      <c r="F6" s="11"/>
      <c r="G6" s="11"/>
      <c r="H6" s="12"/>
      <c r="I6" s="2"/>
      <c r="J6" s="2"/>
    </row>
    <row r="7" ht="15" customHeight="1">
      <c r="A7" s="2"/>
      <c r="B7" s="2"/>
      <c r="C7" s="2"/>
      <c r="D7" s="2"/>
      <c r="E7" s="2"/>
      <c r="F7" s="2"/>
      <c r="G7" s="2"/>
      <c r="H7" s="2"/>
      <c r="I7" s="2"/>
      <c r="J7" s="2"/>
    </row>
    <row r="8" ht="15" customHeight="1">
      <c r="A8" s="13" t="s">
        <v>7</v>
      </c>
      <c r="B8" s="2"/>
      <c r="C8" s="2"/>
      <c r="D8" s="2"/>
      <c r="E8" s="2"/>
      <c r="F8" s="2"/>
      <c r="G8" s="2"/>
      <c r="H8" s="2"/>
      <c r="I8" s="2"/>
      <c r="J8" s="2"/>
    </row>
    <row r="9" ht="1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</row>
    <row r="10" ht="15" customHeight="1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ht="15" customHeight="1">
      <c r="A11" s="2" t="s">
        <v>9</v>
      </c>
      <c r="B11" s="2" t="s">
        <v>10</v>
      </c>
      <c r="C11" s="2"/>
      <c r="D11" s="2"/>
      <c r="E11" s="2"/>
      <c r="F11" s="2"/>
      <c r="G11" s="2"/>
      <c r="H11" s="2"/>
      <c r="I11" s="2"/>
      <c r="J11" s="2"/>
    </row>
    <row r="12" ht="15" customHeight="1">
      <c r="A12" s="2" t="s">
        <v>11</v>
      </c>
      <c r="B12" s="2" t="s">
        <v>12</v>
      </c>
      <c r="C12" s="2"/>
      <c r="D12" s="2"/>
      <c r="E12" s="2"/>
      <c r="F12" s="2"/>
      <c r="G12" s="2"/>
      <c r="H12" s="2"/>
      <c r="I12" s="2"/>
      <c r="J12" s="2"/>
    </row>
    <row r="13" ht="15" customHeight="1">
      <c r="A13" s="2" t="s">
        <v>13</v>
      </c>
      <c r="B13" s="2" t="s">
        <v>14</v>
      </c>
      <c r="C13" s="2"/>
      <c r="D13" s="2"/>
      <c r="E13" s="2"/>
      <c r="F13" s="2"/>
      <c r="G13" s="2"/>
      <c r="H13" s="2"/>
      <c r="I13" s="2"/>
      <c r="J13" s="2"/>
    </row>
    <row r="14" ht="15" customHeight="1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</row>
    <row r="15" ht="15" customHeight="1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</row>
    <row r="16" ht="15" customHeight="1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</row>
    <row r="17" ht="15" customHeight="1">
      <c r="A17" s="2" t="s">
        <v>21</v>
      </c>
      <c r="B17" s="2" t="s">
        <v>22</v>
      </c>
      <c r="C17" s="2"/>
      <c r="D17" s="2"/>
      <c r="E17" s="2"/>
      <c r="F17" s="2"/>
      <c r="G17" s="2"/>
      <c r="H17" s="2"/>
      <c r="I17" s="2"/>
      <c r="J17" s="2"/>
    </row>
    <row r="18" ht="15" customHeight="1">
      <c r="A18" s="2" t="s">
        <v>23</v>
      </c>
      <c r="B18" s="2" t="s">
        <v>24</v>
      </c>
      <c r="C18" s="2"/>
      <c r="D18" s="2"/>
      <c r="E18" s="2"/>
      <c r="F18" s="2"/>
      <c r="G18" s="2"/>
      <c r="H18" s="2"/>
      <c r="I18" s="2"/>
      <c r="J18" s="2"/>
    </row>
    <row r="19" ht="15" customHeight="1">
      <c r="A19" s="2" t="s">
        <v>25</v>
      </c>
      <c r="B19" s="2" t="s">
        <v>26</v>
      </c>
      <c r="C19" s="2"/>
      <c r="D19" s="2"/>
      <c r="E19" s="2"/>
      <c r="F19" s="2"/>
      <c r="G19" s="2"/>
      <c r="H19" s="2"/>
      <c r="I19" s="2"/>
      <c r="J19" s="2"/>
    </row>
    <row r="20" ht="15" customHeight="1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ht="15" customHeight="1">
      <c r="A21" s="14" t="s">
        <v>27</v>
      </c>
      <c r="B21" s="15" t="s">
        <v>28</v>
      </c>
      <c r="C21" s="15" t="s">
        <v>29</v>
      </c>
      <c r="D21" s="15" t="s">
        <v>30</v>
      </c>
      <c r="E21" s="15" t="s">
        <v>31</v>
      </c>
      <c r="F21" s="15" t="s">
        <v>32</v>
      </c>
      <c r="G21" s="15" t="s">
        <v>33</v>
      </c>
      <c r="H21" s="15" t="s">
        <v>34</v>
      </c>
      <c r="I21" s="2"/>
      <c r="J21" s="2"/>
    </row>
    <row r="22" ht="15" customHeight="1">
      <c r="A22" s="2" t="s">
        <v>35</v>
      </c>
      <c r="B22" s="16">
        <f>'Income Statement'!G13</f>
        <v>2942.4528999999998</v>
      </c>
      <c r="C22" s="17">
        <f>Inputs!B281</f>
        <v>2906.81</v>
      </c>
      <c r="D22" s="18">
        <f t="shared" si="0" ref="D22:D27">B22-C22</f>
        <v>35.64289999999983</v>
      </c>
      <c r="E22" s="19">
        <f t="shared" si="1" ref="E22:E27">B22/C22-1</f>
        <v>0.012261860940343539</v>
      </c>
      <c r="F22" s="20" t="s">
        <v>36</v>
      </c>
      <c r="G22" s="17">
        <f>'Income Statement'!B13</f>
        <v>2505.1</v>
      </c>
      <c r="H22" s="19">
        <f t="shared" si="2" ref="H22:H27">B22/G22-1</f>
        <v>0.17458500658656328</v>
      </c>
      <c r="I22" s="2"/>
      <c r="J22" s="2"/>
    </row>
    <row r="23" ht="15" customHeight="1">
      <c r="A23" s="2" t="s">
        <v>37</v>
      </c>
      <c r="B23" s="16">
        <f>'Income Statement'!G92</f>
        <v>983.9389332875</v>
      </c>
      <c r="C23" s="17">
        <f>Inputs!B294</f>
        <v>940.37</v>
      </c>
      <c r="D23" s="18">
        <f t="shared" si="0"/>
        <v>43.568933287500045</v>
      </c>
      <c r="E23" s="19">
        <f t="shared" si="1"/>
        <v>0.046331692086625464</v>
      </c>
      <c r="F23" s="20" t="s">
        <v>36</v>
      </c>
      <c r="G23" s="17">
        <f>'Income Statement'!B92</f>
        <v>867.2</v>
      </c>
      <c r="H23" s="19">
        <f t="shared" si="2"/>
        <v>0.13461592860643457</v>
      </c>
      <c r="I23" s="2"/>
      <c r="J23" s="2"/>
    </row>
    <row r="24" ht="15" customHeight="1">
      <c r="A24" s="2" t="s">
        <v>38</v>
      </c>
      <c r="B24" s="21">
        <f>'Income Statement'!G97</f>
        <v>2.7589651368001684</v>
      </c>
      <c r="C24" s="22">
        <f>Inputs!B263</f>
        <v>2.64</v>
      </c>
      <c r="D24" s="23">
        <f t="shared" si="0"/>
        <v>0.11896513680016829</v>
      </c>
      <c r="E24" s="19">
        <f t="shared" si="1"/>
        <v>0.04506255181824548</v>
      </c>
      <c r="F24" s="20" t="s">
        <v>36</v>
      </c>
      <c r="G24" s="22">
        <f>'Income Statement'!B100</f>
        <v>2.4</v>
      </c>
      <c r="H24" s="19">
        <f t="shared" si="2"/>
        <v>0.14956880700007025</v>
      </c>
      <c r="I24" s="2"/>
      <c r="J24" s="2"/>
    </row>
    <row r="25" ht="15" customHeight="1">
      <c r="A25" s="2" t="s">
        <v>39</v>
      </c>
      <c r="B25" s="16">
        <f>'Income Statement'!G62</f>
        <v>790.7089332875</v>
      </c>
      <c r="C25" s="17">
        <f>Inputs!B295</f>
        <v>798.91</v>
      </c>
      <c r="D25" s="18">
        <f t="shared" si="0"/>
        <v>-8.201066712499937</v>
      </c>
      <c r="E25" s="19">
        <f t="shared" si="1"/>
        <v>-0.010265319888973612</v>
      </c>
      <c r="F25" s="20" t="s">
        <v>36</v>
      </c>
      <c r="G25" s="17">
        <f>'Income Statement'!B62</f>
        <v>704.4</v>
      </c>
      <c r="H25" s="19">
        <f t="shared" si="2"/>
        <v>0.122528298250284</v>
      </c>
      <c r="I25" s="2"/>
      <c r="J25" s="2"/>
    </row>
    <row r="26" ht="15" customHeight="1">
      <c r="A26" s="2" t="s">
        <v>40</v>
      </c>
      <c r="B26" s="21">
        <f>'Income Statement'!G71</f>
        <v>2.217148144557903</v>
      </c>
      <c r="C26" s="22">
        <f>Inputs!B272</f>
        <v>2.37</v>
      </c>
      <c r="D26" s="23">
        <f t="shared" si="0"/>
        <v>-0.15285185544209723</v>
      </c>
      <c r="E26" s="19">
        <f t="shared" si="1"/>
        <v>-0.06449445377303675</v>
      </c>
      <c r="F26" s="20" t="s">
        <v>36</v>
      </c>
      <c r="G26" s="22">
        <f>'Income Statement'!B73</f>
        <v>1.95</v>
      </c>
      <c r="H26" s="19">
        <f t="shared" si="2"/>
        <v>0.13699904849123223</v>
      </c>
      <c r="I26" s="2"/>
      <c r="J26" s="2"/>
    </row>
    <row r="27" ht="15" customHeight="1">
      <c r="A27" s="2" t="s">
        <v>41</v>
      </c>
      <c r="B27" s="16">
        <f>'Income Statement'!G120</f>
        <v>1196.0502365</v>
      </c>
      <c r="C27" s="17">
        <f>Inputs!B291</f>
        <v>1141.88</v>
      </c>
      <c r="D27" s="18">
        <f t="shared" si="0"/>
        <v>54.170236499999874</v>
      </c>
      <c r="E27" s="19">
        <f t="shared" si="1"/>
        <v>0.04743951772515498</v>
      </c>
      <c r="F27" s="20" t="s">
        <v>36</v>
      </c>
      <c r="G27" s="17">
        <f>'Income Statement'!B120</f>
        <v>975.9</v>
      </c>
      <c r="H27" s="19">
        <f t="shared" si="2"/>
        <v>0.22558688031560603</v>
      </c>
      <c r="I27" s="2"/>
      <c r="J27" s="2"/>
    </row>
    <row r="28" ht="15" customHeight="1">
      <c r="A28" s="24" t="s">
        <v>42</v>
      </c>
      <c r="B28" s="25" t="str">
        <f>IF(COUNTIF('Revenue summary'!B38:G38,"&gt;0.000001")+COUNTIF('Revenue summary'!B38:G38,"&lt;-0.000001")+COUNTIF('Revenue summary'!B81:G81,"&gt;0.000001")+COUNTIF('Revenue summary'!B81:G81,"&lt;-0.000001")+COUNTIF('Revenue summary'!B135:G135,"&gt;0.000001")+COUNTIF('Revenue summary'!B135:G135,"&lt;-0.000001")+COUNTIF('Revenue summary'!B136:G136,"&gt;0.000001")+COUNTIF('Revenue summary'!B136:G136,"&lt;-0.000001")+COUNTIF('Revenue summary'!B164:G164,"&gt;0.000001")+COUNTIF('Revenue summary'!B164:G164,"&lt;-0.000001")+COUNTIF('Revenue summary'!B172:G172,"&gt;0.000001")+COUNTIF('Revenue summary'!B172:G172,"&lt;-0.000001")+COUNTIF('Revenue summary'!B187:G187,"&gt;0.000001")+COUNTIF('Revenue summary'!B187:G187,"&lt;-0.000001")+COUNTIF('Revenue summary'!B225:G225,"&gt;0.000001")+COUNTIF('Revenue summary'!B225:G225,"&lt;-0.000001")+COUNTIF('Revenue summary'!B235:G235,"&gt;0.000001")+COUNTIF('Revenue summary'!B235:G235,"&lt;-0.000001")+COUNTIF('Revenue summary'!B279:G279,"&gt;0.000001")+COUNTIF('Revenue summary'!B279:G279,"&lt;-0.000001")+COUNTIF('Revenue summary'!B290:G290,"&gt;0.000001")+COUNTIF('Revenue summary'!B290:G290,"&lt;-0.000001")+COUNTIF('Revenue summary'!B475:G475,"&gt;0.000001")+COUNTIF('Revenue summary'!B475:G475,"&lt;-0.000001")+COUNTIF('Revenue summary'!B476:G476,"&gt;0.000001")+COUNTIF('Revenue summary'!B476:G476,"&lt;-0.000001")+COUNTIF('Revenue summary'!B477:G477,"&gt;0.000001")+COUNTIF('Revenue summary'!B477:G477,"&lt;-0.000001")+COUNTIF('Income Statement'!B74:G74,"&gt;0.000001")+COUNTIF('Income Statement'!B74:G74,"&lt;-0.000001")+COUNTIF('Income Statement'!B96:G96,"&gt;0.000001")+COUNTIF('Income Statement'!B96:G96,"&lt;-0.000001")+COUNTIF('Income Statement'!B101:G101,"&gt;0.000001")+COUNTIF('Income Statement'!B101:G101,"&lt;-0.000001")+COUNTIF('Income Statement'!B140:G140,"&gt;0.000001")+COUNTIF('Income Statement'!B140:G140,"&lt;-0.000001")+COUNTIF('Income Statement'!B168:G168,"&gt;0.000001")+COUNTIF('Income Statement'!B168:G168,"&lt;-0.000001")+COUNTIF('Balance Sheet'!B39:G39,"&gt;0.000001")+COUNTIF('Balance Sheet'!B39:G39,"&lt;-0.000001")+COUNTIF('Balance Sheet'!B41:G41,"&gt;0.000001")+COUNTIF('Balance Sheet'!B41:G41,"&lt;-0.000001")+COUNTIF('Balance Sheet'!B43:G43,"&gt;0.000001")+COUNTIF('Balance Sheet'!B43:G43,"&lt;-0.000001")+COUNTIF('Cash Flow Statement'!B25:G25,"&gt;0.000001")+COUNTIF('Cash Flow Statement'!B25:G25,"&lt;-0.000001")+COUNTIF('Cash Flow Statement'!B35:G35,"&gt;0.000001")+COUNTIF('Cash Flow Statement'!B35:G35,"&lt;-0.000001")+COUNTIF('Cash Flow Statement'!B43:G43,"&gt;0.000001")+COUNTIF('Cash Flow Statement'!B43:G43,"&lt;-0.000001")+COUNTIF('Cash Flow Statement'!B49:G49,"&gt;0.000001")+COUNTIF('Cash Flow Statement'!B49:G49,"&lt;-0.000001")+COUNTIF('Cash Flow Statement'!B50:G50,"&gt;0.000001")+COUNTIF('Cash Flow Statement'!B50:G50,"&lt;-0.000001")+COUNTIF('Cash Flow Statement'!B51:G51,"&gt;0.000001")+COUNTIF('Cash Flow Statement'!B51:G51,"&lt;-0.000001")+COUNTIF(Geo!B80:G80,"&gt;0.000001")+COUNTIF(Geo!B80:G80,"&lt;-0.000001")+COUNTIF(Geo!B81:G81,"&gt;0.000001")+COUNTIF(Geo!B81:G81,"&lt;-0.000001")+COUNTIF(Geo!B82:G82,"&gt;0.000001")+COUNTIF(Geo!B82:G82,"&lt;-0.000001")+COUNTIF(Geo!B83:G83,"&gt;0.000001")+COUNTIF(Geo!B83:G83,"&lt;-0.000001")+COUNTIF('Share Count'!B38:G38,"&gt;0.000001")+COUNTIF('Share Count'!B38:G38,"&lt;-0.000001")+COUNTIF(B40,"&gt;0.000001")=0,"PASS","FAIL")</f>
        <v>PASS</v>
      </c>
      <c r="C28" s="2"/>
      <c r="D28" s="2"/>
      <c r="E28" s="2"/>
      <c r="F28" s="2"/>
      <c r="G28" s="2"/>
      <c r="H28" s="2"/>
      <c r="I28" s="2"/>
      <c r="J28" s="2"/>
    </row>
    <row r="29" ht="15" customHeight="1">
      <c r="A29" s="26" t="s">
        <v>44</v>
      </c>
      <c r="B29" s="27">
        <f>Inputs!B347</f>
        <v>0.86</v>
      </c>
      <c r="C29" s="2"/>
      <c r="D29" s="2"/>
      <c r="E29" s="2"/>
      <c r="F29" s="2"/>
      <c r="G29" s="2"/>
      <c r="H29" s="2"/>
      <c r="I29" s="2"/>
      <c r="J29" s="2"/>
    </row>
    <row r="30" ht="15" customHeight="1">
      <c r="A30" s="28" t="s">
        <v>45</v>
      </c>
      <c r="B30" s="29" t="str">
        <f>Inputs!B349</f>
        <v>medium</v>
      </c>
      <c r="C30" s="2"/>
      <c r="D30" s="2"/>
      <c r="E30" s="2"/>
      <c r="F30" s="2"/>
      <c r="G30" s="2"/>
      <c r="H30" s="2"/>
      <c r="I30" s="2"/>
      <c r="J30" s="2"/>
    </row>
    <row r="31" ht="15" customHeight="1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ht="15" customHeight="1">
      <c r="A32" s="30" t="s">
        <v>47</v>
      </c>
      <c r="B32" s="30"/>
      <c r="C32" s="30"/>
      <c r="D32" s="30"/>
      <c r="E32" s="30"/>
      <c r="F32" s="30"/>
      <c r="G32" s="30"/>
      <c r="H32" s="30"/>
      <c r="I32" s="2"/>
      <c r="J32" s="2"/>
    </row>
    <row r="33" ht="15" customHeight="1">
      <c r="A33" s="31" t="s">
        <v>48</v>
      </c>
      <c r="B33" s="32">
        <f>Guidance!F24</f>
        <v>0.14500000000000002</v>
      </c>
      <c r="C33" s="2"/>
      <c r="D33" s="2"/>
      <c r="E33" s="2"/>
      <c r="F33" s="2"/>
      <c r="G33" s="2"/>
      <c r="H33" s="2"/>
      <c r="I33" s="2"/>
      <c r="J33" s="2"/>
    </row>
    <row r="34" ht="15" customHeight="1">
      <c r="A34" s="31" t="s">
        <v>49</v>
      </c>
      <c r="B34" s="32">
        <f>'Revenue summary'!G78</f>
        <v>0.13592848180677541</v>
      </c>
      <c r="C34" s="2"/>
      <c r="D34" s="2"/>
      <c r="E34" s="2"/>
      <c r="F34" s="2"/>
      <c r="G34" s="2"/>
      <c r="H34" s="2"/>
      <c r="I34" s="2"/>
      <c r="J34" s="2"/>
    </row>
    <row r="35" ht="15" customHeight="1">
      <c r="A35" s="31" t="s">
        <v>50</v>
      </c>
      <c r="B35" s="32">
        <f>Guidance!F25</f>
        <v>0.685</v>
      </c>
      <c r="C35" s="2"/>
      <c r="D35" s="2"/>
      <c r="E35" s="2"/>
      <c r="F35" s="2"/>
      <c r="G35" s="2"/>
      <c r="H35" s="2"/>
      <c r="I35" s="2"/>
      <c r="J35" s="2"/>
    </row>
    <row r="36" ht="15" customHeight="1">
      <c r="A36" s="31" t="s">
        <v>51</v>
      </c>
      <c r="B36" s="32">
        <f>'Income Statement'!G109</f>
        <v>0.685</v>
      </c>
      <c r="C36" s="2"/>
      <c r="D36" s="2"/>
      <c r="E36" s="2"/>
      <c r="F36" s="2"/>
      <c r="G36" s="2"/>
      <c r="H36" s="2"/>
      <c r="I36" s="2"/>
      <c r="J36" s="2"/>
    </row>
    <row r="37" ht="15" customHeight="1">
      <c r="A37" s="31" t="s">
        <v>52</v>
      </c>
      <c r="B37" s="32">
        <f>Guidance!F29</f>
        <v>0.225</v>
      </c>
      <c r="C37" s="2"/>
      <c r="D37" s="2"/>
      <c r="E37" s="2"/>
      <c r="F37" s="2"/>
      <c r="G37" s="2"/>
      <c r="H37" s="2"/>
      <c r="I37" s="2"/>
      <c r="J37" s="2"/>
    </row>
    <row r="38" ht="15" customHeight="1">
      <c r="A38" s="31" t="s">
        <v>53</v>
      </c>
      <c r="B38" s="32">
        <f>'Income Statement'!G130</f>
        <v>0.225</v>
      </c>
      <c r="C38" s="2"/>
      <c r="D38" s="2"/>
      <c r="E38" s="2"/>
      <c r="F38" s="2"/>
      <c r="G38" s="2"/>
      <c r="H38" s="2"/>
      <c r="I38" s="2"/>
      <c r="J38" s="2"/>
    </row>
    <row r="39" ht="15" customHeight="1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ht="15" customHeight="1">
      <c r="A40" s="33" t="s">
        <v>54</v>
      </c>
      <c r="B40" s="17">
        <f>ROUND(ABS(B22-'Income Statement'!G13)+ABS(B23-'Income Statement'!G92)+ABS(B24-'Income Statement'!G97)+ABS(B25-'Income Statement'!G62)+ABS(B26-'Income Statement'!G71)+ABS(B27-'Income Statement'!G120),9)</f>
        <v>0</v>
      </c>
      <c r="C40" s="2"/>
      <c r="D40" s="2"/>
      <c r="E40" s="2"/>
      <c r="F40" s="2"/>
      <c r="G40" s="2"/>
      <c r="H40" s="2"/>
      <c r="I40" s="2"/>
      <c r="J40" s="2"/>
    </row>
    <row r="41" ht="15" customHeight="1">
      <c r="A41" s="28" t="s">
        <v>55</v>
      </c>
      <c r="B41" s="2"/>
      <c r="C41" s="2"/>
      <c r="D41" s="2"/>
      <c r="E41" s="2"/>
      <c r="F41" s="2"/>
      <c r="G41" s="2"/>
      <c r="H41" s="2"/>
      <c r="I41" s="2"/>
      <c r="J41" s="2"/>
    </row>
    <row r="42" ht="15" customHeight="1">
      <c r="A42" s="33" t="s">
        <v>56</v>
      </c>
      <c r="B42" s="2"/>
      <c r="C42" s="2"/>
      <c r="D42" s="2"/>
      <c r="E42" s="2"/>
      <c r="F42" s="2"/>
      <c r="G42" s="2"/>
      <c r="H42" s="2"/>
      <c r="I42" s="2"/>
      <c r="J42" s="2"/>
    </row>
    <row r="43" ht="15" customHeight="1">
      <c r="A43" s="34" t="s">
        <v>57</v>
      </c>
    </row>
    <row r="44" ht="15" customHeight="1">
      <c r="A44" s="34" t="s">
        <v>58</v>
      </c>
    </row>
    <row r="45" ht="15" customHeight="1">
      <c r="A45" s="33" t="s">
        <v>59</v>
      </c>
    </row>
    <row r="46" ht="15" customHeight="1">
      <c r="A46" s="34" t="s">
        <v>60</v>
      </c>
    </row>
    <row r="47" ht="15" customHeight="1">
      <c r="A47" s="34" t="s">
        <v>61</v>
      </c>
    </row>
    <row r="48" ht="15" customHeight="1">
      <c r="A48" s="33" t="s">
        <v>62</v>
      </c>
    </row>
    <row r="49" ht="15" customHeight="1">
      <c r="A49" s="34" t="s">
        <v>63</v>
      </c>
    </row>
    <row r="50" ht="15" customHeight="1">
      <c r="A50" s="34" t="s">
        <v>64</v>
      </c>
    </row>
    <row r="51" ht="15" customHeight="1">
      <c r="A51" s="33" t="s">
        <v>65</v>
      </c>
    </row>
    <row r="52" ht="15" customHeight="1">
      <c r="A52" s="34" t="s">
        <v>66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drawing r:id="rId3"/>
  <legacyDrawing r:id="rId2"/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69230358-E7B8-774E-1ED1-FC76A907902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4.00390625" customWidth="1"/>
    <col min="2" max="7" width="12.00390625" customWidth="1"/>
    <col min="8" max="8" width="30.00390625" customWidth="1"/>
    <col min="9" max="10" width="12.00390625" customWidth="1"/>
  </cols>
  <sheetData>
    <row r="1" ht="15" customHeight="1">
      <c r="A1" s="35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" customHeight="1">
      <c r="A2" s="28" t="s">
        <v>67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>
      <c r="A3" s="31" t="s">
        <v>2</v>
      </c>
      <c r="B3" s="2"/>
      <c r="C3" s="2"/>
      <c r="D3" s="2"/>
      <c r="E3" s="2"/>
      <c r="F3" s="2"/>
      <c r="G3" s="2"/>
      <c r="H3" s="2"/>
      <c r="I3" s="2"/>
      <c r="J3" s="2"/>
    </row>
    <row r="4" ht="15" customHeight="1">
      <c r="A4" s="5" t="s">
        <v>3</v>
      </c>
      <c r="B4" s="6" t="s">
        <v>33</v>
      </c>
      <c r="C4" s="6" t="s">
        <v>68</v>
      </c>
      <c r="D4" s="6" t="s">
        <v>69</v>
      </c>
      <c r="E4" s="6" t="s">
        <v>70</v>
      </c>
      <c r="F4" s="6" t="s">
        <v>71</v>
      </c>
      <c r="G4" s="36" t="s">
        <v>4</v>
      </c>
      <c r="H4" s="37" t="s">
        <v>72</v>
      </c>
      <c r="I4" s="2"/>
      <c r="J4" s="2"/>
    </row>
    <row r="5" ht="15" customHeight="1">
      <c r="A5" s="7" t="s">
        <v>5</v>
      </c>
      <c r="B5" s="8">
        <f>DATE(2025,9,30)</f>
        <v>45930</v>
      </c>
      <c r="C5" s="8">
        <f t="shared" si="0" ref="C5:F5">DATE(2025,12,31)</f>
        <v>46022</v>
      </c>
      <c r="D5" s="8">
        <f>DATE(2026,3,31)</f>
        <v>46112</v>
      </c>
      <c r="E5" s="8">
        <f>DATE(2026,6,30)</f>
        <v>46203</v>
      </c>
      <c r="F5" s="8">
        <f t="shared" si="0"/>
        <v>46022</v>
      </c>
      <c r="G5" s="38">
        <f>DATE(2026,9,30)</f>
        <v>46295</v>
      </c>
      <c r="H5" s="9"/>
      <c r="I5" s="2"/>
      <c r="J5" s="2"/>
    </row>
    <row r="6" ht="15" customHeight="1">
      <c r="A6" s="10" t="s">
        <v>6</v>
      </c>
      <c r="B6" s="11">
        <f t="shared" si="1" ref="B6:G6">B5-EOMONTH(B5,-3)</f>
        <v>92</v>
      </c>
      <c r="C6" s="11">
        <f t="shared" si="1"/>
        <v>92</v>
      </c>
      <c r="D6" s="11">
        <f t="shared" si="1"/>
        <v>90</v>
      </c>
      <c r="E6" s="11">
        <f t="shared" si="1"/>
        <v>91</v>
      </c>
      <c r="F6" s="11">
        <f>F5-DATE(YEAR(F5)-1,12,31)</f>
        <v>365</v>
      </c>
      <c r="G6" s="39">
        <f t="shared" si="1"/>
        <v>92</v>
      </c>
      <c r="H6" s="12"/>
      <c r="I6" s="2"/>
      <c r="J6" s="2"/>
    </row>
    <row r="7" ht="15" customHeight="1">
      <c r="A7" s="2"/>
      <c r="B7" s="2"/>
      <c r="C7" s="2"/>
      <c r="D7" s="2"/>
      <c r="E7" s="2"/>
      <c r="F7" s="2"/>
      <c r="G7" s="40"/>
      <c r="H7" s="2"/>
      <c r="I7" s="2"/>
      <c r="J7" s="2"/>
    </row>
    <row r="8" ht="15" customHeight="1">
      <c r="A8" s="30" t="s">
        <v>73</v>
      </c>
      <c r="B8" s="30"/>
      <c r="C8" s="30"/>
      <c r="D8" s="30"/>
      <c r="E8" s="30"/>
      <c r="F8" s="30"/>
      <c r="G8" s="41"/>
      <c r="H8" s="30"/>
      <c r="I8" s="2"/>
      <c r="J8" s="2"/>
    </row>
    <row r="9" ht="15" customHeight="1">
      <c r="A9" s="33" t="s">
        <v>74</v>
      </c>
      <c r="B9" s="2"/>
      <c r="C9" s="2"/>
      <c r="D9" s="2"/>
      <c r="E9" s="2"/>
      <c r="F9" s="2"/>
      <c r="G9" s="40"/>
      <c r="H9" s="2"/>
      <c r="I9" s="2"/>
      <c r="J9" s="2"/>
    </row>
    <row r="10" ht="15" customHeight="1">
      <c r="A10" s="2" t="s">
        <v>75</v>
      </c>
      <c r="B10" s="18">
        <f t="shared" si="2" ref="B10:G10">B351</f>
        <v>1518.8</v>
      </c>
      <c r="C10" s="18">
        <f t="shared" si="2"/>
        <v>1658.3</v>
      </c>
      <c r="D10" s="18">
        <f t="shared" si="2"/>
        <v>1686.4</v>
      </c>
      <c r="E10" s="18">
        <f t="shared" si="2"/>
        <v>1734.9</v>
      </c>
      <c r="F10" s="18">
        <f t="shared" si="2"/>
        <v>6018.900000000001</v>
      </c>
      <c r="G10" s="42">
        <f t="shared" si="2"/>
        <v>1771.03155</v>
      </c>
      <c r="H10" s="2" t="s">
        <v>76</v>
      </c>
      <c r="I10" s="2"/>
      <c r="J10" s="2"/>
    </row>
    <row r="11" ht="15" customHeight="1">
      <c r="A11" s="43" t="s">
        <v>34</v>
      </c>
      <c r="B11" s="44">
        <f>_xlfn.IFERROR(B10/Inputs!B45-1,"n.a.")</f>
        <v>0.20139218478088905</v>
      </c>
      <c r="C11" s="44">
        <f>_xlfn.IFERROR(C10/Inputs!C45-1,"n.a.")</f>
        <v>0.17484945093871773</v>
      </c>
      <c r="D11" s="44">
        <f>_xlfn.IFERROR(D10/Inputs!D45-1,"n.a.")</f>
        <v>0.23301893690136732</v>
      </c>
      <c r="E11" s="44">
        <f>_xlfn.IFERROR(E10/Inputs!E45-1,"n.a.")</f>
        <v>0.17692151143070367</v>
      </c>
      <c r="F11" s="44">
        <f>_xlfn.IFERROR(F10/Inputs!F45-1,"n.a.")</f>
        <v>0.18505611340815142</v>
      </c>
      <c r="G11" s="45">
        <f t="shared" si="8" ref="G11:G467">_xlfn.IFERROR(G10/B10-1,"n.a.")</f>
        <v>0.16607291941006053</v>
      </c>
      <c r="H11" s="2"/>
      <c r="I11" s="2"/>
      <c r="J11" s="2"/>
    </row>
    <row r="12" ht="15" customHeight="1">
      <c r="A12" s="43" t="s">
        <v>77</v>
      </c>
      <c r="B12" s="44">
        <f>_xlfn.IFERROR(B10/Inputs!E45-1,"n.a.")</f>
        <v>0.030323587273590746</v>
      </c>
      <c r="C12" s="46">
        <f t="shared" si="3" ref="C12:E460">_xlfn.IFERROR(C10/B10-1,"n.a.")</f>
        <v>0.0918488280221228</v>
      </c>
      <c r="D12" s="46">
        <f t="shared" si="3"/>
        <v>0.0169450642223965</v>
      </c>
      <c r="E12" s="46">
        <f t="shared" si="3"/>
        <v>0.0287594876660342</v>
      </c>
      <c r="F12" s="46" t="s">
        <v>78</v>
      </c>
      <c r="G12" s="45">
        <f t="shared" si="9" ref="G12:G460">_xlfn.IFERROR(G10/E10-1,"n.a.")</f>
        <v>0.02082630122773632</v>
      </c>
      <c r="H12" s="2"/>
      <c r="I12" s="2"/>
      <c r="J12" s="2"/>
    </row>
    <row r="13" ht="15" customHeight="1">
      <c r="A13" s="43" t="s">
        <v>79</v>
      </c>
      <c r="B13" s="19">
        <f t="shared" si="4" ref="B13:G13">B10/B34</f>
        <v>0.6062831823080915</v>
      </c>
      <c r="C13" s="19">
        <f t="shared" si="4"/>
        <v>0.57857093015142</v>
      </c>
      <c r="D13" s="19">
        <f t="shared" si="4"/>
        <v>0.6086328858091525</v>
      </c>
      <c r="E13" s="19">
        <f t="shared" si="4"/>
        <v>0.5998340421118141</v>
      </c>
      <c r="F13" s="19">
        <f t="shared" si="4"/>
        <v>0.5980208053891323</v>
      </c>
      <c r="G13" s="47">
        <f t="shared" si="4"/>
        <v>0.6018895153767797</v>
      </c>
      <c r="H13" s="2"/>
      <c r="I13" s="2"/>
      <c r="J13" s="2"/>
    </row>
    <row r="14" ht="15" customHeight="1">
      <c r="A14" s="43" t="s">
        <v>80</v>
      </c>
      <c r="B14" s="48">
        <v>0</v>
      </c>
      <c r="C14" s="48">
        <v>0</v>
      </c>
      <c r="D14" s="19" t="s">
        <v>81</v>
      </c>
      <c r="E14" s="19" t="s">
        <v>81</v>
      </c>
      <c r="F14" s="48">
        <v>0</v>
      </c>
      <c r="G14" s="47" t="s">
        <v>81</v>
      </c>
      <c r="H14" s="2"/>
      <c r="I14" s="2"/>
      <c r="J14" s="2"/>
    </row>
    <row r="15" ht="15" customHeight="1">
      <c r="A15" s="43" t="s">
        <v>82</v>
      </c>
      <c r="B15" s="19" t="s">
        <v>81</v>
      </c>
      <c r="C15" s="19" t="s">
        <v>81</v>
      </c>
      <c r="D15" s="19" t="s">
        <v>81</v>
      </c>
      <c r="E15" s="19" t="s">
        <v>81</v>
      </c>
      <c r="F15" s="19" t="s">
        <v>81</v>
      </c>
      <c r="G15" s="47" t="s">
        <v>81</v>
      </c>
      <c r="H15" s="2"/>
      <c r="I15" s="2"/>
      <c r="J15" s="2"/>
    </row>
    <row r="16" ht="15" customHeight="1">
      <c r="A16" s="43" t="s">
        <v>83</v>
      </c>
      <c r="B16" s="46" t="str">
        <f t="shared" si="5" ref="B16:G464">IF(AND(ISNUMBER(B14),ISNUMBER(B15),ISNUMBER(B11)),(1+B11)/((1+B14)*(1+B15))-1,"n.d.")</f>
        <v>n.d.</v>
      </c>
      <c r="C16" s="46" t="str">
        <f t="shared" si="5"/>
        <v>n.d.</v>
      </c>
      <c r="D16" s="46" t="str">
        <f t="shared" si="5"/>
        <v>n.d.</v>
      </c>
      <c r="E16" s="46" t="str">
        <f t="shared" si="5"/>
        <v>n.d.</v>
      </c>
      <c r="F16" s="46" t="str">
        <f t="shared" si="5"/>
        <v>n.d.</v>
      </c>
      <c r="G16" s="45" t="str">
        <f t="shared" si="5"/>
        <v>n.d.</v>
      </c>
      <c r="H16" s="2"/>
      <c r="I16" s="2"/>
      <c r="J16" s="2"/>
    </row>
    <row r="17" ht="15" customHeight="1">
      <c r="A17" s="43" t="s">
        <v>84</v>
      </c>
      <c r="B17" s="46">
        <f t="shared" si="6" ref="B17:G465">B11</f>
        <v>0.20139218478088905</v>
      </c>
      <c r="C17" s="46">
        <f t="shared" si="6"/>
        <v>0.17484945093871773</v>
      </c>
      <c r="D17" s="46">
        <f t="shared" si="6"/>
        <v>0.23301893690136732</v>
      </c>
      <c r="E17" s="46">
        <f t="shared" si="6"/>
        <v>0.17692151143070367</v>
      </c>
      <c r="F17" s="46">
        <f t="shared" si="6"/>
        <v>0.18505611340815142</v>
      </c>
      <c r="G17" s="45">
        <f t="shared" si="6"/>
        <v>0.16607291941006053</v>
      </c>
      <c r="H17" s="2"/>
      <c r="I17" s="2"/>
      <c r="J17" s="2"/>
    </row>
    <row r="18" ht="15" customHeight="1">
      <c r="A18" s="2" t="s">
        <v>85</v>
      </c>
      <c r="B18" s="18">
        <f t="shared" si="7" ref="B18:G18">B413</f>
        <v>590.4</v>
      </c>
      <c r="C18" s="18">
        <f t="shared" si="7"/>
        <v>785.9</v>
      </c>
      <c r="D18" s="18">
        <f t="shared" si="7"/>
        <v>650.7</v>
      </c>
      <c r="E18" s="18">
        <f t="shared" si="7"/>
        <v>685</v>
      </c>
      <c r="F18" s="18">
        <f t="shared" si="7"/>
        <v>2473.7000000000003</v>
      </c>
      <c r="G18" s="42">
        <f t="shared" si="7"/>
        <v>692.2568000000001</v>
      </c>
      <c r="H18" s="2" t="s">
        <v>76</v>
      </c>
      <c r="I18" s="2"/>
      <c r="J18" s="2"/>
    </row>
    <row r="19" ht="15" customHeight="1">
      <c r="A19" s="43" t="s">
        <v>34</v>
      </c>
      <c r="B19" s="44">
        <f>_xlfn.IFERROR(B18/Inputs!B50-1,"n.a.")</f>
        <v>0.32674157303370777</v>
      </c>
      <c r="C19" s="44">
        <f>_xlfn.IFERROR(C18/Inputs!C50-1,"n.a.")</f>
        <v>0.20058050717995712</v>
      </c>
      <c r="D19" s="44">
        <f>_xlfn.IFERROR(D18/Inputs!D50-1,"n.a.")</f>
        <v>0.24488234168739242</v>
      </c>
      <c r="E19" s="44">
        <f>_xlfn.IFERROR(E18/Inputs!E50-1,"n.a.")</f>
        <v>0.19192622237689227</v>
      </c>
      <c r="F19" s="44">
        <f>_xlfn.IFERROR(F18/Inputs!F50-1,"n.a.")</f>
        <v>0.25824008138351995</v>
      </c>
      <c r="G19" s="45">
        <f t="shared" si="8"/>
        <v>0.17252168021680236</v>
      </c>
      <c r="H19" s="2"/>
      <c r="I19" s="2"/>
      <c r="J19" s="2"/>
    </row>
    <row r="20" ht="15" customHeight="1">
      <c r="A20" s="43" t="s">
        <v>77</v>
      </c>
      <c r="B20" s="44">
        <f>_xlfn.IFERROR(B18/Inputs!E50-1,"n.a.")</f>
        <v>0.02731860100922212</v>
      </c>
      <c r="C20" s="46">
        <f t="shared" si="3"/>
        <v>0.33113143631436315</v>
      </c>
      <c r="D20" s="46">
        <f t="shared" si="3"/>
        <v>-0.17203206514823766</v>
      </c>
      <c r="E20" s="46">
        <f t="shared" si="3"/>
        <v>0.05271246350084513</v>
      </c>
      <c r="F20" s="46" t="s">
        <v>78</v>
      </c>
      <c r="G20" s="45">
        <f t="shared" si="9"/>
        <v>0.010593868613138824</v>
      </c>
      <c r="H20" s="2"/>
      <c r="I20" s="2"/>
      <c r="J20" s="2"/>
    </row>
    <row r="21" ht="15" customHeight="1">
      <c r="A21" s="43" t="s">
        <v>79</v>
      </c>
      <c r="B21" s="19">
        <f t="shared" si="10" ref="B21:G21">B18/B34</f>
        <v>0.23567921440261866</v>
      </c>
      <c r="C21" s="19">
        <f t="shared" si="10"/>
        <v>0.2741957993161678</v>
      </c>
      <c r="D21" s="19">
        <f t="shared" si="10"/>
        <v>0.2348419229103508</v>
      </c>
      <c r="E21" s="19">
        <f t="shared" si="10"/>
        <v>0.236835736265256</v>
      </c>
      <c r="F21" s="19">
        <f t="shared" si="10"/>
        <v>0.24577980466382507</v>
      </c>
      <c r="G21" s="47">
        <f t="shared" si="10"/>
        <v>0.23526521019248947</v>
      </c>
      <c r="H21" s="2"/>
      <c r="I21" s="2"/>
      <c r="J21" s="2"/>
    </row>
    <row r="22" ht="15" customHeight="1">
      <c r="A22" s="43" t="s">
        <v>80</v>
      </c>
      <c r="B22" s="48">
        <v>0</v>
      </c>
      <c r="C22" s="48">
        <v>0</v>
      </c>
      <c r="D22" s="19" t="s">
        <v>81</v>
      </c>
      <c r="E22" s="19" t="s">
        <v>81</v>
      </c>
      <c r="F22" s="48">
        <v>0</v>
      </c>
      <c r="G22" s="47" t="s">
        <v>81</v>
      </c>
      <c r="H22" s="2"/>
      <c r="I22" s="2"/>
      <c r="J22" s="2"/>
    </row>
    <row r="23" ht="15" customHeight="1">
      <c r="A23" s="43" t="s">
        <v>82</v>
      </c>
      <c r="B23" s="19" t="s">
        <v>81</v>
      </c>
      <c r="C23" s="19" t="s">
        <v>81</v>
      </c>
      <c r="D23" s="19" t="s">
        <v>81</v>
      </c>
      <c r="E23" s="19" t="s">
        <v>81</v>
      </c>
      <c r="F23" s="19" t="s">
        <v>81</v>
      </c>
      <c r="G23" s="47" t="s">
        <v>81</v>
      </c>
      <c r="H23" s="2"/>
      <c r="I23" s="2"/>
      <c r="J23" s="2"/>
    </row>
    <row r="24" ht="15" customHeight="1">
      <c r="A24" s="43" t="s">
        <v>83</v>
      </c>
      <c r="B24" s="46" t="str">
        <f t="shared" si="5"/>
        <v>n.d.</v>
      </c>
      <c r="C24" s="46" t="str">
        <f t="shared" si="5"/>
        <v>n.d.</v>
      </c>
      <c r="D24" s="46" t="str">
        <f t="shared" si="5"/>
        <v>n.d.</v>
      </c>
      <c r="E24" s="46" t="str">
        <f t="shared" si="5"/>
        <v>n.d.</v>
      </c>
      <c r="F24" s="46" t="str">
        <f t="shared" si="5"/>
        <v>n.d.</v>
      </c>
      <c r="G24" s="45" t="str">
        <f t="shared" si="5"/>
        <v>n.d.</v>
      </c>
      <c r="H24" s="2"/>
      <c r="I24" s="2"/>
      <c r="J24" s="2"/>
    </row>
    <row r="25" ht="15" customHeight="1">
      <c r="A25" s="43" t="s">
        <v>84</v>
      </c>
      <c r="B25" s="46">
        <f t="shared" si="6"/>
        <v>0.32674157303370777</v>
      </c>
      <c r="C25" s="46">
        <f t="shared" si="6"/>
        <v>0.20058050717995712</v>
      </c>
      <c r="D25" s="46">
        <f t="shared" si="6"/>
        <v>0.24488234168739242</v>
      </c>
      <c r="E25" s="46">
        <f t="shared" si="6"/>
        <v>0.19192622237689227</v>
      </c>
      <c r="F25" s="46">
        <f t="shared" si="6"/>
        <v>0.25824008138351995</v>
      </c>
      <c r="G25" s="45">
        <f t="shared" si="6"/>
        <v>0.17252168021680236</v>
      </c>
      <c r="H25" s="2"/>
      <c r="I25" s="2"/>
      <c r="J25" s="2"/>
    </row>
    <row r="26" ht="15" customHeight="1">
      <c r="A26" s="2" t="s">
        <v>86</v>
      </c>
      <c r="B26" s="18">
        <f t="shared" si="11" ref="B26:G26">B466</f>
        <v>395.9</v>
      </c>
      <c r="C26" s="18">
        <f t="shared" si="11"/>
        <v>422</v>
      </c>
      <c r="D26" s="18">
        <f t="shared" si="11"/>
        <v>433.7</v>
      </c>
      <c r="E26" s="18">
        <f t="shared" si="11"/>
        <v>472.4</v>
      </c>
      <c r="F26" s="18">
        <f t="shared" si="11"/>
        <v>1572.1</v>
      </c>
      <c r="G26" s="42">
        <f t="shared" si="11"/>
        <v>479.16455</v>
      </c>
      <c r="H26" s="2" t="s">
        <v>76</v>
      </c>
      <c r="I26" s="2"/>
      <c r="J26" s="2"/>
    </row>
    <row r="27" ht="15" customHeight="1">
      <c r="A27" s="43" t="s">
        <v>34</v>
      </c>
      <c r="B27" s="44">
        <f>_xlfn.IFERROR(B26/Inputs!B56-1,"n.a.")</f>
        <v>0.20370933414411674</v>
      </c>
      <c r="C27" s="44">
        <f>_xlfn.IFERROR(C26/Inputs!C56-1,"n.a.")</f>
        <v>0.21473805411629243</v>
      </c>
      <c r="D27" s="44">
        <f>_xlfn.IFERROR(D26/Inputs!D56-1,"n.a.")</f>
        <v>0.19476584022038557</v>
      </c>
      <c r="E27" s="44">
        <f>_xlfn.IFERROR(E26/Inputs!E56-1,"n.a.")</f>
        <v>0.20756646216768915</v>
      </c>
      <c r="F27" s="44">
        <f>_xlfn.IFERROR(F26/Inputs!F56-1,"n.a.")</f>
        <v>0.20273888761380165</v>
      </c>
      <c r="G27" s="45">
        <f t="shared" si="8"/>
        <v>0.21031712553675175</v>
      </c>
      <c r="H27" s="2"/>
      <c r="I27" s="2"/>
      <c r="J27" s="2"/>
    </row>
    <row r="28" ht="15" customHeight="1">
      <c r="A28" s="43" t="s">
        <v>77</v>
      </c>
      <c r="B28" s="44">
        <f>_xlfn.IFERROR(B26/Inputs!E56-1,"n.a.")</f>
        <v>0.012014314928425307</v>
      </c>
      <c r="C28" s="46">
        <f t="shared" si="3"/>
        <v>0.06592573882293506</v>
      </c>
      <c r="D28" s="46">
        <f t="shared" si="3"/>
        <v>0.027725118483412192</v>
      </c>
      <c r="E28" s="46">
        <f t="shared" si="3"/>
        <v>0.08923218814848966</v>
      </c>
      <c r="F28" s="46" t="s">
        <v>78</v>
      </c>
      <c r="G28" s="45">
        <f t="shared" si="9"/>
        <v>0.014319538526672337</v>
      </c>
      <c r="H28" s="2"/>
      <c r="I28" s="2"/>
      <c r="J28" s="2"/>
    </row>
    <row r="29" ht="15" customHeight="1">
      <c r="A29" s="43" t="s">
        <v>79</v>
      </c>
      <c r="B29" s="19">
        <f t="shared" si="12" ref="B29:G29">B26/B34</f>
        <v>0.15803760328928984</v>
      </c>
      <c r="C29" s="19">
        <f t="shared" si="12"/>
        <v>0.14723327053241225</v>
      </c>
      <c r="D29" s="19">
        <f t="shared" si="12"/>
        <v>0.1565251912804966</v>
      </c>
      <c r="E29" s="19">
        <f t="shared" si="12"/>
        <v>0.16333022162292982</v>
      </c>
      <c r="F29" s="19">
        <f t="shared" si="12"/>
        <v>0.1561993899470426</v>
      </c>
      <c r="G29" s="47">
        <f t="shared" si="12"/>
        <v>0.16284527443073094</v>
      </c>
      <c r="H29" s="2"/>
      <c r="I29" s="2"/>
      <c r="J29" s="2"/>
    </row>
    <row r="30" ht="15" customHeight="1">
      <c r="A30" s="43" t="s">
        <v>80</v>
      </c>
      <c r="B30" s="48">
        <v>0</v>
      </c>
      <c r="C30" s="48">
        <v>0</v>
      </c>
      <c r="D30" s="19" t="s">
        <v>81</v>
      </c>
      <c r="E30" s="19" t="s">
        <v>81</v>
      </c>
      <c r="F30" s="48">
        <v>0</v>
      </c>
      <c r="G30" s="47" t="s">
        <v>81</v>
      </c>
      <c r="H30" s="2"/>
      <c r="I30" s="2"/>
      <c r="J30" s="2"/>
    </row>
    <row r="31" ht="15" customHeight="1">
      <c r="A31" s="43" t="s">
        <v>82</v>
      </c>
      <c r="B31" s="19" t="s">
        <v>81</v>
      </c>
      <c r="C31" s="19" t="s">
        <v>81</v>
      </c>
      <c r="D31" s="19" t="s">
        <v>81</v>
      </c>
      <c r="E31" s="19" t="s">
        <v>81</v>
      </c>
      <c r="F31" s="19" t="s">
        <v>81</v>
      </c>
      <c r="G31" s="47" t="s">
        <v>81</v>
      </c>
      <c r="H31" s="2"/>
      <c r="I31" s="2"/>
      <c r="J31" s="2"/>
    </row>
    <row r="32" ht="15" customHeight="1">
      <c r="A32" s="43" t="s">
        <v>83</v>
      </c>
      <c r="B32" s="46" t="str">
        <f t="shared" si="5"/>
        <v>n.d.</v>
      </c>
      <c r="C32" s="46" t="str">
        <f t="shared" si="5"/>
        <v>n.d.</v>
      </c>
      <c r="D32" s="46" t="str">
        <f t="shared" si="5"/>
        <v>n.d.</v>
      </c>
      <c r="E32" s="46" t="str">
        <f t="shared" si="5"/>
        <v>n.d.</v>
      </c>
      <c r="F32" s="46" t="str">
        <f t="shared" si="5"/>
        <v>n.d.</v>
      </c>
      <c r="G32" s="45" t="str">
        <f t="shared" si="5"/>
        <v>n.d.</v>
      </c>
      <c r="H32" s="2"/>
      <c r="I32" s="2"/>
      <c r="J32" s="2"/>
    </row>
    <row r="33" ht="15" customHeight="1">
      <c r="A33" s="43" t="s">
        <v>84</v>
      </c>
      <c r="B33" s="46">
        <f t="shared" si="6"/>
        <v>0.20370933414411674</v>
      </c>
      <c r="C33" s="46">
        <f t="shared" si="6"/>
        <v>0.21473805411629243</v>
      </c>
      <c r="D33" s="46">
        <f t="shared" si="6"/>
        <v>0.19476584022038557</v>
      </c>
      <c r="E33" s="46">
        <f t="shared" si="6"/>
        <v>0.20756646216768915</v>
      </c>
      <c r="F33" s="46">
        <f t="shared" si="6"/>
        <v>0.20273888761380165</v>
      </c>
      <c r="G33" s="45">
        <f t="shared" si="6"/>
        <v>0.21031712553675175</v>
      </c>
      <c r="H33" s="2"/>
      <c r="I33" s="2"/>
      <c r="J33" s="2"/>
    </row>
    <row r="34" ht="15" customHeight="1">
      <c r="A34" s="28" t="s">
        <v>87</v>
      </c>
      <c r="B34" s="49">
        <f t="shared" si="13" ref="B34:G34">B10+B18+B26</f>
        <v>2505.1</v>
      </c>
      <c r="C34" s="49">
        <f t="shared" si="13"/>
        <v>2866.2</v>
      </c>
      <c r="D34" s="49">
        <f t="shared" si="13"/>
        <v>2770.8</v>
      </c>
      <c r="E34" s="49">
        <f t="shared" si="13"/>
        <v>2892.3</v>
      </c>
      <c r="F34" s="49">
        <f t="shared" si="13"/>
        <v>10064.7</v>
      </c>
      <c r="G34" s="50">
        <f t="shared" si="13"/>
        <v>2942.4528999999998</v>
      </c>
      <c r="H34" s="2" t="s">
        <v>76</v>
      </c>
      <c r="I34" s="2"/>
      <c r="J34" s="2"/>
    </row>
    <row r="35" ht="15" customHeight="1">
      <c r="A35" s="43" t="s">
        <v>34</v>
      </c>
      <c r="B35" s="44">
        <f>_xlfn.IFERROR(B34/Inputs!B60-1,"n.a.")</f>
        <v>0.22913497865659194</v>
      </c>
      <c r="C35" s="44">
        <f>_xlfn.IFERROR(C34/Inputs!C60-1,"n.a.")</f>
        <v>0.18756991920447486</v>
      </c>
      <c r="D35" s="44">
        <f>_xlfn.IFERROR(D34/Inputs!D60-1,"n.a.")</f>
        <v>0.22960859146179113</v>
      </c>
      <c r="E35" s="44">
        <f>_xlfn.IFERROR(E34/Inputs!E60-1,"n.a.")</f>
        <v>0.18536885245901646</v>
      </c>
      <c r="F35" s="44">
        <f>_xlfn.IFERROR(F34/Inputs!F60-1,"n.a.")</f>
        <v>0.20505022688904595</v>
      </c>
      <c r="G35" s="45">
        <f t="shared" si="8"/>
        <v>0.17458500658656328</v>
      </c>
      <c r="H35" s="2"/>
      <c r="I35" s="2"/>
      <c r="J35" s="2"/>
    </row>
    <row r="36" ht="15" customHeight="1">
      <c r="A36" s="43" t="s">
        <v>77</v>
      </c>
      <c r="B36" s="44">
        <f>_xlfn.IFERROR(B34/Inputs!E60-1,"n.a.")</f>
        <v>0.026680327868852327</v>
      </c>
      <c r="C36" s="46">
        <f t="shared" si="3"/>
        <v>0.14414594227775335</v>
      </c>
      <c r="D36" s="46">
        <f t="shared" si="3"/>
        <v>-0.033284488172493076</v>
      </c>
      <c r="E36" s="46">
        <f t="shared" si="3"/>
        <v>0.04385015158077099</v>
      </c>
      <c r="F36" s="46" t="s">
        <v>78</v>
      </c>
      <c r="G36" s="45">
        <f t="shared" si="9"/>
        <v>0.017340144521660772</v>
      </c>
      <c r="H36" s="2"/>
      <c r="I36" s="2"/>
      <c r="J36" s="2"/>
    </row>
    <row r="37" ht="15" customHeight="1">
      <c r="A37" s="51" t="s">
        <v>88</v>
      </c>
      <c r="B37" s="52">
        <v>2505.1</v>
      </c>
      <c r="C37" s="52">
        <v>2866.2</v>
      </c>
      <c r="D37" s="52">
        <v>2770.8</v>
      </c>
      <c r="E37" s="52">
        <v>2892.3</v>
      </c>
      <c r="F37" s="17">
        <f>Inputs!D60+Inputs!E60+B37+C37</f>
        <v>10064.7</v>
      </c>
      <c r="G37" s="42" t="s">
        <v>78</v>
      </c>
      <c r="H37" s="2" t="s">
        <v>76</v>
      </c>
      <c r="I37" s="2"/>
      <c r="J37" s="2"/>
    </row>
    <row r="38" ht="15" customHeight="1">
      <c r="A38" s="34" t="s">
        <v>89</v>
      </c>
      <c r="B38" s="18">
        <f t="shared" si="14" ref="B38:F38">ROUND(B34-B37,6)</f>
        <v>0</v>
      </c>
      <c r="C38" s="18">
        <f t="shared" si="14"/>
        <v>0</v>
      </c>
      <c r="D38" s="18">
        <f t="shared" si="14"/>
        <v>0</v>
      </c>
      <c r="E38" s="18">
        <f t="shared" si="14"/>
        <v>0</v>
      </c>
      <c r="F38" s="18">
        <f t="shared" si="14"/>
        <v>0</v>
      </c>
      <c r="G38" s="42" t="s">
        <v>78</v>
      </c>
      <c r="H38" s="2"/>
      <c r="I38" s="2"/>
      <c r="J38" s="2"/>
    </row>
    <row r="39" ht="15" customHeight="1">
      <c r="A39" s="2" t="s">
        <v>90</v>
      </c>
      <c r="B39" s="52">
        <v>3</v>
      </c>
      <c r="C39" s="18" t="s">
        <v>81</v>
      </c>
      <c r="D39" s="52">
        <v>36</v>
      </c>
      <c r="E39" s="52">
        <v>4</v>
      </c>
      <c r="F39" s="18" t="s">
        <v>81</v>
      </c>
      <c r="G39" s="53">
        <v>-5</v>
      </c>
      <c r="H39" s="2" t="s">
        <v>91</v>
      </c>
      <c r="I39" s="2"/>
      <c r="J39" s="2"/>
    </row>
    <row r="40" ht="15" customHeight="1">
      <c r="A40" s="43" t="s">
        <v>92</v>
      </c>
      <c r="B40" s="44">
        <f>IF(ISNUMBER(B39),(B34-B39)/Inputs!B60-1,"n.d.")</f>
        <v>0.22766301947892642</v>
      </c>
      <c r="C40" s="44" t="str">
        <f>IF(ISNUMBER(C39),(C34-C39)/Inputs!C60-1,"n.d.")</f>
        <v>n.d.</v>
      </c>
      <c r="D40" s="44">
        <f>IF(ISNUMBER(D39),(D34-D39)/Inputs!D60-1,"n.d.")</f>
        <v>0.21363273275938588</v>
      </c>
      <c r="E40" s="44">
        <f>IF(ISNUMBER(E39),(E34-E39)/Inputs!E60-1,"n.d.")</f>
        <v>0.1837295081967214</v>
      </c>
      <c r="F40" s="46" t="s">
        <v>81</v>
      </c>
      <c r="G40" s="45">
        <f>IF(ISNUMBER(G39),(G34-G39)/B34-1,"n.d.")</f>
        <v>0.17658093489281868</v>
      </c>
      <c r="H40" s="2"/>
      <c r="I40" s="2"/>
      <c r="J40" s="2"/>
    </row>
    <row r="41" ht="15" customHeight="1">
      <c r="A41" s="43" t="s">
        <v>80</v>
      </c>
      <c r="B41" s="48">
        <v>0</v>
      </c>
      <c r="C41" s="48">
        <v>0</v>
      </c>
      <c r="D41" s="19" t="s">
        <v>81</v>
      </c>
      <c r="E41" s="19" t="s">
        <v>81</v>
      </c>
      <c r="F41" s="48">
        <v>0</v>
      </c>
      <c r="G41" s="47" t="s">
        <v>81</v>
      </c>
      <c r="H41" s="2"/>
      <c r="I41" s="2"/>
      <c r="J41" s="2"/>
    </row>
    <row r="42" ht="15" customHeight="1">
      <c r="A42" s="43" t="s">
        <v>93</v>
      </c>
      <c r="B42" s="32">
        <f t="shared" si="15" ref="B42:G42">IF(ISNUMBER(B39),B39/(B34-B39),"n.d.")</f>
        <v>0.0011989928460093523</v>
      </c>
      <c r="C42" s="32" t="str">
        <f t="shared" si="15"/>
        <v>n.d.</v>
      </c>
      <c r="D42" s="32">
        <f t="shared" si="15"/>
        <v>0.013163668275559455</v>
      </c>
      <c r="E42" s="32">
        <f t="shared" si="15"/>
        <v>0.0013848976906831007</v>
      </c>
      <c r="F42" s="19" t="s">
        <v>81</v>
      </c>
      <c r="G42" s="47">
        <f t="shared" si="15"/>
        <v>-0.0016963799489382852</v>
      </c>
      <c r="H42" s="2"/>
      <c r="I42" s="2"/>
      <c r="J42" s="2"/>
    </row>
    <row r="43" ht="15" customHeight="1">
      <c r="A43" s="43" t="s">
        <v>83</v>
      </c>
      <c r="B43" s="46">
        <f t="shared" si="16" ref="B43:G43">IF(AND(ISNUMBER(B41),ISNUMBER(B42),ISNUMBER(B35)),(1+B35)/((1+B41)*(1+B42))-1,"n.d.")</f>
        <v>0.22766301947892642</v>
      </c>
      <c r="C43" s="46" t="str">
        <f t="shared" si="16"/>
        <v>n.d.</v>
      </c>
      <c r="D43" s="46" t="str">
        <f t="shared" si="16"/>
        <v>n.d.</v>
      </c>
      <c r="E43" s="46" t="str">
        <f t="shared" si="16"/>
        <v>n.d.</v>
      </c>
      <c r="F43" s="46" t="str">
        <f t="shared" si="16"/>
        <v>n.d.</v>
      </c>
      <c r="G43" s="45" t="str">
        <f t="shared" si="16"/>
        <v>n.d.</v>
      </c>
      <c r="H43" s="2"/>
      <c r="I43" s="2"/>
      <c r="J43" s="2"/>
    </row>
    <row r="44" ht="15" customHeight="1">
      <c r="A44" s="43" t="s">
        <v>84</v>
      </c>
      <c r="B44" s="46">
        <f t="shared" si="17" ref="B44:G44">B35</f>
        <v>0.22913497865659194</v>
      </c>
      <c r="C44" s="46">
        <f t="shared" si="17"/>
        <v>0.18756991920447486</v>
      </c>
      <c r="D44" s="46">
        <f t="shared" si="17"/>
        <v>0.22960859146179113</v>
      </c>
      <c r="E44" s="46">
        <f t="shared" si="17"/>
        <v>0.18536885245901646</v>
      </c>
      <c r="F44" s="46">
        <f t="shared" si="17"/>
        <v>0.20505022688904595</v>
      </c>
      <c r="G44" s="45">
        <f t="shared" si="17"/>
        <v>0.17458500658656328</v>
      </c>
      <c r="H44" s="2"/>
      <c r="I44" s="2"/>
      <c r="J44" s="2"/>
    </row>
    <row r="45" ht="15" customHeight="1">
      <c r="A45" s="2" t="s">
        <v>94</v>
      </c>
      <c r="B45" s="18">
        <f t="shared" si="18" ref="B45:G45">B351+B466+B420</f>
        <v>2137.7</v>
      </c>
      <c r="C45" s="18">
        <f t="shared" si="18"/>
        <v>2322.6000000000004</v>
      </c>
      <c r="D45" s="18">
        <f t="shared" si="18"/>
        <v>2370.2999999999997</v>
      </c>
      <c r="E45" s="18">
        <f t="shared" si="18"/>
        <v>2469.1000000000004</v>
      </c>
      <c r="F45" s="18">
        <f t="shared" si="18"/>
        <v>8465.3</v>
      </c>
      <c r="G45" s="42">
        <f t="shared" si="18"/>
        <v>2521.1591</v>
      </c>
      <c r="H45" s="2" t="s">
        <v>76</v>
      </c>
      <c r="I45" s="2"/>
      <c r="J45" s="2"/>
    </row>
    <row r="46" ht="15" customHeight="1">
      <c r="A46" s="43" t="s">
        <v>34</v>
      </c>
      <c r="B46" s="44">
        <f>_xlfn.IFERROR(B45/Inputs!B63-1,"n.a.")</f>
        <v>0.21398148673973538</v>
      </c>
      <c r="C46" s="44">
        <f>_xlfn.IFERROR(C45/Inputs!C63-1,"n.a.")</f>
        <v>0.19696969696969702</v>
      </c>
      <c r="D46" s="44">
        <f>_xlfn.IFERROR(D45/Inputs!D63-1,"n.a.")</f>
        <v>0.23074926008619334</v>
      </c>
      <c r="E46" s="44">
        <f>_xlfn.IFERROR(E45/Inputs!E63-1,"n.a.")</f>
        <v>0.18758116492713217</v>
      </c>
      <c r="F46" s="44">
        <f>_xlfn.IFERROR(F45/Inputs!F63-1,"n.a.")</f>
        <v>0.20240614746530672</v>
      </c>
      <c r="G46" s="45">
        <f t="shared" si="8"/>
        <v>0.1793792861486645</v>
      </c>
      <c r="H46" s="2"/>
      <c r="I46" s="2"/>
      <c r="J46" s="2"/>
    </row>
    <row r="47" ht="15" customHeight="1">
      <c r="A47" s="43" t="s">
        <v>77</v>
      </c>
      <c r="B47" s="44">
        <f>_xlfn.IFERROR(B45/Inputs!E63-1,"n.a.")</f>
        <v>0.028185272473666423</v>
      </c>
      <c r="C47" s="46">
        <f t="shared" si="3"/>
        <v>0.08649483089301602</v>
      </c>
      <c r="D47" s="46">
        <f t="shared" si="3"/>
        <v>0.020537328855592563</v>
      </c>
      <c r="E47" s="46">
        <f t="shared" si="3"/>
        <v>0.041682487448846395</v>
      </c>
      <c r="F47" s="46" t="s">
        <v>78</v>
      </c>
      <c r="G47" s="45">
        <f t="shared" si="9"/>
        <v>0.021084241221497546</v>
      </c>
      <c r="H47" s="2"/>
      <c r="I47" s="2"/>
      <c r="J47" s="2"/>
    </row>
    <row r="48" ht="15" customHeight="1">
      <c r="A48" s="43" t="s">
        <v>95</v>
      </c>
      <c r="B48" s="19">
        <f t="shared" si="19" ref="B48:G48">B45/B34</f>
        <v>0.853339188056365</v>
      </c>
      <c r="C48" s="19">
        <f t="shared" si="19"/>
        <v>0.8103412183378691</v>
      </c>
      <c r="D48" s="19">
        <f t="shared" si="19"/>
        <v>0.8554569077522736</v>
      </c>
      <c r="E48" s="19">
        <f t="shared" si="19"/>
        <v>0.8536804619161222</v>
      </c>
      <c r="F48" s="19">
        <f t="shared" si="19"/>
        <v>0.8410881596073404</v>
      </c>
      <c r="G48" s="47">
        <f t="shared" si="19"/>
        <v>0.8568222451411202</v>
      </c>
      <c r="H48" s="2"/>
      <c r="I48" s="2"/>
      <c r="J48" s="2"/>
    </row>
    <row r="49" ht="15" customHeight="1">
      <c r="A49" s="43" t="s">
        <v>80</v>
      </c>
      <c r="B49" s="48">
        <v>0</v>
      </c>
      <c r="C49" s="48">
        <v>0</v>
      </c>
      <c r="D49" s="19" t="s">
        <v>81</v>
      </c>
      <c r="E49" s="19" t="s">
        <v>81</v>
      </c>
      <c r="F49" s="48">
        <v>0</v>
      </c>
      <c r="G49" s="47" t="s">
        <v>81</v>
      </c>
      <c r="H49" s="2"/>
      <c r="I49" s="2"/>
      <c r="J49" s="2"/>
    </row>
    <row r="50" ht="15" customHeight="1">
      <c r="A50" s="43" t="s">
        <v>82</v>
      </c>
      <c r="B50" s="19" t="s">
        <v>81</v>
      </c>
      <c r="C50" s="19" t="s">
        <v>81</v>
      </c>
      <c r="D50" s="19" t="s">
        <v>81</v>
      </c>
      <c r="E50" s="19" t="s">
        <v>81</v>
      </c>
      <c r="F50" s="19" t="s">
        <v>81</v>
      </c>
      <c r="G50" s="47" t="s">
        <v>81</v>
      </c>
      <c r="H50" s="2"/>
      <c r="I50" s="2"/>
      <c r="J50" s="2"/>
    </row>
    <row r="51" ht="15" customHeight="1">
      <c r="A51" s="43" t="s">
        <v>83</v>
      </c>
      <c r="B51" s="46" t="str">
        <f t="shared" si="5"/>
        <v>n.d.</v>
      </c>
      <c r="C51" s="46" t="str">
        <f t="shared" si="5"/>
        <v>n.d.</v>
      </c>
      <c r="D51" s="46" t="str">
        <f t="shared" si="5"/>
        <v>n.d.</v>
      </c>
      <c r="E51" s="46" t="str">
        <f t="shared" si="5"/>
        <v>n.d.</v>
      </c>
      <c r="F51" s="46" t="str">
        <f t="shared" si="5"/>
        <v>n.d.</v>
      </c>
      <c r="G51" s="45" t="str">
        <f t="shared" si="5"/>
        <v>n.d.</v>
      </c>
      <c r="H51" s="2"/>
      <c r="I51" s="2"/>
      <c r="J51" s="2"/>
    </row>
    <row r="52" ht="15" customHeight="1">
      <c r="A52" s="43" t="s">
        <v>84</v>
      </c>
      <c r="B52" s="46">
        <f t="shared" si="6"/>
        <v>0.21398148673973538</v>
      </c>
      <c r="C52" s="46">
        <f t="shared" si="6"/>
        <v>0.19696969696969702</v>
      </c>
      <c r="D52" s="46">
        <f t="shared" si="6"/>
        <v>0.23074926008619334</v>
      </c>
      <c r="E52" s="46">
        <f t="shared" si="6"/>
        <v>0.18758116492713217</v>
      </c>
      <c r="F52" s="46">
        <f t="shared" si="6"/>
        <v>0.20240614746530672</v>
      </c>
      <c r="G52" s="45">
        <f t="shared" si="6"/>
        <v>0.1793792861486645</v>
      </c>
      <c r="H52" s="2"/>
      <c r="I52" s="2"/>
      <c r="J52" s="2"/>
    </row>
    <row r="53" ht="15" customHeight="1">
      <c r="A53" s="2" t="s">
        <v>96</v>
      </c>
      <c r="B53" s="18">
        <f t="shared" si="20" ref="B53:G53">B340+B405+B458</f>
        <v>131.5</v>
      </c>
      <c r="C53" s="18">
        <f t="shared" si="20"/>
        <v>136</v>
      </c>
      <c r="D53" s="18">
        <f t="shared" si="20"/>
        <v>137.9</v>
      </c>
      <c r="E53" s="18">
        <f t="shared" si="20"/>
        <v>158.29999999999998</v>
      </c>
      <c r="F53" s="18">
        <f t="shared" si="20"/>
        <v>488.4</v>
      </c>
      <c r="G53" s="42">
        <f t="shared" si="20"/>
        <v>165.1553</v>
      </c>
      <c r="H53" s="2" t="s">
        <v>76</v>
      </c>
      <c r="I53" s="2"/>
      <c r="J53" s="2"/>
    </row>
    <row r="54" ht="15" customHeight="1">
      <c r="A54" s="43" t="s">
        <v>34</v>
      </c>
      <c r="B54" s="44">
        <f>_xlfn.IFERROR(B53/Inputs!B61-1,"n.a.")</f>
        <v>0.3915343915343916</v>
      </c>
      <c r="C54" s="44">
        <f>_xlfn.IFERROR(C53/Inputs!C61-1,"n.a.")</f>
        <v>0.3089509143407123</v>
      </c>
      <c r="D54" s="44">
        <f>_xlfn.IFERROR(D53/Inputs!D61-1,"n.a.")</f>
        <v>0.2911985018726593</v>
      </c>
      <c r="E54" s="44">
        <f>_xlfn.IFERROR(E53/Inputs!E61-1,"n.a.")</f>
        <v>0.3873794916739701</v>
      </c>
      <c r="F54" s="44">
        <f>_xlfn.IFERROR(F53/Inputs!F61-1,"n.a.")</f>
        <v>0.31184528605962947</v>
      </c>
      <c r="G54" s="45">
        <f t="shared" si="8"/>
        <v>0.25593384030418265</v>
      </c>
      <c r="H54" s="2"/>
      <c r="I54" s="2"/>
      <c r="J54" s="2"/>
    </row>
    <row r="55" ht="15" customHeight="1">
      <c r="A55" s="43" t="s">
        <v>77</v>
      </c>
      <c r="B55" s="44">
        <f>_xlfn.IFERROR(B53/Inputs!E61-1,"n.a.")</f>
        <v>0.1524978089395268</v>
      </c>
      <c r="C55" s="46">
        <f t="shared" si="3"/>
        <v>0.034220532319391594</v>
      </c>
      <c r="D55" s="46">
        <f t="shared" si="3"/>
        <v>0.013970588235294068</v>
      </c>
      <c r="E55" s="46">
        <f t="shared" si="3"/>
        <v>0.1479332849891224</v>
      </c>
      <c r="F55" s="46" t="s">
        <v>78</v>
      </c>
      <c r="G55" s="45">
        <f t="shared" si="9"/>
        <v>0.04330574857864833</v>
      </c>
      <c r="H55" s="2"/>
      <c r="I55" s="2"/>
      <c r="J55" s="2"/>
    </row>
    <row r="56" ht="15" customHeight="1">
      <c r="A56" s="43" t="s">
        <v>79</v>
      </c>
      <c r="B56" s="19">
        <f t="shared" si="21" ref="B56:G56">B53/B34</f>
        <v>0.0524929144545128</v>
      </c>
      <c r="C56" s="19">
        <f t="shared" si="21"/>
        <v>0.04744958481613286</v>
      </c>
      <c r="D56" s="19">
        <f t="shared" si="21"/>
        <v>0.049769019777681535</v>
      </c>
      <c r="E56" s="19">
        <f t="shared" si="21"/>
        <v>0.054731528541299306</v>
      </c>
      <c r="F56" s="19">
        <f t="shared" si="21"/>
        <v>0.04852603654356314</v>
      </c>
      <c r="G56" s="47">
        <f t="shared" si="21"/>
        <v>0.05612844304151819</v>
      </c>
      <c r="H56" s="2"/>
      <c r="I56" s="2"/>
      <c r="J56" s="2"/>
    </row>
    <row r="57" ht="15" customHeight="1">
      <c r="A57" s="43" t="s">
        <v>80</v>
      </c>
      <c r="B57" s="48">
        <v>0</v>
      </c>
      <c r="C57" s="48">
        <v>0</v>
      </c>
      <c r="D57" s="19" t="s">
        <v>81</v>
      </c>
      <c r="E57" s="19" t="s">
        <v>81</v>
      </c>
      <c r="F57" s="48">
        <v>0</v>
      </c>
      <c r="G57" s="47" t="s">
        <v>81</v>
      </c>
      <c r="H57" s="2"/>
      <c r="I57" s="2"/>
      <c r="J57" s="2"/>
    </row>
    <row r="58" ht="15" customHeight="1">
      <c r="A58" s="43" t="s">
        <v>82</v>
      </c>
      <c r="B58" s="19" t="s">
        <v>81</v>
      </c>
      <c r="C58" s="19" t="s">
        <v>81</v>
      </c>
      <c r="D58" s="19" t="s">
        <v>81</v>
      </c>
      <c r="E58" s="19" t="s">
        <v>81</v>
      </c>
      <c r="F58" s="19" t="s">
        <v>81</v>
      </c>
      <c r="G58" s="47" t="s">
        <v>81</v>
      </c>
      <c r="H58" s="2"/>
      <c r="I58" s="2"/>
      <c r="J58" s="2"/>
    </row>
    <row r="59" ht="15" customHeight="1">
      <c r="A59" s="43" t="s">
        <v>83</v>
      </c>
      <c r="B59" s="46" t="str">
        <f t="shared" si="5"/>
        <v>n.d.</v>
      </c>
      <c r="C59" s="46" t="str">
        <f t="shared" si="5"/>
        <v>n.d.</v>
      </c>
      <c r="D59" s="46" t="str">
        <f t="shared" si="5"/>
        <v>n.d.</v>
      </c>
      <c r="E59" s="46" t="str">
        <f t="shared" si="5"/>
        <v>n.d.</v>
      </c>
      <c r="F59" s="46" t="str">
        <f t="shared" si="5"/>
        <v>n.d.</v>
      </c>
      <c r="G59" s="45" t="str">
        <f t="shared" si="5"/>
        <v>n.d.</v>
      </c>
      <c r="H59" s="2"/>
      <c r="I59" s="2"/>
      <c r="J59" s="2"/>
    </row>
    <row r="60" ht="15" customHeight="1">
      <c r="A60" s="43" t="s">
        <v>84</v>
      </c>
      <c r="B60" s="46">
        <f t="shared" si="6"/>
        <v>0.3915343915343916</v>
      </c>
      <c r="C60" s="46">
        <f t="shared" si="6"/>
        <v>0.3089509143407123</v>
      </c>
      <c r="D60" s="46">
        <f t="shared" si="6"/>
        <v>0.2911985018726593</v>
      </c>
      <c r="E60" s="46">
        <f t="shared" si="6"/>
        <v>0.3873794916739701</v>
      </c>
      <c r="F60" s="46">
        <f t="shared" si="6"/>
        <v>0.31184528605962947</v>
      </c>
      <c r="G60" s="45">
        <f t="shared" si="6"/>
        <v>0.25593384030418265</v>
      </c>
      <c r="H60" s="2"/>
      <c r="I60" s="2"/>
      <c r="J60" s="2"/>
    </row>
    <row r="61" ht="15" customHeight="1">
      <c r="A61" s="2" t="s">
        <v>97</v>
      </c>
      <c r="B61" s="18">
        <f t="shared" si="22" ref="B61:G61">B34-B53</f>
        <v>2373.6</v>
      </c>
      <c r="C61" s="18">
        <f t="shared" si="22"/>
        <v>2730.2</v>
      </c>
      <c r="D61" s="18">
        <f t="shared" si="22"/>
        <v>2632.9</v>
      </c>
      <c r="E61" s="18">
        <f t="shared" si="22"/>
        <v>2734</v>
      </c>
      <c r="F61" s="18">
        <f t="shared" si="22"/>
        <v>9576.300000000001</v>
      </c>
      <c r="G61" s="42">
        <f t="shared" si="22"/>
        <v>2777.2976</v>
      </c>
      <c r="H61" s="2"/>
      <c r="I61" s="2"/>
      <c r="J61" s="2"/>
    </row>
    <row r="62" ht="15" customHeight="1">
      <c r="A62" s="43" t="s">
        <v>34</v>
      </c>
      <c r="B62" s="44">
        <f>_xlfn.IFERROR(B61/Inputs!B62-1,"n.a.")</f>
        <v>0.22123893805309724</v>
      </c>
      <c r="C62" s="44">
        <f>_xlfn.IFERROR(C61/Inputs!C62-1,"n.a.")</f>
        <v>0.18210945618288887</v>
      </c>
      <c r="D62" s="44">
        <f>_xlfn.IFERROR(D61/Inputs!D62-1,"n.a.")</f>
        <v>0.22654430261809377</v>
      </c>
      <c r="E62" s="44">
        <f>_xlfn.IFERROR(E61/Inputs!E62-1,"n.a.")</f>
        <v>0.17545896212218914</v>
      </c>
      <c r="F62" s="44">
        <f>_xlfn.IFERROR(F61/Inputs!F62-1,"n.a.")</f>
        <v>0.20006767086894417</v>
      </c>
      <c r="G62" s="45">
        <f t="shared" si="8"/>
        <v>0.17007819346140884</v>
      </c>
      <c r="H62" s="2"/>
      <c r="I62" s="2"/>
      <c r="J62" s="2"/>
    </row>
    <row r="63" ht="15" customHeight="1">
      <c r="A63" s="43" t="s">
        <v>77</v>
      </c>
      <c r="B63" s="44">
        <f>_xlfn.IFERROR(B61/Inputs!E62-1,"n.a.")</f>
        <v>0.020508190377918067</v>
      </c>
      <c r="C63" s="46">
        <f t="shared" si="3"/>
        <v>0.15023592854735424</v>
      </c>
      <c r="D63" s="46">
        <f t="shared" si="3"/>
        <v>-0.035638414768148774</v>
      </c>
      <c r="E63" s="46">
        <f t="shared" si="3"/>
        <v>0.03839872384063203</v>
      </c>
      <c r="F63" s="46" t="s">
        <v>78</v>
      </c>
      <c r="G63" s="45">
        <f t="shared" si="9"/>
        <v>0.015836722750548704</v>
      </c>
      <c r="H63" s="2"/>
      <c r="I63" s="2"/>
      <c r="J63" s="2"/>
    </row>
    <row r="64" ht="15" customHeight="1">
      <c r="A64" s="43" t="s">
        <v>79</v>
      </c>
      <c r="B64" s="19">
        <f t="shared" si="23" ref="B64:G64">B61/B34</f>
        <v>0.9475070855454872</v>
      </c>
      <c r="C64" s="19">
        <f t="shared" si="23"/>
        <v>0.9525504151838672</v>
      </c>
      <c r="D64" s="19">
        <f t="shared" si="23"/>
        <v>0.9502309802223184</v>
      </c>
      <c r="E64" s="19">
        <f t="shared" si="23"/>
        <v>0.9452684714587006</v>
      </c>
      <c r="F64" s="19">
        <f t="shared" si="23"/>
        <v>0.9514739634564369</v>
      </c>
      <c r="G64" s="47">
        <f t="shared" si="23"/>
        <v>0.9438715569584818</v>
      </c>
      <c r="H64" s="2"/>
      <c r="I64" s="2"/>
      <c r="J64" s="2"/>
    </row>
    <row r="65" ht="15" customHeight="1">
      <c r="A65" s="43" t="s">
        <v>80</v>
      </c>
      <c r="B65" s="48">
        <v>0</v>
      </c>
      <c r="C65" s="48">
        <v>0</v>
      </c>
      <c r="D65" s="19" t="s">
        <v>81</v>
      </c>
      <c r="E65" s="19" t="s">
        <v>81</v>
      </c>
      <c r="F65" s="48">
        <v>0</v>
      </c>
      <c r="G65" s="47" t="s">
        <v>81</v>
      </c>
      <c r="H65" s="2"/>
      <c r="I65" s="2"/>
      <c r="J65" s="2"/>
    </row>
    <row r="66" ht="15" customHeight="1">
      <c r="A66" s="43" t="s">
        <v>82</v>
      </c>
      <c r="B66" s="19" t="s">
        <v>81</v>
      </c>
      <c r="C66" s="19" t="s">
        <v>81</v>
      </c>
      <c r="D66" s="19" t="s">
        <v>81</v>
      </c>
      <c r="E66" s="19" t="s">
        <v>81</v>
      </c>
      <c r="F66" s="19" t="s">
        <v>81</v>
      </c>
      <c r="G66" s="47" t="s">
        <v>81</v>
      </c>
      <c r="H66" s="2"/>
      <c r="I66" s="2"/>
      <c r="J66" s="2"/>
    </row>
    <row r="67" ht="15" customHeight="1">
      <c r="A67" s="43" t="s">
        <v>83</v>
      </c>
      <c r="B67" s="46" t="str">
        <f t="shared" si="5"/>
        <v>n.d.</v>
      </c>
      <c r="C67" s="46" t="str">
        <f t="shared" si="5"/>
        <v>n.d.</v>
      </c>
      <c r="D67" s="46" t="str">
        <f t="shared" si="5"/>
        <v>n.d.</v>
      </c>
      <c r="E67" s="46" t="str">
        <f t="shared" si="5"/>
        <v>n.d.</v>
      </c>
      <c r="F67" s="46" t="str">
        <f t="shared" si="5"/>
        <v>n.d.</v>
      </c>
      <c r="G67" s="45" t="str">
        <f t="shared" si="5"/>
        <v>n.d.</v>
      </c>
      <c r="H67" s="2"/>
      <c r="I67" s="2"/>
      <c r="J67" s="2"/>
    </row>
    <row r="68" ht="15" customHeight="1">
      <c r="A68" s="43" t="s">
        <v>84</v>
      </c>
      <c r="B68" s="46">
        <f t="shared" si="6"/>
        <v>0.22123893805309724</v>
      </c>
      <c r="C68" s="46">
        <f t="shared" si="6"/>
        <v>0.18210945618288887</v>
      </c>
      <c r="D68" s="46">
        <f t="shared" si="6"/>
        <v>0.22654430261809377</v>
      </c>
      <c r="E68" s="46">
        <f t="shared" si="6"/>
        <v>0.17545896212218914</v>
      </c>
      <c r="F68" s="46">
        <f t="shared" si="6"/>
        <v>0.20006767086894417</v>
      </c>
      <c r="G68" s="45">
        <f t="shared" si="6"/>
        <v>0.17007819346140884</v>
      </c>
      <c r="H68" s="2"/>
      <c r="I68" s="2"/>
      <c r="J68" s="2"/>
    </row>
    <row r="69" ht="15" customHeight="1">
      <c r="A69" s="2"/>
      <c r="B69" s="2"/>
      <c r="C69" s="2"/>
      <c r="D69" s="2"/>
      <c r="E69" s="2"/>
      <c r="F69" s="2"/>
      <c r="G69" s="40"/>
      <c r="H69" s="2"/>
      <c r="I69" s="2"/>
      <c r="J69" s="2"/>
    </row>
    <row r="70" ht="15" customHeight="1">
      <c r="A70" s="30" t="s">
        <v>98</v>
      </c>
      <c r="B70" s="30"/>
      <c r="C70" s="30"/>
      <c r="D70" s="30"/>
      <c r="E70" s="30"/>
      <c r="F70" s="30"/>
      <c r="G70" s="41"/>
      <c r="H70" s="30"/>
      <c r="I70" s="2"/>
      <c r="J70" s="2"/>
    </row>
    <row r="71" ht="15" customHeight="1">
      <c r="A71" s="2" t="s">
        <v>99</v>
      </c>
      <c r="B71" s="52">
        <v>507</v>
      </c>
      <c r="C71" s="52">
        <v>545</v>
      </c>
      <c r="D71" s="52">
        <v>528</v>
      </c>
      <c r="E71" s="52">
        <v>552</v>
      </c>
      <c r="F71" s="17">
        <f>Inputs!D9+Inputs!E9+B71+C71</f>
        <v>2012</v>
      </c>
      <c r="G71" s="42">
        <f t="shared" si="25" ref="G71:G85">B71*(1+G72)</f>
        <v>560.235</v>
      </c>
      <c r="H71" s="2" t="s">
        <v>76</v>
      </c>
      <c r="I71" s="2"/>
      <c r="J71" s="2"/>
    </row>
    <row r="72" ht="15" customHeight="1">
      <c r="A72" s="43" t="s">
        <v>100</v>
      </c>
      <c r="B72" s="44">
        <f>_xlfn.IFERROR(B71/Inputs!B9-1,"n.a.")</f>
        <v>0.15753424657534243</v>
      </c>
      <c r="C72" s="44">
        <f>_xlfn.IFERROR(C71/Inputs!C9-1,"n.a.")</f>
        <v>0.14978902953586504</v>
      </c>
      <c r="D72" s="44">
        <f>_xlfn.IFERROR(D71/Inputs!D9-1,"n.a.")</f>
        <v>0.13548387096774195</v>
      </c>
      <c r="E72" s="44">
        <f>_xlfn.IFERROR(E71/Inputs!E9-1,"n.a.")</f>
        <v>0.11515151515151523</v>
      </c>
      <c r="F72" s="44">
        <f>_xlfn.IFERROR(F71/Inputs!F9-1,"n.a.")</f>
        <v>0.14513375071143986</v>
      </c>
      <c r="G72" s="54">
        <v>0.105</v>
      </c>
      <c r="H72" s="2"/>
      <c r="I72" s="2"/>
      <c r="J72" s="2"/>
    </row>
    <row r="73" ht="15" customHeight="1">
      <c r="A73" s="51" t="s">
        <v>101</v>
      </c>
      <c r="B73" s="55">
        <f>_xlfn.IFERROR(B71-Inputs!E9,"n.a.")</f>
        <v>12</v>
      </c>
      <c r="C73" s="56">
        <f t="shared" si="24" ref="C73:E468">_xlfn.IFERROR(C71-B71,"n.a.")</f>
        <v>38</v>
      </c>
      <c r="D73" s="56">
        <f t="shared" si="24"/>
        <v>-17</v>
      </c>
      <c r="E73" s="56">
        <f t="shared" si="24"/>
        <v>24</v>
      </c>
      <c r="F73" s="56" t="s">
        <v>78</v>
      </c>
      <c r="G73" s="57">
        <f t="shared" si="26" ref="G73:G468">_xlfn.IFERROR(G71-E71,"n.a.")</f>
        <v>8.235000000000014</v>
      </c>
      <c r="H73" s="2"/>
      <c r="I73" s="2"/>
      <c r="J73" s="2"/>
    </row>
    <row r="74" ht="15" customHeight="1">
      <c r="A74" s="2" t="s">
        <v>102</v>
      </c>
      <c r="B74" s="52">
        <v>290</v>
      </c>
      <c r="C74" s="52">
        <v>304</v>
      </c>
      <c r="D74" s="52">
        <v>319</v>
      </c>
      <c r="E74" s="52">
        <v>337</v>
      </c>
      <c r="F74" s="17">
        <f>Inputs!D10+Inputs!E10+B74+C74</f>
        <v>1141</v>
      </c>
      <c r="G74" s="42">
        <f t="shared" si="25"/>
        <v>345.09999999999997</v>
      </c>
      <c r="H74" s="2" t="s">
        <v>76</v>
      </c>
      <c r="I74" s="2"/>
      <c r="J74" s="2"/>
    </row>
    <row r="75" ht="15" customHeight="1">
      <c r="A75" s="43" t="s">
        <v>100</v>
      </c>
      <c r="B75" s="44">
        <f>_xlfn.IFERROR(B74/Inputs!B10-1,"n.a.")</f>
        <v>0.25</v>
      </c>
      <c r="C75" s="44">
        <f>_xlfn.IFERROR(C74/Inputs!C10-1,"n.a.")</f>
        <v>0.2111553784860558</v>
      </c>
      <c r="D75" s="44">
        <f>_xlfn.IFERROR(D74/Inputs!D10-1,"n.a.")</f>
        <v>0.19475655430711614</v>
      </c>
      <c r="E75" s="44">
        <f>_xlfn.IFERROR(E74/Inputs!E10-1,"n.a.")</f>
        <v>0.20357142857142851</v>
      </c>
      <c r="F75" s="44">
        <f>_xlfn.IFERROR(F74/Inputs!F10-1,"n.a.")</f>
        <v>0.2321814254859611</v>
      </c>
      <c r="G75" s="54">
        <v>0.19</v>
      </c>
      <c r="H75" s="2"/>
      <c r="I75" s="2"/>
      <c r="J75" s="2"/>
    </row>
    <row r="76" ht="15" customHeight="1">
      <c r="A76" s="51" t="s">
        <v>101</v>
      </c>
      <c r="B76" s="55">
        <f>_xlfn.IFERROR(B74-Inputs!E10,"n.a.")</f>
        <v>10</v>
      </c>
      <c r="C76" s="56">
        <f t="shared" si="24"/>
        <v>14</v>
      </c>
      <c r="D76" s="56">
        <f t="shared" si="24"/>
        <v>15</v>
      </c>
      <c r="E76" s="56">
        <f t="shared" si="24"/>
        <v>18</v>
      </c>
      <c r="F76" s="56" t="s">
        <v>78</v>
      </c>
      <c r="G76" s="57">
        <f t="shared" si="26"/>
        <v>8.099999999999966</v>
      </c>
      <c r="H76" s="2"/>
      <c r="I76" s="2"/>
      <c r="J76" s="2"/>
    </row>
    <row r="77" ht="15" customHeight="1">
      <c r="A77" s="28" t="s">
        <v>103</v>
      </c>
      <c r="B77" s="49">
        <f t="shared" si="27" ref="B77:G143">B71+B74</f>
        <v>797</v>
      </c>
      <c r="C77" s="49">
        <f t="shared" si="27"/>
        <v>849</v>
      </c>
      <c r="D77" s="49">
        <f t="shared" si="27"/>
        <v>847</v>
      </c>
      <c r="E77" s="49">
        <f t="shared" si="27"/>
        <v>889</v>
      </c>
      <c r="F77" s="49">
        <f t="shared" si="27"/>
        <v>3153</v>
      </c>
      <c r="G77" s="50">
        <f t="shared" si="27"/>
        <v>905.335</v>
      </c>
      <c r="H77" s="2" t="s">
        <v>76</v>
      </c>
      <c r="I77" s="2"/>
      <c r="J77" s="2"/>
    </row>
    <row r="78" ht="15" customHeight="1">
      <c r="A78" s="43" t="s">
        <v>34</v>
      </c>
      <c r="B78" s="44">
        <f>_xlfn.IFERROR(B77/Inputs!B11-1,"n.a.")</f>
        <v>0.18955223880597005</v>
      </c>
      <c r="C78" s="44">
        <f>_xlfn.IFERROR(C77/Inputs!C11-1,"n.a.")</f>
        <v>0.17103448275862076</v>
      </c>
      <c r="D78" s="44">
        <f>_xlfn.IFERROR(D77/Inputs!D11-1,"n.a.")</f>
        <v>0.15710382513661192</v>
      </c>
      <c r="E78" s="44">
        <f>_xlfn.IFERROR(E77/Inputs!E11-1,"n.a.")</f>
        <v>0.1470967741935485</v>
      </c>
      <c r="F78" s="44">
        <f>_xlfn.IFERROR(F77/Inputs!F11-1,"n.a.")</f>
        <v>0.1751770406261648</v>
      </c>
      <c r="G78" s="45">
        <f t="shared" si="8"/>
        <v>0.13592848180677541</v>
      </c>
      <c r="H78" s="2"/>
      <c r="I78" s="2"/>
      <c r="J78" s="2"/>
    </row>
    <row r="79" ht="15" customHeight="1">
      <c r="A79" s="51" t="s">
        <v>101</v>
      </c>
      <c r="B79" s="55">
        <f>_xlfn.IFERROR(B77-Inputs!E11,"n.a.")</f>
        <v>22</v>
      </c>
      <c r="C79" s="56">
        <f t="shared" si="24"/>
        <v>52</v>
      </c>
      <c r="D79" s="56">
        <f t="shared" si="24"/>
        <v>-2</v>
      </c>
      <c r="E79" s="56">
        <f t="shared" si="24"/>
        <v>42</v>
      </c>
      <c r="F79" s="56" t="s">
        <v>78</v>
      </c>
      <c r="G79" s="57">
        <f t="shared" si="26"/>
        <v>16.335000000000036</v>
      </c>
      <c r="H79" s="2"/>
      <c r="I79" s="2"/>
      <c r="J79" s="2"/>
    </row>
    <row r="80" ht="15" customHeight="1">
      <c r="A80" s="51" t="s">
        <v>104</v>
      </c>
      <c r="B80" s="52">
        <v>797</v>
      </c>
      <c r="C80" s="52">
        <v>849</v>
      </c>
      <c r="D80" s="52">
        <v>847</v>
      </c>
      <c r="E80" s="52">
        <v>889</v>
      </c>
      <c r="F80" s="17">
        <f>Inputs!D11+Inputs!E11+B80+C80</f>
        <v>3153</v>
      </c>
      <c r="G80" s="42" t="s">
        <v>78</v>
      </c>
      <c r="H80" s="2" t="s">
        <v>76</v>
      </c>
      <c r="I80" s="2"/>
      <c r="J80" s="2"/>
    </row>
    <row r="81" ht="15" customHeight="1">
      <c r="A81" s="34" t="s">
        <v>105</v>
      </c>
      <c r="B81" s="18">
        <f t="shared" si="28" ref="B81:F290">B77-B80</f>
        <v>0</v>
      </c>
      <c r="C81" s="18">
        <f t="shared" si="28"/>
        <v>0</v>
      </c>
      <c r="D81" s="18">
        <f t="shared" si="28"/>
        <v>0</v>
      </c>
      <c r="E81" s="18">
        <f t="shared" si="28"/>
        <v>0</v>
      </c>
      <c r="F81" s="18">
        <f t="shared" si="28"/>
        <v>0</v>
      </c>
      <c r="G81" s="42" t="s">
        <v>78</v>
      </c>
      <c r="H81" s="2"/>
      <c r="I81" s="2"/>
      <c r="J81" s="2"/>
    </row>
    <row r="82" ht="15" customHeight="1">
      <c r="A82" s="31" t="s">
        <v>106</v>
      </c>
      <c r="B82" s="19">
        <f t="shared" si="29" ref="B82:G82">B74/B77</f>
        <v>0.36386449184441655</v>
      </c>
      <c r="C82" s="19">
        <f t="shared" si="29"/>
        <v>0.3580683156654888</v>
      </c>
      <c r="D82" s="19">
        <f t="shared" si="29"/>
        <v>0.37662337662337664</v>
      </c>
      <c r="E82" s="19">
        <f t="shared" si="29"/>
        <v>0.37907761529808776</v>
      </c>
      <c r="F82" s="19">
        <f t="shared" si="29"/>
        <v>0.3618775769108785</v>
      </c>
      <c r="G82" s="47">
        <f t="shared" si="29"/>
        <v>0.38118486527086654</v>
      </c>
      <c r="H82" s="2"/>
      <c r="I82" s="2"/>
      <c r="J82" s="2"/>
    </row>
    <row r="83" ht="15" customHeight="1">
      <c r="A83" s="43" t="s">
        <v>107</v>
      </c>
      <c r="B83" s="58">
        <f>_xlfn.IFERROR((B82-Inputs!B12)*10000,"n.a.")</f>
        <v>175.95835127998615</v>
      </c>
      <c r="C83" s="58">
        <f>_xlfn.IFERROR((C82-Inputs!C12)*10000,"n.a.")</f>
        <v>118.61419113764649</v>
      </c>
      <c r="D83" s="58">
        <f>_xlfn.IFERROR((D82-Inputs!D12)*10000,"n.a.")</f>
        <v>118.69278262720884</v>
      </c>
      <c r="E83" s="58">
        <f>_xlfn.IFERROR((E82-Inputs!E12)*10000,"n.a.")</f>
        <v>177.87292717442617</v>
      </c>
      <c r="F83" s="58">
        <f>_xlfn.IFERROR((F82-Inputs!F12)*10000,"n.a.")</f>
        <v>167.4153516656246</v>
      </c>
      <c r="G83" s="59">
        <f t="shared" si="34" ref="G83:G259">_xlfn.IFERROR((G82-B82)*10000,"n.a.")</f>
        <v>173.20373426449987</v>
      </c>
      <c r="H83" s="2"/>
      <c r="I83" s="2"/>
      <c r="J83" s="2"/>
    </row>
    <row r="84" ht="15" customHeight="1">
      <c r="A84" s="43" t="s">
        <v>108</v>
      </c>
      <c r="B84" s="58">
        <f>_xlfn.IFERROR((B82-Inputs!E12)*10000,"n.a.")</f>
        <v>25.741692637714088</v>
      </c>
      <c r="C84" s="60">
        <f t="shared" si="30" ref="C84:E260">_xlfn.IFERROR((C82-B82)*10000,"n.a.")</f>
        <v>-57.961761789277475</v>
      </c>
      <c r="D84" s="60">
        <f t="shared" si="30"/>
        <v>185.55060957887838</v>
      </c>
      <c r="E84" s="60">
        <f t="shared" si="30"/>
        <v>24.542386747111177</v>
      </c>
      <c r="F84" s="60" t="s">
        <v>78</v>
      </c>
      <c r="G84" s="59">
        <f t="shared" si="35" ref="G84:G260">_xlfn.IFERROR((G82-E82)*10000,"n.a.")</f>
        <v>21.072499727787797</v>
      </c>
      <c r="H84" s="2"/>
      <c r="I84" s="2"/>
      <c r="J84" s="2"/>
    </row>
    <row r="85" ht="15" customHeight="1">
      <c r="A85" s="2" t="s">
        <v>109</v>
      </c>
      <c r="B85" s="52">
        <v>37.9</v>
      </c>
      <c r="C85" s="52">
        <v>40.2</v>
      </c>
      <c r="D85" s="52">
        <v>42.7</v>
      </c>
      <c r="E85" s="52">
        <v>47.9</v>
      </c>
      <c r="F85" s="17">
        <f>Inputs!D13+Inputs!E13+B85+C85</f>
        <v>144.10000000000002</v>
      </c>
      <c r="G85" s="42">
        <f t="shared" si="25"/>
        <v>50.786</v>
      </c>
      <c r="H85" s="2" t="s">
        <v>76</v>
      </c>
      <c r="I85" s="2"/>
      <c r="J85" s="2"/>
    </row>
    <row r="86" ht="15" customHeight="1">
      <c r="A86" s="43" t="s">
        <v>100</v>
      </c>
      <c r="B86" s="44">
        <f>_xlfn.IFERROR(B85/Inputs!B13-1,"n.a.")</f>
        <v>0.5220883534136547</v>
      </c>
      <c r="C86" s="44">
        <f>_xlfn.IFERROR(C85/Inputs!C13-1,"n.a.")</f>
        <v>0.4408602150537637</v>
      </c>
      <c r="D86" s="44">
        <f>_xlfn.IFERROR(D85/Inputs!D13-1,"n.a.")</f>
        <v>0.39087947882736174</v>
      </c>
      <c r="E86" s="44">
        <f>_xlfn.IFERROR(E85/Inputs!E13-1,"n.a.")</f>
        <v>0.35694050991501425</v>
      </c>
      <c r="F86" s="44">
        <f>_xlfn.IFERROR(F85/Inputs!F13-1,"n.a.")</f>
        <v>0.5089005235602098</v>
      </c>
      <c r="G86" s="54">
        <v>0.34</v>
      </c>
      <c r="H86" s="2"/>
      <c r="I86" s="2"/>
      <c r="J86" s="2"/>
    </row>
    <row r="87" ht="15" customHeight="1">
      <c r="A87" s="51" t="s">
        <v>101</v>
      </c>
      <c r="B87" s="55">
        <f>_xlfn.IFERROR(B85-Inputs!E13,"n.a.")</f>
        <v>2.6000000000000014</v>
      </c>
      <c r="C87" s="56">
        <f t="shared" si="24"/>
        <v>2.3000000000000043</v>
      </c>
      <c r="D87" s="56">
        <f t="shared" si="24"/>
        <v>2.5</v>
      </c>
      <c r="E87" s="56">
        <f t="shared" si="24"/>
        <v>5.199999999999996</v>
      </c>
      <c r="F87" s="56" t="s">
        <v>78</v>
      </c>
      <c r="G87" s="57">
        <f t="shared" si="26"/>
        <v>2.886000000000003</v>
      </c>
      <c r="H87" s="2"/>
      <c r="I87" s="2"/>
      <c r="J87" s="2"/>
    </row>
    <row r="88" ht="15" customHeight="1">
      <c r="A88" s="28" t="s">
        <v>110</v>
      </c>
      <c r="B88" s="49">
        <f t="shared" si="31" ref="B88:G88">B77+B85</f>
        <v>834.9</v>
      </c>
      <c r="C88" s="49">
        <f t="shared" si="31"/>
        <v>889.2</v>
      </c>
      <c r="D88" s="49">
        <f t="shared" si="31"/>
        <v>889.7</v>
      </c>
      <c r="E88" s="49">
        <f t="shared" si="31"/>
        <v>936.9</v>
      </c>
      <c r="F88" s="49">
        <f t="shared" si="31"/>
        <v>3297.1</v>
      </c>
      <c r="G88" s="50">
        <f t="shared" si="31"/>
        <v>956.1210000000001</v>
      </c>
      <c r="H88" s="2"/>
      <c r="I88" s="2"/>
      <c r="J88" s="2"/>
    </row>
    <row r="89" ht="15" customHeight="1">
      <c r="A89" s="43" t="s">
        <v>34</v>
      </c>
      <c r="B89" s="44">
        <f>_xlfn.IFERROR(B88/Inputs!B14-1,"n.a.")</f>
        <v>0.20146783709886318</v>
      </c>
      <c r="C89" s="44">
        <f>_xlfn.IFERROR(C88/Inputs!C14-1,"n.a.")</f>
        <v>0.18103333776065877</v>
      </c>
      <c r="D89" s="44">
        <f>_xlfn.IFERROR(D88/Inputs!D14-1,"n.a.")</f>
        <v>0.1665137013242428</v>
      </c>
      <c r="E89" s="44">
        <f>_xlfn.IFERROR(E88/Inputs!E14-1,"n.a.")</f>
        <v>0.1562384302110329</v>
      </c>
      <c r="F89" s="44">
        <f>_xlfn.IFERROR(F88/Inputs!F14-1,"n.a.")</f>
        <v>0.18664747165736895</v>
      </c>
      <c r="G89" s="45">
        <f t="shared" si="8"/>
        <v>0.14519223859144814</v>
      </c>
      <c r="H89" s="2"/>
      <c r="I89" s="2"/>
      <c r="J89" s="2"/>
    </row>
    <row r="90" ht="15" customHeight="1">
      <c r="A90" s="51" t="s">
        <v>101</v>
      </c>
      <c r="B90" s="55">
        <f>_xlfn.IFERROR(B88-Inputs!E14,"n.a.")</f>
        <v>24.600000000000023</v>
      </c>
      <c r="C90" s="56">
        <f t="shared" si="24"/>
        <v>54.30000000000007</v>
      </c>
      <c r="D90" s="56">
        <f t="shared" si="24"/>
        <v>0.5</v>
      </c>
      <c r="E90" s="56">
        <f t="shared" si="24"/>
        <v>47.19999999999993</v>
      </c>
      <c r="F90" s="56" t="s">
        <v>78</v>
      </c>
      <c r="G90" s="57">
        <f t="shared" si="26"/>
        <v>19.221000000000117</v>
      </c>
      <c r="H90" s="2"/>
      <c r="I90" s="2"/>
      <c r="J90" s="2"/>
    </row>
    <row r="91" ht="15" customHeight="1">
      <c r="A91" s="2"/>
      <c r="B91" s="2"/>
      <c r="C91" s="2"/>
      <c r="D91" s="2"/>
      <c r="E91" s="2"/>
      <c r="F91" s="2"/>
      <c r="G91" s="40"/>
      <c r="H91" s="2"/>
      <c r="I91" s="2"/>
      <c r="J91" s="2"/>
    </row>
    <row r="92" ht="15" customHeight="1">
      <c r="A92" s="30" t="s">
        <v>111</v>
      </c>
      <c r="B92" s="30"/>
      <c r="C92" s="30"/>
      <c r="D92" s="30"/>
      <c r="E92" s="30"/>
      <c r="F92" s="30"/>
      <c r="G92" s="41"/>
      <c r="H92" s="30"/>
      <c r="I92" s="2"/>
      <c r="J92" s="2"/>
    </row>
    <row r="93" ht="15" customHeight="1">
      <c r="A93" s="2" t="s">
        <v>112</v>
      </c>
      <c r="B93" s="61">
        <v>1</v>
      </c>
      <c r="C93" s="61">
        <v>3</v>
      </c>
      <c r="D93" s="61">
        <v>3</v>
      </c>
      <c r="E93" s="61">
        <v>0</v>
      </c>
      <c r="F93" s="62">
        <f>Inputs!D15+Inputs!E15+B93+C93</f>
        <v>6</v>
      </c>
      <c r="G93" s="63">
        <v>1</v>
      </c>
      <c r="H93" s="2" t="s">
        <v>76</v>
      </c>
      <c r="I93" s="2"/>
      <c r="J93" s="2"/>
    </row>
    <row r="94" ht="15" customHeight="1">
      <c r="A94" s="43" t="s">
        <v>34</v>
      </c>
      <c r="B94" s="44" t="str">
        <f>_xlfn.IFERROR(B93/Inputs!B15-1,"n.a.")</f>
        <v>n.a.</v>
      </c>
      <c r="C94" s="44">
        <f>_xlfn.IFERROR(C93/Inputs!C15-1,"n.a.")</f>
        <v>0.5</v>
      </c>
      <c r="D94" s="44" t="str">
        <f>_xlfn.IFERROR(D93/Inputs!D15-1,"n.a.")</f>
        <v>n.a.</v>
      </c>
      <c r="E94" s="44">
        <f>_xlfn.IFERROR(E93/Inputs!E15-1,"n.a.")</f>
        <v>-1</v>
      </c>
      <c r="F94" s="44">
        <f>_xlfn.IFERROR(F93/Inputs!F15-1,"n.a.")</f>
        <v>0.19999999999999996</v>
      </c>
      <c r="G94" s="45">
        <f t="shared" si="8"/>
        <v>0</v>
      </c>
      <c r="H94" s="2"/>
      <c r="I94" s="2"/>
      <c r="J94" s="2"/>
    </row>
    <row r="95" ht="15" customHeight="1">
      <c r="A95" s="51" t="s">
        <v>101</v>
      </c>
      <c r="B95" s="64">
        <f>_xlfn.IFERROR(B93-Inputs!E15,"n.a.")</f>
        <v>-1</v>
      </c>
      <c r="C95" s="65">
        <f t="shared" si="24"/>
        <v>2</v>
      </c>
      <c r="D95" s="65">
        <f t="shared" si="24"/>
        <v>0</v>
      </c>
      <c r="E95" s="65">
        <f t="shared" si="24"/>
        <v>-3</v>
      </c>
      <c r="F95" s="65" t="s">
        <v>78</v>
      </c>
      <c r="G95" s="66">
        <f t="shared" si="26"/>
        <v>1</v>
      </c>
      <c r="H95" s="2"/>
      <c r="I95" s="2"/>
      <c r="J95" s="2"/>
    </row>
    <row r="96" ht="15" customHeight="1">
      <c r="A96" s="2" t="s">
        <v>113</v>
      </c>
      <c r="B96" s="61">
        <v>41</v>
      </c>
      <c r="C96" s="61">
        <v>35</v>
      </c>
      <c r="D96" s="61">
        <v>38</v>
      </c>
      <c r="E96" s="61">
        <v>58</v>
      </c>
      <c r="F96" s="62">
        <f>Inputs!D16+Inputs!E16+B96+C96</f>
        <v>161</v>
      </c>
      <c r="G96" s="63">
        <v>45</v>
      </c>
      <c r="H96" s="2" t="s">
        <v>76</v>
      </c>
      <c r="I96" s="2"/>
      <c r="J96" s="2"/>
    </row>
    <row r="97" ht="15" customHeight="1">
      <c r="A97" s="43" t="s">
        <v>34</v>
      </c>
      <c r="B97" s="44">
        <f>_xlfn.IFERROR(B96/Inputs!B16-1,"n.a.")</f>
        <v>-0.12765957446808507</v>
      </c>
      <c r="C97" s="44">
        <f>_xlfn.IFERROR(C96/Inputs!C16-1,"n.a.")</f>
        <v>-0.25531914893617025</v>
      </c>
      <c r="D97" s="44">
        <f>_xlfn.IFERROR(D96/Inputs!D16-1,"n.a.")</f>
        <v>0</v>
      </c>
      <c r="E97" s="44">
        <f>_xlfn.IFERROR(E96/Inputs!E16-1,"n.a.")</f>
        <v>0.23404255319148937</v>
      </c>
      <c r="F97" s="44">
        <f>_xlfn.IFERROR(F96/Inputs!F16-1,"n.a.")</f>
        <v>-0.05294117647058827</v>
      </c>
      <c r="G97" s="45">
        <f t="shared" si="8"/>
        <v>0.09756097560975618</v>
      </c>
      <c r="H97" s="2"/>
      <c r="I97" s="2"/>
      <c r="J97" s="2"/>
    </row>
    <row r="98" ht="15" customHeight="1">
      <c r="A98" s="51" t="s">
        <v>101</v>
      </c>
      <c r="B98" s="64">
        <f>_xlfn.IFERROR(B96-Inputs!E16,"n.a.")</f>
        <v>-6</v>
      </c>
      <c r="C98" s="65">
        <f t="shared" si="24"/>
        <v>-6</v>
      </c>
      <c r="D98" s="65">
        <f t="shared" si="24"/>
        <v>3</v>
      </c>
      <c r="E98" s="65">
        <f t="shared" si="24"/>
        <v>20</v>
      </c>
      <c r="F98" s="65" t="s">
        <v>78</v>
      </c>
      <c r="G98" s="66">
        <f t="shared" si="26"/>
        <v>-13</v>
      </c>
      <c r="H98" s="2"/>
      <c r="I98" s="2"/>
      <c r="J98" s="2"/>
    </row>
    <row r="99" ht="15" customHeight="1">
      <c r="A99" s="2" t="s">
        <v>114</v>
      </c>
      <c r="B99" s="61">
        <v>34</v>
      </c>
      <c r="C99" s="61">
        <v>32</v>
      </c>
      <c r="D99" s="61">
        <v>34</v>
      </c>
      <c r="E99" s="61">
        <v>19</v>
      </c>
      <c r="F99" s="62">
        <f>Inputs!D17+Inputs!E17+B99+C99</f>
        <v>127</v>
      </c>
      <c r="G99" s="63">
        <v>25</v>
      </c>
      <c r="H99" s="2" t="s">
        <v>76</v>
      </c>
      <c r="I99" s="2"/>
      <c r="J99" s="2"/>
    </row>
    <row r="100" ht="15" customHeight="1">
      <c r="A100" s="43" t="s">
        <v>34</v>
      </c>
      <c r="B100" s="44">
        <f>_xlfn.IFERROR(B99/Inputs!B17-1,"n.a.")</f>
        <v>-0.24444444444444446</v>
      </c>
      <c r="C100" s="44">
        <f>_xlfn.IFERROR(C99/Inputs!C17-1,"n.a.")</f>
        <v>-0.5789473684210527</v>
      </c>
      <c r="D100" s="44">
        <f>_xlfn.IFERROR(D99/Inputs!D17-1,"n.a.")</f>
        <v>-0.15000000000000002</v>
      </c>
      <c r="E100" s="44">
        <f>_xlfn.IFERROR(E99/Inputs!E17-1,"n.a.")</f>
        <v>-0.09523809523809523</v>
      </c>
      <c r="F100" s="44">
        <f>_xlfn.IFERROR(F99/Inputs!F17-1,"n.a.")</f>
        <v>-0.4304932735426009</v>
      </c>
      <c r="G100" s="45">
        <f t="shared" si="8"/>
        <v>-0.2647058823529411</v>
      </c>
      <c r="H100" s="2"/>
      <c r="I100" s="2"/>
      <c r="J100" s="2"/>
    </row>
    <row r="101" ht="15" customHeight="1">
      <c r="A101" s="51" t="s">
        <v>101</v>
      </c>
      <c r="B101" s="64">
        <f>_xlfn.IFERROR(B99-Inputs!E17,"n.a.")</f>
        <v>13</v>
      </c>
      <c r="C101" s="65">
        <f t="shared" si="24"/>
        <v>-2</v>
      </c>
      <c r="D101" s="65">
        <f t="shared" si="24"/>
        <v>2</v>
      </c>
      <c r="E101" s="65">
        <f t="shared" si="24"/>
        <v>-15</v>
      </c>
      <c r="F101" s="65" t="s">
        <v>78</v>
      </c>
      <c r="G101" s="66">
        <f t="shared" si="26"/>
        <v>6</v>
      </c>
      <c r="H101" s="2"/>
      <c r="I101" s="2"/>
      <c r="J101" s="2"/>
    </row>
    <row r="102" ht="15" customHeight="1">
      <c r="A102" s="2" t="s">
        <v>115</v>
      </c>
      <c r="B102" s="61">
        <v>81</v>
      </c>
      <c r="C102" s="61">
        <v>124</v>
      </c>
      <c r="D102" s="61">
        <v>90</v>
      </c>
      <c r="E102" s="61">
        <v>107</v>
      </c>
      <c r="F102" s="62">
        <f>Inputs!D18+Inputs!E18+B102+C102</f>
        <v>450</v>
      </c>
      <c r="G102" s="63">
        <v>95</v>
      </c>
      <c r="H102" s="2" t="s">
        <v>76</v>
      </c>
      <c r="I102" s="2"/>
      <c r="J102" s="2"/>
    </row>
    <row r="103" ht="15" customHeight="1">
      <c r="A103" s="43" t="s">
        <v>34</v>
      </c>
      <c r="B103" s="44">
        <f>_xlfn.IFERROR(B102/Inputs!B18-1,"n.a.")</f>
        <v>-0.4807692307692307</v>
      </c>
      <c r="C103" s="44">
        <f>_xlfn.IFERROR(C102/Inputs!C18-1,"n.a.")</f>
        <v>-0.24390243902439024</v>
      </c>
      <c r="D103" s="44">
        <f>_xlfn.IFERROR(D102/Inputs!D18-1,"n.a.")</f>
        <v>-0.2682926829268293</v>
      </c>
      <c r="E103" s="44">
        <f>_xlfn.IFERROR(E102/Inputs!E18-1,"n.a.")</f>
        <v>-0.12295081967213117</v>
      </c>
      <c r="F103" s="44">
        <f>_xlfn.IFERROR(F102/Inputs!F18-1,"n.a.")</f>
        <v>-0.32835820895522383</v>
      </c>
      <c r="G103" s="45">
        <f t="shared" si="8"/>
        <v>0.1728395061728396</v>
      </c>
      <c r="H103" s="2"/>
      <c r="I103" s="2"/>
      <c r="J103" s="2"/>
    </row>
    <row r="104" ht="15" customHeight="1">
      <c r="A104" s="51" t="s">
        <v>101</v>
      </c>
      <c r="B104" s="64">
        <f>_xlfn.IFERROR(B102-Inputs!E18,"n.a.")</f>
        <v>-41</v>
      </c>
      <c r="C104" s="65">
        <f t="shared" si="24"/>
        <v>43</v>
      </c>
      <c r="D104" s="65">
        <f t="shared" si="24"/>
        <v>-34</v>
      </c>
      <c r="E104" s="65">
        <f t="shared" si="24"/>
        <v>17</v>
      </c>
      <c r="F104" s="65" t="s">
        <v>78</v>
      </c>
      <c r="G104" s="66">
        <f t="shared" si="26"/>
        <v>-12</v>
      </c>
      <c r="H104" s="2"/>
      <c r="I104" s="2"/>
      <c r="J104" s="2"/>
    </row>
    <row r="105" ht="15" customHeight="1">
      <c r="A105" s="2" t="s">
        <v>116</v>
      </c>
      <c r="B105" s="61">
        <v>77</v>
      </c>
      <c r="C105" s="61">
        <v>130</v>
      </c>
      <c r="D105" s="61">
        <v>93</v>
      </c>
      <c r="E105" s="61">
        <v>114</v>
      </c>
      <c r="F105" s="62">
        <f>Inputs!D19+Inputs!E19+B105+C105</f>
        <v>298</v>
      </c>
      <c r="G105" s="63">
        <v>110</v>
      </c>
      <c r="H105" s="2" t="s">
        <v>76</v>
      </c>
      <c r="I105" s="2"/>
      <c r="J105" s="2"/>
    </row>
    <row r="106" ht="15" customHeight="1">
      <c r="A106" s="43" t="s">
        <v>34</v>
      </c>
      <c r="B106" s="44">
        <f>_xlfn.IFERROR(B105/Inputs!B19-1,"n.a.")</f>
        <v>8.625</v>
      </c>
      <c r="C106" s="44">
        <f>_xlfn.IFERROR(C105/Inputs!C19-1,"n.a.")</f>
        <v>1.8260869565217392</v>
      </c>
      <c r="D106" s="44">
        <f>_xlfn.IFERROR(D105/Inputs!D19-1,"n.a.")</f>
        <v>1.657142857142857</v>
      </c>
      <c r="E106" s="44">
        <f>_xlfn.IFERROR(E105/Inputs!E19-1,"n.a.")</f>
        <v>1.0357142857142856</v>
      </c>
      <c r="F106" s="44">
        <f>_xlfn.IFERROR(F105/Inputs!F19-1,"n.a.")</f>
        <v>4.137931034482759</v>
      </c>
      <c r="G106" s="45">
        <f t="shared" si="8"/>
        <v>0.4285714285714286</v>
      </c>
      <c r="H106" s="2"/>
      <c r="I106" s="2"/>
      <c r="J106" s="2"/>
    </row>
    <row r="107" ht="15" customHeight="1">
      <c r="A107" s="51" t="s">
        <v>101</v>
      </c>
      <c r="B107" s="64">
        <f>_xlfn.IFERROR(B105-Inputs!E19,"n.a.")</f>
        <v>21</v>
      </c>
      <c r="C107" s="65">
        <f t="shared" si="24"/>
        <v>53</v>
      </c>
      <c r="D107" s="65">
        <f t="shared" si="24"/>
        <v>-37</v>
      </c>
      <c r="E107" s="65">
        <f t="shared" si="24"/>
        <v>21</v>
      </c>
      <c r="F107" s="65" t="s">
        <v>78</v>
      </c>
      <c r="G107" s="66">
        <f t="shared" si="26"/>
        <v>-4</v>
      </c>
      <c r="H107" s="2"/>
      <c r="I107" s="2"/>
      <c r="J107" s="2"/>
    </row>
    <row r="108" ht="15" customHeight="1">
      <c r="A108" s="2" t="s">
        <v>117</v>
      </c>
      <c r="B108" s="61">
        <v>163</v>
      </c>
      <c r="C108" s="61">
        <v>173</v>
      </c>
      <c r="D108" s="61">
        <v>139</v>
      </c>
      <c r="E108" s="61">
        <v>132</v>
      </c>
      <c r="F108" s="62">
        <f>Inputs!D20+Inputs!E20+B108+C108</f>
        <v>572</v>
      </c>
      <c r="G108" s="63">
        <v>150</v>
      </c>
      <c r="H108" s="2" t="s">
        <v>76</v>
      </c>
      <c r="I108" s="2"/>
      <c r="J108" s="2"/>
    </row>
    <row r="109" ht="15" customHeight="1">
      <c r="A109" s="43" t="s">
        <v>34</v>
      </c>
      <c r="B109" s="44">
        <f>_xlfn.IFERROR(B108/Inputs!B20-1,"n.a.")</f>
        <v>0.5980392156862746</v>
      </c>
      <c r="C109" s="44">
        <f>_xlfn.IFERROR(C108/Inputs!C20-1,"n.a.")</f>
        <v>0.3515625</v>
      </c>
      <c r="D109" s="44">
        <f>_xlfn.IFERROR(D108/Inputs!D20-1,"n.a.")</f>
        <v>0.2410714285714286</v>
      </c>
      <c r="E109" s="44">
        <f>_xlfn.IFERROR(E108/Inputs!E20-1,"n.a.")</f>
        <v>0.06451612903225801</v>
      </c>
      <c r="F109" s="44">
        <f>_xlfn.IFERROR(F108/Inputs!F20-1,"n.a.")</f>
        <v>0.881578947368421</v>
      </c>
      <c r="G109" s="45">
        <f t="shared" si="8"/>
        <v>-0.07975460122699385</v>
      </c>
      <c r="H109" s="2"/>
      <c r="I109" s="2"/>
      <c r="J109" s="2"/>
    </row>
    <row r="110" ht="15" customHeight="1">
      <c r="A110" s="51" t="s">
        <v>101</v>
      </c>
      <c r="B110" s="64">
        <f>_xlfn.IFERROR(B108-Inputs!E20,"n.a.")</f>
        <v>39</v>
      </c>
      <c r="C110" s="65">
        <f t="shared" si="24"/>
        <v>10</v>
      </c>
      <c r="D110" s="65">
        <f t="shared" si="24"/>
        <v>-34</v>
      </c>
      <c r="E110" s="65">
        <f t="shared" si="24"/>
        <v>-7</v>
      </c>
      <c r="F110" s="65" t="s">
        <v>78</v>
      </c>
      <c r="G110" s="66">
        <f t="shared" si="26"/>
        <v>18</v>
      </c>
      <c r="H110" s="2"/>
      <c r="I110" s="2"/>
      <c r="J110" s="2"/>
    </row>
    <row r="111" ht="15" customHeight="1">
      <c r="A111" s="2" t="s">
        <v>118</v>
      </c>
      <c r="B111" s="61">
        <v>30</v>
      </c>
      <c r="C111" s="61">
        <v>35</v>
      </c>
      <c r="D111" s="61">
        <v>34</v>
      </c>
      <c r="E111" s="61">
        <v>38</v>
      </c>
      <c r="F111" s="62">
        <f>Inputs!D21+Inputs!E21+B111+C111</f>
        <v>107</v>
      </c>
      <c r="G111" s="63">
        <v>39</v>
      </c>
      <c r="H111" s="2" t="s">
        <v>76</v>
      </c>
      <c r="I111" s="2"/>
      <c r="J111" s="2"/>
    </row>
    <row r="112" ht="15" customHeight="1">
      <c r="A112" s="43" t="s">
        <v>34</v>
      </c>
      <c r="B112" s="44">
        <f>_xlfn.IFERROR(B111/Inputs!B21-1,"n.a.")</f>
        <v>0.4285714285714286</v>
      </c>
      <c r="C112" s="44">
        <f>_xlfn.IFERROR(C111/Inputs!C21-1,"n.a.")</f>
        <v>0.16666666666666674</v>
      </c>
      <c r="D112" s="44">
        <f>_xlfn.IFERROR(D111/Inputs!D21-1,"n.a.")</f>
        <v>0.7894736842105263</v>
      </c>
      <c r="E112" s="44">
        <f>_xlfn.IFERROR(E111/Inputs!E21-1,"n.a.")</f>
        <v>0.6521739130434783</v>
      </c>
      <c r="F112" s="44">
        <f>_xlfn.IFERROR(F111/Inputs!F21-1,"n.a.")</f>
        <v>0.11458333333333326</v>
      </c>
      <c r="G112" s="45">
        <f t="shared" si="8"/>
        <v>0.30000000000000004</v>
      </c>
      <c r="H112" s="2"/>
      <c r="I112" s="2"/>
      <c r="J112" s="2"/>
    </row>
    <row r="113" ht="15" customHeight="1">
      <c r="A113" s="51" t="s">
        <v>101</v>
      </c>
      <c r="B113" s="64">
        <f>_xlfn.IFERROR(B111-Inputs!E21,"n.a.")</f>
        <v>7</v>
      </c>
      <c r="C113" s="65">
        <f t="shared" si="24"/>
        <v>5</v>
      </c>
      <c r="D113" s="65">
        <f t="shared" si="24"/>
        <v>-1</v>
      </c>
      <c r="E113" s="65">
        <f t="shared" si="24"/>
        <v>4</v>
      </c>
      <c r="F113" s="65" t="s">
        <v>78</v>
      </c>
      <c r="G113" s="66">
        <f t="shared" si="26"/>
        <v>1</v>
      </c>
      <c r="H113" s="2"/>
      <c r="I113" s="2"/>
      <c r="J113" s="2"/>
    </row>
    <row r="114" ht="15" customHeight="1">
      <c r="A114" s="28" t="s">
        <v>119</v>
      </c>
      <c r="B114" s="67">
        <f t="shared" si="32" ref="B114:G114">B93+B96+B99+B102+B105+B108+B111</f>
        <v>427</v>
      </c>
      <c r="C114" s="67">
        <f t="shared" si="32"/>
        <v>532</v>
      </c>
      <c r="D114" s="67">
        <f t="shared" si="32"/>
        <v>431</v>
      </c>
      <c r="E114" s="67">
        <f t="shared" si="32"/>
        <v>468</v>
      </c>
      <c r="F114" s="67">
        <f t="shared" si="32"/>
        <v>1721</v>
      </c>
      <c r="G114" s="68">
        <f t="shared" si="32"/>
        <v>465</v>
      </c>
      <c r="H114" s="2" t="s">
        <v>76</v>
      </c>
      <c r="I114" s="2"/>
      <c r="J114" s="2"/>
    </row>
    <row r="115" ht="15" customHeight="1">
      <c r="A115" s="43" t="s">
        <v>34</v>
      </c>
      <c r="B115" s="44">
        <f>_xlfn.IFERROR(B114/Inputs!B22-1,"n.a.")</f>
        <v>0.1266490765171504</v>
      </c>
      <c r="C115" s="44">
        <f>_xlfn.IFERROR(C114/Inputs!C22-1,"n.a.")</f>
        <v>0.07910750507099396</v>
      </c>
      <c r="D115" s="44">
        <f>_xlfn.IFERROR(D114/Inputs!D22-1,"n.a.")</f>
        <v>0.17438692098092634</v>
      </c>
      <c r="E115" s="44">
        <f>_xlfn.IFERROR(E114/Inputs!E22-1,"n.a.")</f>
        <v>0.18481012658227858</v>
      </c>
      <c r="F115" s="44">
        <f>_xlfn.IFERROR(F114/Inputs!F22-1,"n.a.")</f>
        <v>0.12778505897771963</v>
      </c>
      <c r="G115" s="45">
        <f t="shared" si="8"/>
        <v>0.08899297423887598</v>
      </c>
      <c r="H115" s="2"/>
      <c r="I115" s="2"/>
      <c r="J115" s="2"/>
    </row>
    <row r="116" ht="15" customHeight="1">
      <c r="A116" s="51" t="s">
        <v>101</v>
      </c>
      <c r="B116" s="64">
        <f>_xlfn.IFERROR(B114-Inputs!E22,"n.a.")</f>
        <v>32</v>
      </c>
      <c r="C116" s="65">
        <f t="shared" si="24"/>
        <v>105</v>
      </c>
      <c r="D116" s="65">
        <f t="shared" si="24"/>
        <v>-101</v>
      </c>
      <c r="E116" s="65">
        <f t="shared" si="24"/>
        <v>37</v>
      </c>
      <c r="F116" s="65" t="s">
        <v>78</v>
      </c>
      <c r="G116" s="66">
        <f t="shared" si="26"/>
        <v>-3</v>
      </c>
      <c r="H116" s="2"/>
      <c r="I116" s="2"/>
      <c r="J116" s="2"/>
    </row>
    <row r="117" ht="15" customHeight="1">
      <c r="A117" s="31" t="s">
        <v>120</v>
      </c>
      <c r="B117" s="19">
        <f t="shared" si="33" ref="B117:G117">(B105+B108)/B114</f>
        <v>0.5620608899297423</v>
      </c>
      <c r="C117" s="19">
        <f t="shared" si="33"/>
        <v>0.5695488721804511</v>
      </c>
      <c r="D117" s="19">
        <f t="shared" si="33"/>
        <v>0.5382830626450116</v>
      </c>
      <c r="E117" s="19">
        <f t="shared" si="33"/>
        <v>0.5256410256410257</v>
      </c>
      <c r="F117" s="19">
        <f t="shared" si="33"/>
        <v>0.505520046484602</v>
      </c>
      <c r="G117" s="47">
        <f t="shared" si="33"/>
        <v>0.5591397849462365</v>
      </c>
      <c r="H117" s="2"/>
      <c r="I117" s="2"/>
      <c r="J117" s="2"/>
    </row>
    <row r="118" ht="15" customHeight="1">
      <c r="A118" s="43" t="s">
        <v>107</v>
      </c>
      <c r="B118" s="58">
        <f>_xlfn.IFERROR((B117-Inputs!B23)*10000,"n.a.")</f>
        <v>2718.234229112727</v>
      </c>
      <c r="C118" s="58">
        <f>_xlfn.IFERROR((C117-Inputs!C23)*10000,"n.a.")</f>
        <v>2166.076957098629</v>
      </c>
      <c r="D118" s="58">
        <f>_xlfn.IFERROR((D117-Inputs!D23)*10000,"n.a.")</f>
        <v>1377.3810351694622</v>
      </c>
      <c r="E118" s="58">
        <f>_xlfn.IFERROR((E117-Inputs!E23)*10000,"n.a.")</f>
        <v>699.448231093801</v>
      </c>
      <c r="F118" s="58">
        <f>_xlfn.IFERROR((F117-Inputs!F23)*10000,"n.a.")</f>
        <v>2682.98552382374</v>
      </c>
      <c r="G118" s="59">
        <f t="shared" si="34"/>
        <v>-29.2110498350584</v>
      </c>
      <c r="H118" s="2"/>
      <c r="I118" s="2"/>
      <c r="J118" s="2"/>
    </row>
    <row r="119" ht="15" customHeight="1">
      <c r="A119" s="43" t="s">
        <v>108</v>
      </c>
      <c r="B119" s="58">
        <f>_xlfn.IFERROR((B117-Inputs!E23)*10000,"n.a.")</f>
        <v>1063.646873980968</v>
      </c>
      <c r="C119" s="60">
        <f t="shared" si="30"/>
        <v>74.87982250708791</v>
      </c>
      <c r="D119" s="60">
        <f t="shared" si="30"/>
        <v>-312.6580953543956</v>
      </c>
      <c r="E119" s="60">
        <f t="shared" si="30"/>
        <v>-126.42037003985918</v>
      </c>
      <c r="F119" s="60" t="s">
        <v>78</v>
      </c>
      <c r="G119" s="59">
        <f t="shared" si="35"/>
        <v>334.9875930521085</v>
      </c>
      <c r="H119" s="2"/>
      <c r="I119" s="2"/>
      <c r="J119" s="2"/>
    </row>
    <row r="120" ht="15" customHeight="1">
      <c r="A120" s="2" t="s">
        <v>121</v>
      </c>
      <c r="B120" s="61">
        <v>263</v>
      </c>
      <c r="C120" s="61">
        <v>304</v>
      </c>
      <c r="D120" s="61">
        <v>226</v>
      </c>
      <c r="E120" s="61">
        <v>267</v>
      </c>
      <c r="F120" s="62">
        <f>Inputs!D24+Inputs!E24+B120+C120</f>
        <v>987</v>
      </c>
      <c r="G120" s="63">
        <v>265</v>
      </c>
      <c r="H120" s="2" t="s">
        <v>76</v>
      </c>
      <c r="I120" s="2"/>
      <c r="J120" s="2"/>
    </row>
    <row r="121" ht="15" customHeight="1">
      <c r="A121" s="43" t="s">
        <v>34</v>
      </c>
      <c r="B121" s="44">
        <f>_xlfn.IFERROR(B120/Inputs!B24-1,"n.a.")</f>
        <v>0.2009132420091324</v>
      </c>
      <c r="C121" s="44">
        <f>_xlfn.IFERROR(C120/Inputs!C24-1,"n.a.")</f>
        <v>0.07042253521126751</v>
      </c>
      <c r="D121" s="44">
        <f>_xlfn.IFERROR(D120/Inputs!D24-1,"n.a.")</f>
        <v>0.10784313725490202</v>
      </c>
      <c r="E121" s="44">
        <f>_xlfn.IFERROR(E120/Inputs!E24-1,"n.a.")</f>
        <v>0.23611111111111116</v>
      </c>
      <c r="F121" s="44">
        <f>_xlfn.IFERROR(F120/Inputs!F24-1,"n.a.")</f>
        <v>0.2337499999999999</v>
      </c>
      <c r="G121" s="45">
        <f t="shared" si="8"/>
        <v>0.0076045627376426506</v>
      </c>
      <c r="H121" s="2"/>
      <c r="I121" s="2"/>
      <c r="J121" s="2"/>
    </row>
    <row r="122" ht="15" customHeight="1">
      <c r="A122" s="51" t="s">
        <v>101</v>
      </c>
      <c r="B122" s="64">
        <f>_xlfn.IFERROR(B120-Inputs!E24,"n.a.")</f>
        <v>47</v>
      </c>
      <c r="C122" s="65">
        <f t="shared" si="24"/>
        <v>41</v>
      </c>
      <c r="D122" s="65">
        <f t="shared" si="24"/>
        <v>-78</v>
      </c>
      <c r="E122" s="65">
        <f t="shared" si="24"/>
        <v>41</v>
      </c>
      <c r="F122" s="65" t="s">
        <v>78</v>
      </c>
      <c r="G122" s="66">
        <f t="shared" si="26"/>
        <v>-2</v>
      </c>
      <c r="H122" s="2"/>
      <c r="I122" s="2"/>
      <c r="J122" s="2"/>
    </row>
    <row r="123" ht="15" customHeight="1">
      <c r="A123" s="2" t="s">
        <v>122</v>
      </c>
      <c r="B123" s="61">
        <v>164</v>
      </c>
      <c r="C123" s="61">
        <v>228</v>
      </c>
      <c r="D123" s="61">
        <v>205</v>
      </c>
      <c r="E123" s="61">
        <v>201</v>
      </c>
      <c r="F123" s="62">
        <f>Inputs!D25+Inputs!E25+B123+C123</f>
        <v>734</v>
      </c>
      <c r="G123" s="69">
        <f>G126+G129+G132</f>
        <v>200</v>
      </c>
      <c r="H123" s="2" t="s">
        <v>76</v>
      </c>
      <c r="I123" s="2"/>
      <c r="J123" s="2"/>
    </row>
    <row r="124" ht="15" customHeight="1">
      <c r="A124" s="43" t="s">
        <v>34</v>
      </c>
      <c r="B124" s="44">
        <f>_xlfn.IFERROR(B123/Inputs!B25-1,"n.a.")</f>
        <v>0.02499999999999991</v>
      </c>
      <c r="C124" s="44">
        <f>_xlfn.IFERROR(C123/Inputs!C25-1,"n.a.")</f>
        <v>0.09090909090909083</v>
      </c>
      <c r="D124" s="44">
        <f>_xlfn.IFERROR(D123/Inputs!D25-1,"n.a.")</f>
        <v>0.2576687116564418</v>
      </c>
      <c r="E124" s="44">
        <f>_xlfn.IFERROR(E123/Inputs!E25-1,"n.a.")</f>
        <v>0.12290502793296088</v>
      </c>
      <c r="F124" s="44">
        <f>_xlfn.IFERROR(F123/Inputs!F25-1,"n.a.")</f>
        <v>0.011019283746556363</v>
      </c>
      <c r="G124" s="45">
        <f t="shared" si="8"/>
        <v>0.2195121951219512</v>
      </c>
      <c r="H124" s="2"/>
      <c r="I124" s="2"/>
      <c r="J124" s="2"/>
    </row>
    <row r="125" ht="15" customHeight="1">
      <c r="A125" s="51" t="s">
        <v>101</v>
      </c>
      <c r="B125" s="64">
        <f>_xlfn.IFERROR(B123-Inputs!E25,"n.a.")</f>
        <v>-15</v>
      </c>
      <c r="C125" s="65">
        <f t="shared" si="24"/>
        <v>64</v>
      </c>
      <c r="D125" s="65">
        <f t="shared" si="24"/>
        <v>-23</v>
      </c>
      <c r="E125" s="65">
        <f t="shared" si="24"/>
        <v>-4</v>
      </c>
      <c r="F125" s="65" t="s">
        <v>78</v>
      </c>
      <c r="G125" s="66">
        <f t="shared" si="26"/>
        <v>-1</v>
      </c>
      <c r="H125" s="2"/>
      <c r="I125" s="2"/>
      <c r="J125" s="2"/>
    </row>
    <row r="126" ht="15" customHeight="1">
      <c r="A126" s="51" t="s">
        <v>123</v>
      </c>
      <c r="B126" s="61">
        <v>63</v>
      </c>
      <c r="C126" s="61">
        <v>118</v>
      </c>
      <c r="D126" s="61">
        <v>117</v>
      </c>
      <c r="E126" s="61">
        <v>79</v>
      </c>
      <c r="F126" s="62">
        <f>IF(COUNT(Inputs!D145,Inputs!E145,B126,C126)=4,Inputs!D145+Inputs!E145+B126+C126,"n.d.")</f>
        <v>342</v>
      </c>
      <c r="G126" s="63">
        <v>85</v>
      </c>
      <c r="H126" s="2" t="s">
        <v>124</v>
      </c>
      <c r="I126" s="2"/>
      <c r="J126" s="2"/>
    </row>
    <row r="127" ht="15" customHeight="1">
      <c r="A127" s="43" t="s">
        <v>34</v>
      </c>
      <c r="B127" s="44">
        <f>_xlfn.IFERROR(B126/Inputs!B145-1,"n.a.")</f>
        <v>-0.03076923076923077</v>
      </c>
      <c r="C127" s="44" t="str">
        <f>_xlfn.IFERROR(C126/Inputs!C145-1,"n.a.")</f>
        <v>n.a.</v>
      </c>
      <c r="D127" s="44">
        <f>_xlfn.IFERROR(D126/Inputs!D145-1,"n.a.")</f>
        <v>0.3295454545454546</v>
      </c>
      <c r="E127" s="44">
        <f>_xlfn.IFERROR(E126/Inputs!E145-1,"n.a.")</f>
        <v>0.08219178082191791</v>
      </c>
      <c r="F127" s="44" t="str">
        <f>_xlfn.IFERROR(F126/Inputs!F145-1,"n.a.")</f>
        <v>n.a.</v>
      </c>
      <c r="G127" s="45">
        <f t="shared" si="8"/>
        <v>0.3492063492063493</v>
      </c>
      <c r="H127" s="2"/>
      <c r="I127" s="2"/>
      <c r="J127" s="2"/>
    </row>
    <row r="128" ht="15" customHeight="1">
      <c r="A128" s="51" t="s">
        <v>101</v>
      </c>
      <c r="B128" s="64">
        <f>_xlfn.IFERROR(B126-Inputs!E145,"n.a.")</f>
        <v>-10</v>
      </c>
      <c r="C128" s="65">
        <f t="shared" si="24"/>
        <v>55</v>
      </c>
      <c r="D128" s="65">
        <f t="shared" si="24"/>
        <v>-1</v>
      </c>
      <c r="E128" s="65">
        <f t="shared" si="24"/>
        <v>-38</v>
      </c>
      <c r="F128" s="65" t="s">
        <v>78</v>
      </c>
      <c r="G128" s="66">
        <f t="shared" si="26"/>
        <v>6</v>
      </c>
      <c r="H128" s="2"/>
      <c r="I128" s="2"/>
      <c r="J128" s="2"/>
    </row>
    <row r="129" ht="15" customHeight="1">
      <c r="A129" s="51" t="s">
        <v>125</v>
      </c>
      <c r="B129" s="61">
        <v>60</v>
      </c>
      <c r="C129" s="70" t="s">
        <v>81</v>
      </c>
      <c r="D129" s="61">
        <v>62</v>
      </c>
      <c r="E129" s="61">
        <v>75</v>
      </c>
      <c r="F129" s="62" t="str">
        <f>IF(COUNT(Inputs!D146,Inputs!E146,B129,C129)=4,Inputs!D146+Inputs!E146+B129+C129,"n.d.")</f>
        <v>n.d.</v>
      </c>
      <c r="G129" s="63">
        <v>70</v>
      </c>
      <c r="H129" s="2" t="s">
        <v>124</v>
      </c>
      <c r="I129" s="2"/>
      <c r="J129" s="2"/>
    </row>
    <row r="130" ht="15" customHeight="1">
      <c r="A130" s="43" t="s">
        <v>34</v>
      </c>
      <c r="B130" s="44">
        <f>_xlfn.IFERROR(B129/Inputs!B146-1,"n.a.")</f>
        <v>-0.18918918918918914</v>
      </c>
      <c r="C130" s="44" t="str">
        <f>_xlfn.IFERROR(C129/Inputs!C146-1,"n.a.")</f>
        <v>n.a.</v>
      </c>
      <c r="D130" s="44">
        <f>_xlfn.IFERROR(D129/Inputs!D146-1,"n.a.")</f>
        <v>0.1923076923076923</v>
      </c>
      <c r="E130" s="44">
        <f>_xlfn.IFERROR(E129/Inputs!E146-1,"n.a.")</f>
        <v>0.08695652173913038</v>
      </c>
      <c r="F130" s="44" t="str">
        <f>_xlfn.IFERROR(F129/Inputs!F146-1,"n.a.")</f>
        <v>n.a.</v>
      </c>
      <c r="G130" s="45">
        <f t="shared" si="8"/>
        <v>0.16666666666666674</v>
      </c>
      <c r="H130" s="2"/>
      <c r="I130" s="2"/>
      <c r="J130" s="2"/>
    </row>
    <row r="131" ht="15" customHeight="1">
      <c r="A131" s="51" t="s">
        <v>101</v>
      </c>
      <c r="B131" s="64">
        <f>_xlfn.IFERROR(B129-Inputs!E146,"n.a.")</f>
        <v>-9</v>
      </c>
      <c r="C131" s="65" t="str">
        <f t="shared" si="24"/>
        <v>n.a.</v>
      </c>
      <c r="D131" s="65" t="str">
        <f t="shared" si="24"/>
        <v>n.a.</v>
      </c>
      <c r="E131" s="65">
        <f t="shared" si="24"/>
        <v>13</v>
      </c>
      <c r="F131" s="65" t="s">
        <v>78</v>
      </c>
      <c r="G131" s="66">
        <f t="shared" si="26"/>
        <v>-5</v>
      </c>
      <c r="H131" s="2"/>
      <c r="I131" s="2"/>
      <c r="J131" s="2"/>
    </row>
    <row r="132" ht="15" customHeight="1">
      <c r="A132" s="51" t="s">
        <v>126</v>
      </c>
      <c r="B132" s="61">
        <v>41</v>
      </c>
      <c r="C132" s="70" t="s">
        <v>81</v>
      </c>
      <c r="D132" s="61">
        <v>26</v>
      </c>
      <c r="E132" s="61">
        <v>47</v>
      </c>
      <c r="F132" s="62" t="str">
        <f>IF(COUNT(Inputs!D147,Inputs!E147,B132,C132)=4,Inputs!D147+Inputs!E147+B132+C132,"n.d.")</f>
        <v>n.d.</v>
      </c>
      <c r="G132" s="63">
        <v>45</v>
      </c>
      <c r="H132" s="2" t="s">
        <v>124</v>
      </c>
      <c r="I132" s="2"/>
      <c r="J132" s="2"/>
    </row>
    <row r="133" ht="15" customHeight="1">
      <c r="A133" s="43" t="s">
        <v>34</v>
      </c>
      <c r="B133" s="44">
        <f>_xlfn.IFERROR(B132/Inputs!B147-1,"n.a.")</f>
        <v>0.9523809523809523</v>
      </c>
      <c r="C133" s="44" t="str">
        <f>_xlfn.IFERROR(C132/Inputs!C147-1,"n.a.")</f>
        <v>n.a.</v>
      </c>
      <c r="D133" s="44">
        <f>_xlfn.IFERROR(D132/Inputs!D147-1,"n.a.")</f>
        <v>0.13043478260869557</v>
      </c>
      <c r="E133" s="44">
        <f>_xlfn.IFERROR(E132/Inputs!E147-1,"n.a.")</f>
        <v>0.2702702702702702</v>
      </c>
      <c r="F133" s="44" t="str">
        <f>_xlfn.IFERROR(F132/Inputs!F147-1,"n.a.")</f>
        <v>n.a.</v>
      </c>
      <c r="G133" s="45">
        <f t="shared" si="8"/>
        <v>0.09756097560975618</v>
      </c>
      <c r="H133" s="2"/>
      <c r="I133" s="2"/>
      <c r="J133" s="2"/>
    </row>
    <row r="134" ht="15" customHeight="1">
      <c r="A134" s="51" t="s">
        <v>101</v>
      </c>
      <c r="B134" s="64">
        <f>_xlfn.IFERROR(B132-Inputs!E147,"n.a.")</f>
        <v>4</v>
      </c>
      <c r="C134" s="65" t="str">
        <f t="shared" si="24"/>
        <v>n.a.</v>
      </c>
      <c r="D134" s="65" t="str">
        <f t="shared" si="24"/>
        <v>n.a.</v>
      </c>
      <c r="E134" s="65">
        <f t="shared" si="24"/>
        <v>21</v>
      </c>
      <c r="F134" s="65" t="s">
        <v>78</v>
      </c>
      <c r="G134" s="66">
        <f t="shared" si="26"/>
        <v>-2</v>
      </c>
      <c r="H134" s="2"/>
      <c r="I134" s="2"/>
      <c r="J134" s="2"/>
    </row>
    <row r="135" ht="15" customHeight="1">
      <c r="A135" s="34" t="s">
        <v>127</v>
      </c>
      <c r="B135" s="70">
        <f t="shared" si="36" ref="B135:G135">IF(COUNT(B126,B129,B132)=3,B126+B129+B132-B123,"n.a.")</f>
        <v>0</v>
      </c>
      <c r="C135" s="70" t="str">
        <f t="shared" si="36"/>
        <v>n.a.</v>
      </c>
      <c r="D135" s="70">
        <f t="shared" si="36"/>
        <v>0</v>
      </c>
      <c r="E135" s="70">
        <f t="shared" si="36"/>
        <v>0</v>
      </c>
      <c r="F135" s="70" t="str">
        <f t="shared" si="36"/>
        <v>n.a.</v>
      </c>
      <c r="G135" s="69">
        <f t="shared" si="36"/>
        <v>0</v>
      </c>
      <c r="H135" s="2"/>
      <c r="I135" s="2"/>
      <c r="J135" s="2"/>
    </row>
    <row r="136" ht="15" customHeight="1">
      <c r="A136" s="34" t="s">
        <v>128</v>
      </c>
      <c r="B136" s="70">
        <f t="shared" si="37" ref="B136:G136">B120+B123-B114</f>
        <v>0</v>
      </c>
      <c r="C136" s="70">
        <f t="shared" si="37"/>
        <v>0</v>
      </c>
      <c r="D136" s="70">
        <f t="shared" si="37"/>
        <v>0</v>
      </c>
      <c r="E136" s="70">
        <f t="shared" si="37"/>
        <v>0</v>
      </c>
      <c r="F136" s="70">
        <f t="shared" si="37"/>
        <v>0</v>
      </c>
      <c r="G136" s="69">
        <f t="shared" si="37"/>
        <v>0</v>
      </c>
      <c r="H136" s="2"/>
      <c r="I136" s="2"/>
      <c r="J136" s="2"/>
    </row>
    <row r="137" ht="15" customHeight="1">
      <c r="A137" s="2" t="s">
        <v>129</v>
      </c>
      <c r="B137" s="61">
        <v>116</v>
      </c>
      <c r="C137" s="61">
        <v>100</v>
      </c>
      <c r="D137" s="61">
        <v>125</v>
      </c>
      <c r="E137" s="61">
        <v>123</v>
      </c>
      <c r="F137" s="62">
        <f>Inputs!D26+Inputs!E26+B137+C137</f>
        <v>376</v>
      </c>
      <c r="G137" s="63">
        <v>118</v>
      </c>
      <c r="H137" s="2" t="s">
        <v>76</v>
      </c>
      <c r="I137" s="2"/>
      <c r="J137" s="2"/>
    </row>
    <row r="138" ht="15" customHeight="1">
      <c r="A138" s="43" t="s">
        <v>34</v>
      </c>
      <c r="B138" s="44">
        <f>_xlfn.IFERROR(B137/Inputs!B26-1,"n.a.")</f>
        <v>0.4683544303797469</v>
      </c>
      <c r="C138" s="44">
        <f>_xlfn.IFERROR(C137/Inputs!C26-1,"n.a.")</f>
        <v>0.2195121951219512</v>
      </c>
      <c r="D138" s="44">
        <f>_xlfn.IFERROR(D137/Inputs!D26-1,"n.a.")</f>
        <v>0.37362637362637363</v>
      </c>
      <c r="E138" s="44">
        <f>_xlfn.IFERROR(E137/Inputs!E26-1,"n.a.")</f>
        <v>0.7826086956521738</v>
      </c>
      <c r="F138" s="44">
        <f>_xlfn.IFERROR(F137/Inputs!F26-1,"n.a.")</f>
        <v>0.21682847896440127</v>
      </c>
      <c r="G138" s="45">
        <f t="shared" si="8"/>
        <v>0.01724137931034475</v>
      </c>
      <c r="H138" s="2"/>
      <c r="I138" s="2"/>
      <c r="J138" s="2"/>
    </row>
    <row r="139" ht="15" customHeight="1">
      <c r="A139" s="51" t="s">
        <v>101</v>
      </c>
      <c r="B139" s="64">
        <f>_xlfn.IFERROR(B137-Inputs!E26,"n.a.")</f>
        <v>47</v>
      </c>
      <c r="C139" s="65">
        <f t="shared" si="24"/>
        <v>-16</v>
      </c>
      <c r="D139" s="65">
        <f t="shared" si="24"/>
        <v>25</v>
      </c>
      <c r="E139" s="65">
        <f t="shared" si="24"/>
        <v>-2</v>
      </c>
      <c r="F139" s="65" t="s">
        <v>78</v>
      </c>
      <c r="G139" s="66">
        <f t="shared" si="26"/>
        <v>-5</v>
      </c>
      <c r="H139" s="2"/>
      <c r="I139" s="2"/>
      <c r="J139" s="2"/>
    </row>
    <row r="140" ht="15" customHeight="1">
      <c r="A140" s="2" t="s">
        <v>130</v>
      </c>
      <c r="B140" s="61">
        <v>115</v>
      </c>
      <c r="C140" s="61">
        <v>150</v>
      </c>
      <c r="D140" s="61">
        <v>118</v>
      </c>
      <c r="E140" s="61">
        <v>131</v>
      </c>
      <c r="F140" s="62">
        <f>Inputs!D27+Inputs!E27+B140+C140</f>
        <v>496</v>
      </c>
      <c r="G140" s="63">
        <v>137</v>
      </c>
      <c r="H140" s="2" t="s">
        <v>76</v>
      </c>
      <c r="I140" s="2"/>
      <c r="J140" s="2"/>
    </row>
    <row r="141" ht="15" customHeight="1">
      <c r="A141" s="43" t="s">
        <v>34</v>
      </c>
      <c r="B141" s="44">
        <f>_xlfn.IFERROR(B140/Inputs!B27-1,"n.a.")</f>
        <v>-0.18439716312056742</v>
      </c>
      <c r="C141" s="44">
        <f>_xlfn.IFERROR(C140/Inputs!C27-1,"n.a.")</f>
        <v>0.0714285714285714</v>
      </c>
      <c r="D141" s="44">
        <f>_xlfn.IFERROR(D140/Inputs!D27-1,"n.a.")</f>
        <v>0.10280373831775691</v>
      </c>
      <c r="E141" s="44">
        <f>_xlfn.IFERROR(E140/Inputs!E27-1,"n.a.")</f>
        <v>0.056451612903225756</v>
      </c>
      <c r="F141" s="44">
        <f>_xlfn.IFERROR(F140/Inputs!F27-1,"n.a.")</f>
        <v>0.062098501070663836</v>
      </c>
      <c r="G141" s="45">
        <f t="shared" si="8"/>
        <v>0.19130434782608696</v>
      </c>
      <c r="H141" s="2"/>
      <c r="I141" s="2"/>
      <c r="J141" s="2"/>
    </row>
    <row r="142" ht="15" customHeight="1">
      <c r="A142" s="51" t="s">
        <v>101</v>
      </c>
      <c r="B142" s="64">
        <f>_xlfn.IFERROR(B140-Inputs!E27,"n.a.")</f>
        <v>-9</v>
      </c>
      <c r="C142" s="65">
        <f t="shared" si="24"/>
        <v>35</v>
      </c>
      <c r="D142" s="65">
        <f t="shared" si="24"/>
        <v>-32</v>
      </c>
      <c r="E142" s="65">
        <f t="shared" si="24"/>
        <v>13</v>
      </c>
      <c r="F142" s="65" t="s">
        <v>78</v>
      </c>
      <c r="G142" s="66">
        <f t="shared" si="26"/>
        <v>6</v>
      </c>
      <c r="H142" s="2"/>
      <c r="I142" s="2"/>
      <c r="J142" s="2"/>
    </row>
    <row r="143" ht="15" customHeight="1">
      <c r="A143" s="28" t="s">
        <v>131</v>
      </c>
      <c r="B143" s="67">
        <f t="shared" si="27"/>
        <v>231</v>
      </c>
      <c r="C143" s="67">
        <f t="shared" si="27"/>
        <v>250</v>
      </c>
      <c r="D143" s="67">
        <f t="shared" si="27"/>
        <v>243</v>
      </c>
      <c r="E143" s="67">
        <f t="shared" si="27"/>
        <v>254</v>
      </c>
      <c r="F143" s="67">
        <f t="shared" si="27"/>
        <v>872</v>
      </c>
      <c r="G143" s="68">
        <f t="shared" si="27"/>
        <v>255</v>
      </c>
      <c r="H143" s="2"/>
      <c r="I143" s="2"/>
      <c r="J143" s="2"/>
    </row>
    <row r="144" ht="15" customHeight="1">
      <c r="A144" s="43" t="s">
        <v>34</v>
      </c>
      <c r="B144" s="44">
        <f>_xlfn.IFERROR(B143/Inputs!B28-1,"n.a.")</f>
        <v>0.050000000000000044</v>
      </c>
      <c r="C144" s="44">
        <f>_xlfn.IFERROR(C143/Inputs!C28-1,"n.a.")</f>
        <v>0.12612612612612617</v>
      </c>
      <c r="D144" s="44">
        <f>_xlfn.IFERROR(D143/Inputs!D28-1,"n.a.")</f>
        <v>0.2272727272727273</v>
      </c>
      <c r="E144" s="44">
        <f>_xlfn.IFERROR(E143/Inputs!E28-1,"n.a.")</f>
        <v>0.3160621761658031</v>
      </c>
      <c r="F144" s="44">
        <f>_xlfn.IFERROR(F143/Inputs!F28-1,"n.a.")</f>
        <v>0.12371134020618557</v>
      </c>
      <c r="G144" s="45">
        <f t="shared" si="8"/>
        <v>0.10389610389610393</v>
      </c>
      <c r="H144" s="2"/>
      <c r="I144" s="2"/>
      <c r="J144" s="2"/>
    </row>
    <row r="145" ht="15" customHeight="1">
      <c r="A145" s="51" t="s">
        <v>101</v>
      </c>
      <c r="B145" s="64">
        <f>_xlfn.IFERROR(B143-Inputs!E28,"n.a.")</f>
        <v>38</v>
      </c>
      <c r="C145" s="65">
        <f t="shared" si="24"/>
        <v>19</v>
      </c>
      <c r="D145" s="65">
        <f t="shared" si="24"/>
        <v>-7</v>
      </c>
      <c r="E145" s="65">
        <f t="shared" si="24"/>
        <v>11</v>
      </c>
      <c r="F145" s="65" t="s">
        <v>78</v>
      </c>
      <c r="G145" s="66">
        <f t="shared" si="26"/>
        <v>1</v>
      </c>
      <c r="H145" s="2"/>
      <c r="I145" s="2"/>
      <c r="J145" s="2"/>
    </row>
    <row r="146" ht="15" customHeight="1">
      <c r="A146" s="2" t="s">
        <v>132</v>
      </c>
      <c r="B146" s="70">
        <f t="shared" si="38" ref="B146:G146">B114-B143</f>
        <v>196</v>
      </c>
      <c r="C146" s="70">
        <f t="shared" si="38"/>
        <v>282</v>
      </c>
      <c r="D146" s="70">
        <f t="shared" si="38"/>
        <v>188</v>
      </c>
      <c r="E146" s="70">
        <f t="shared" si="38"/>
        <v>214</v>
      </c>
      <c r="F146" s="70">
        <f t="shared" si="38"/>
        <v>849</v>
      </c>
      <c r="G146" s="69">
        <f t="shared" si="38"/>
        <v>210</v>
      </c>
      <c r="H146" s="2"/>
      <c r="I146" s="2"/>
      <c r="J146" s="2"/>
    </row>
    <row r="147" ht="15" customHeight="1">
      <c r="A147" s="43" t="s">
        <v>34</v>
      </c>
      <c r="B147" s="44">
        <f>_xlfn.IFERROR(B146/Inputs!B29-1,"n.a.")</f>
        <v>0.23270440251572322</v>
      </c>
      <c r="C147" s="44">
        <f>_xlfn.IFERROR(C146/Inputs!C29-1,"n.a.")</f>
        <v>0.040590405904058935</v>
      </c>
      <c r="D147" s="44">
        <f>_xlfn.IFERROR(D146/Inputs!D29-1,"n.a.")</f>
        <v>0.11242603550295849</v>
      </c>
      <c r="E147" s="44">
        <f>_xlfn.IFERROR(E146/Inputs!E29-1,"n.a.")</f>
        <v>0.05940594059405946</v>
      </c>
      <c r="F147" s="44">
        <f>_xlfn.IFERROR(F146/Inputs!F29-1,"n.a.")</f>
        <v>0.1319999999999999</v>
      </c>
      <c r="G147" s="45">
        <f t="shared" si="8"/>
        <v>0.0714285714285714</v>
      </c>
      <c r="H147" s="2"/>
      <c r="I147" s="2"/>
      <c r="J147" s="2"/>
    </row>
    <row r="148" ht="15" customHeight="1">
      <c r="A148" s="51" t="s">
        <v>101</v>
      </c>
      <c r="B148" s="64">
        <f>_xlfn.IFERROR(B146-Inputs!E29,"n.a.")</f>
        <v>-6</v>
      </c>
      <c r="C148" s="65">
        <f t="shared" si="24"/>
        <v>86</v>
      </c>
      <c r="D148" s="65">
        <f t="shared" si="24"/>
        <v>-94</v>
      </c>
      <c r="E148" s="65">
        <f t="shared" si="24"/>
        <v>26</v>
      </c>
      <c r="F148" s="65" t="s">
        <v>78</v>
      </c>
      <c r="G148" s="66">
        <f t="shared" si="26"/>
        <v>-4</v>
      </c>
      <c r="H148" s="2"/>
      <c r="I148" s="2"/>
      <c r="J148" s="2"/>
    </row>
    <row r="149" ht="15" customHeight="1">
      <c r="A149" s="51" t="s">
        <v>133</v>
      </c>
      <c r="B149" s="61">
        <v>12</v>
      </c>
      <c r="C149" s="70" t="s">
        <v>81</v>
      </c>
      <c r="D149" s="61">
        <v>13</v>
      </c>
      <c r="E149" s="61">
        <v>10</v>
      </c>
      <c r="F149" s="70" t="s">
        <v>81</v>
      </c>
      <c r="G149" s="69" t="s">
        <v>134</v>
      </c>
      <c r="H149" s="2" t="s">
        <v>135</v>
      </c>
      <c r="I149" s="2"/>
      <c r="J149" s="2"/>
    </row>
    <row r="150" ht="15" customHeight="1">
      <c r="A150" s="31" t="s">
        <v>136</v>
      </c>
      <c r="B150" s="19">
        <f t="shared" si="39" ref="B150:G150">B143/B114</f>
        <v>0.5409836065573771</v>
      </c>
      <c r="C150" s="19">
        <f t="shared" si="39"/>
        <v>0.4699248120300752</v>
      </c>
      <c r="D150" s="19">
        <f t="shared" si="39"/>
        <v>0.5638051044083526</v>
      </c>
      <c r="E150" s="19">
        <f t="shared" si="39"/>
        <v>0.5427350427350427</v>
      </c>
      <c r="F150" s="19">
        <f t="shared" si="39"/>
        <v>0.5066821615339918</v>
      </c>
      <c r="G150" s="47">
        <f t="shared" si="39"/>
        <v>0.5483870967741935</v>
      </c>
      <c r="H150" s="2"/>
      <c r="I150" s="2"/>
      <c r="J150" s="2"/>
    </row>
    <row r="151" ht="15" customHeight="1">
      <c r="A151" s="43" t="s">
        <v>107</v>
      </c>
      <c r="B151" s="58">
        <f>_xlfn.IFERROR((B150-Inputs!B30)*10000,"n.a.")</f>
        <v>-394.9132747956219</v>
      </c>
      <c r="C151" s="58">
        <f>_xlfn.IFERROR((C150-Inputs!C30)*10000,"n.a.")</f>
        <v>196.2055239518673</v>
      </c>
      <c r="D151" s="58">
        <f>_xlfn.IFERROR((D150-Inputs!D30)*10000,"n.a.")</f>
        <v>242.95567623611512</v>
      </c>
      <c r="E151" s="58">
        <f>_xlfn.IFERROR((E150-Inputs!E30)*10000,"n.a.")</f>
        <v>541.2744779833384</v>
      </c>
      <c r="F151" s="58">
        <f>_xlfn.IFERROR((F150-Inputs!F30)*10000,"n.a.")</f>
        <v>-18.368423978561978</v>
      </c>
      <c r="G151" s="59">
        <f t="shared" si="34"/>
        <v>74.03490216816411</v>
      </c>
      <c r="H151" s="2"/>
      <c r="I151" s="2"/>
      <c r="J151" s="2"/>
    </row>
    <row r="152" ht="15" customHeight="1">
      <c r="A152" s="43" t="s">
        <v>108</v>
      </c>
      <c r="B152" s="58">
        <f>_xlfn.IFERROR((B150-Inputs!E30)*10000,"n.a.")</f>
        <v>523.7601162066824</v>
      </c>
      <c r="C152" s="60">
        <f t="shared" si="30"/>
        <v>-710.587945273019</v>
      </c>
      <c r="D152" s="60">
        <f t="shared" si="30"/>
        <v>938.8029237827744</v>
      </c>
      <c r="E152" s="60">
        <f t="shared" si="30"/>
        <v>-210.70061673309937</v>
      </c>
      <c r="F152" s="60" t="s">
        <v>78</v>
      </c>
      <c r="G152" s="59">
        <f t="shared" si="35"/>
        <v>56.52054039150811</v>
      </c>
      <c r="H152" s="2"/>
      <c r="I152" s="2"/>
      <c r="J152" s="2"/>
    </row>
    <row r="153" ht="15" customHeight="1">
      <c r="A153" s="2" t="s">
        <v>137</v>
      </c>
      <c r="B153" s="61">
        <v>1600</v>
      </c>
      <c r="C153" s="61">
        <v>1680</v>
      </c>
      <c r="D153" s="61">
        <v>1740</v>
      </c>
      <c r="E153" s="61">
        <v>1590</v>
      </c>
      <c r="F153" s="61">
        <v>1600</v>
      </c>
      <c r="G153" s="63">
        <v>1620</v>
      </c>
      <c r="H153" s="2" t="s">
        <v>76</v>
      </c>
      <c r="I153" s="2"/>
      <c r="J153" s="2"/>
    </row>
    <row r="154" ht="15" customHeight="1">
      <c r="A154" s="43" t="s">
        <v>34</v>
      </c>
      <c r="B154" s="44">
        <f>_xlfn.IFERROR(B153/Inputs!B31-1,"n.a.")</f>
        <v>0.0596026490066226</v>
      </c>
      <c r="C154" s="44">
        <f>_xlfn.IFERROR(C153/Inputs!C31-1,"n.a.")</f>
        <v>0.05660377358490565</v>
      </c>
      <c r="D154" s="44">
        <f>_xlfn.IFERROR(D153/Inputs!D31-1,"n.a.")</f>
        <v>0.07407407407407418</v>
      </c>
      <c r="E154" s="44">
        <f>_xlfn.IFERROR(E153/Inputs!E31-1,"n.a.")</f>
        <v>0.06000000000000005</v>
      </c>
      <c r="F154" s="44">
        <f>_xlfn.IFERROR(F153/Inputs!F31-1,"n.a.")</f>
        <v>0.06666666666666665</v>
      </c>
      <c r="G154" s="45">
        <f t="shared" si="8"/>
        <v>0.012499999999999956</v>
      </c>
      <c r="H154" s="2"/>
      <c r="I154" s="2"/>
      <c r="J154" s="2"/>
    </row>
    <row r="155" ht="15" customHeight="1">
      <c r="A155" s="51" t="s">
        <v>101</v>
      </c>
      <c r="B155" s="64">
        <f>_xlfn.IFERROR(B153-Inputs!E31,"n.a.")</f>
        <v>100</v>
      </c>
      <c r="C155" s="65">
        <f t="shared" si="24"/>
        <v>80</v>
      </c>
      <c r="D155" s="65">
        <f t="shared" si="24"/>
        <v>60</v>
      </c>
      <c r="E155" s="65">
        <f t="shared" si="24"/>
        <v>-150</v>
      </c>
      <c r="F155" s="65" t="s">
        <v>78</v>
      </c>
      <c r="G155" s="66">
        <f t="shared" si="26"/>
        <v>30</v>
      </c>
      <c r="H155" s="2"/>
      <c r="I155" s="2"/>
      <c r="J155" s="2"/>
    </row>
    <row r="156" ht="15" customHeight="1">
      <c r="A156" s="2"/>
      <c r="B156" s="2"/>
      <c r="C156" s="2"/>
      <c r="D156" s="2"/>
      <c r="E156" s="2"/>
      <c r="F156" s="2"/>
      <c r="G156" s="40"/>
      <c r="H156" s="2"/>
      <c r="I156" s="2"/>
      <c r="J156" s="2"/>
    </row>
    <row r="157" ht="15" customHeight="1">
      <c r="A157" s="30" t="s">
        <v>138</v>
      </c>
      <c r="B157" s="30"/>
      <c r="C157" s="30"/>
      <c r="D157" s="30"/>
      <c r="E157" s="30"/>
      <c r="F157" s="30"/>
      <c r="G157" s="41"/>
      <c r="H157" s="30"/>
      <c r="I157" s="2"/>
      <c r="J157" s="2"/>
    </row>
    <row r="158" ht="15" customHeight="1">
      <c r="A158" s="51" t="s">
        <v>139</v>
      </c>
      <c r="B158" s="61">
        <v>1</v>
      </c>
      <c r="C158" s="61">
        <v>1</v>
      </c>
      <c r="D158" s="61">
        <v>0</v>
      </c>
      <c r="E158" s="61">
        <v>0</v>
      </c>
      <c r="F158" s="62">
        <f>Inputs!D124+Inputs!E124+B158+C158</f>
        <v>4</v>
      </c>
      <c r="G158" s="69" t="s">
        <v>134</v>
      </c>
      <c r="H158" s="2" t="s">
        <v>76</v>
      </c>
      <c r="I158" s="2"/>
      <c r="J158" s="2"/>
    </row>
    <row r="159" ht="15" customHeight="1">
      <c r="A159" s="51" t="s">
        <v>140</v>
      </c>
      <c r="B159" s="61">
        <v>10</v>
      </c>
      <c r="C159" s="61">
        <v>11</v>
      </c>
      <c r="D159" s="61">
        <v>3</v>
      </c>
      <c r="E159" s="61">
        <v>3</v>
      </c>
      <c r="F159" s="62">
        <f>Inputs!D125+Inputs!E125+B159+C159</f>
        <v>44</v>
      </c>
      <c r="G159" s="69" t="s">
        <v>134</v>
      </c>
      <c r="H159" s="2" t="s">
        <v>76</v>
      </c>
      <c r="I159" s="2"/>
      <c r="J159" s="2"/>
    </row>
    <row r="160" ht="15" customHeight="1">
      <c r="A160" s="51" t="s">
        <v>141</v>
      </c>
      <c r="B160" s="61">
        <v>18</v>
      </c>
      <c r="C160" s="61">
        <v>23</v>
      </c>
      <c r="D160" s="61">
        <v>19</v>
      </c>
      <c r="E160" s="61">
        <v>37</v>
      </c>
      <c r="F160" s="62">
        <f>Inputs!D126+Inputs!E126+B160+C160</f>
        <v>101</v>
      </c>
      <c r="G160" s="69" t="s">
        <v>134</v>
      </c>
      <c r="H160" s="2" t="s">
        <v>76</v>
      </c>
      <c r="I160" s="2"/>
      <c r="J160" s="2"/>
    </row>
    <row r="161" ht="15" customHeight="1">
      <c r="A161" s="51" t="s">
        <v>142</v>
      </c>
      <c r="B161" s="61">
        <v>73</v>
      </c>
      <c r="C161" s="61">
        <v>116</v>
      </c>
      <c r="D161" s="61">
        <v>82</v>
      </c>
      <c r="E161" s="61">
        <v>109</v>
      </c>
      <c r="F161" s="62">
        <f>Inputs!D127+Inputs!E127+B161+C161</f>
        <v>280</v>
      </c>
      <c r="G161" s="69" t="s">
        <v>134</v>
      </c>
      <c r="H161" s="2" t="s">
        <v>76</v>
      </c>
      <c r="I161" s="2"/>
      <c r="J161" s="2"/>
    </row>
    <row r="162" ht="15" customHeight="1">
      <c r="A162" s="51" t="s">
        <v>143</v>
      </c>
      <c r="B162" s="61">
        <v>155</v>
      </c>
      <c r="C162" s="61">
        <v>144</v>
      </c>
      <c r="D162" s="61">
        <v>110</v>
      </c>
      <c r="E162" s="61">
        <v>102</v>
      </c>
      <c r="F162" s="62">
        <f>Inputs!D128+Inputs!E128+B162+C162</f>
        <v>532</v>
      </c>
      <c r="G162" s="69" t="s">
        <v>134</v>
      </c>
      <c r="H162" s="2" t="s">
        <v>76</v>
      </c>
      <c r="I162" s="2"/>
      <c r="J162" s="2"/>
    </row>
    <row r="163" ht="15" customHeight="1">
      <c r="A163" s="51" t="s">
        <v>144</v>
      </c>
      <c r="B163" s="61">
        <v>6</v>
      </c>
      <c r="C163" s="61">
        <v>9</v>
      </c>
      <c r="D163" s="61">
        <v>12</v>
      </c>
      <c r="E163" s="61">
        <v>16</v>
      </c>
      <c r="F163" s="62">
        <f>Inputs!D129+Inputs!E129+B163+C163</f>
        <v>26</v>
      </c>
      <c r="G163" s="69" t="s">
        <v>134</v>
      </c>
      <c r="H163" s="2" t="s">
        <v>76</v>
      </c>
      <c r="I163" s="2"/>
      <c r="J163" s="2"/>
    </row>
    <row r="164" ht="15" customHeight="1">
      <c r="A164" s="34" t="s">
        <v>145</v>
      </c>
      <c r="B164" s="70">
        <f t="shared" si="40" ref="B164:F164">B158+B159+B160+B161+B162+B163-B120</f>
        <v>0</v>
      </c>
      <c r="C164" s="70">
        <f t="shared" si="40"/>
        <v>0</v>
      </c>
      <c r="D164" s="70">
        <f t="shared" si="40"/>
        <v>0</v>
      </c>
      <c r="E164" s="70">
        <f t="shared" si="40"/>
        <v>0</v>
      </c>
      <c r="F164" s="70">
        <f t="shared" si="40"/>
        <v>0</v>
      </c>
      <c r="G164" s="69" t="s">
        <v>78</v>
      </c>
      <c r="H164" s="2"/>
      <c r="I164" s="2"/>
      <c r="J164" s="2"/>
    </row>
    <row r="165" ht="15" customHeight="1">
      <c r="A165" s="51" t="s">
        <v>146</v>
      </c>
      <c r="B165" s="61">
        <v>1</v>
      </c>
      <c r="C165" s="61">
        <v>3</v>
      </c>
      <c r="D165" s="61">
        <v>3</v>
      </c>
      <c r="E165" s="61">
        <v>0</v>
      </c>
      <c r="F165" s="62">
        <f>Inputs!D130+Inputs!E130+B165+C165</f>
        <v>6</v>
      </c>
      <c r="G165" s="69" t="s">
        <v>134</v>
      </c>
      <c r="H165" s="2" t="s">
        <v>76</v>
      </c>
      <c r="I165" s="2"/>
      <c r="J165" s="2"/>
    </row>
    <row r="166" ht="15" customHeight="1">
      <c r="A166" s="51" t="s">
        <v>147</v>
      </c>
      <c r="B166" s="61">
        <v>40</v>
      </c>
      <c r="C166" s="61">
        <v>34</v>
      </c>
      <c r="D166" s="61">
        <v>38</v>
      </c>
      <c r="E166" s="61">
        <v>58</v>
      </c>
      <c r="F166" s="62">
        <f>Inputs!D131+Inputs!E131+B166+C166</f>
        <v>157</v>
      </c>
      <c r="G166" s="69" t="s">
        <v>134</v>
      </c>
      <c r="H166" s="2" t="s">
        <v>76</v>
      </c>
      <c r="I166" s="2"/>
      <c r="J166" s="2"/>
    </row>
    <row r="167" ht="15" customHeight="1">
      <c r="A167" s="51" t="s">
        <v>148</v>
      </c>
      <c r="B167" s="61">
        <v>24</v>
      </c>
      <c r="C167" s="61">
        <v>21</v>
      </c>
      <c r="D167" s="61">
        <v>31</v>
      </c>
      <c r="E167" s="61">
        <v>16</v>
      </c>
      <c r="F167" s="62">
        <f>Inputs!D132+Inputs!E132+B167+C167</f>
        <v>83</v>
      </c>
      <c r="G167" s="69" t="s">
        <v>134</v>
      </c>
      <c r="H167" s="2" t="s">
        <v>76</v>
      </c>
      <c r="I167" s="2"/>
      <c r="J167" s="2"/>
    </row>
    <row r="168" ht="15" customHeight="1">
      <c r="A168" s="51" t="s">
        <v>149</v>
      </c>
      <c r="B168" s="61">
        <v>63</v>
      </c>
      <c r="C168" s="61">
        <v>101</v>
      </c>
      <c r="D168" s="61">
        <v>71</v>
      </c>
      <c r="E168" s="61">
        <v>70</v>
      </c>
      <c r="F168" s="62">
        <f>Inputs!D133+Inputs!E133+B168+C168</f>
        <v>349</v>
      </c>
      <c r="G168" s="69" t="s">
        <v>134</v>
      </c>
      <c r="H168" s="2" t="s">
        <v>76</v>
      </c>
      <c r="I168" s="2"/>
      <c r="J168" s="2"/>
    </row>
    <row r="169" ht="15" customHeight="1">
      <c r="A169" s="51" t="s">
        <v>150</v>
      </c>
      <c r="B169" s="61">
        <v>4</v>
      </c>
      <c r="C169" s="61">
        <v>14</v>
      </c>
      <c r="D169" s="61">
        <v>11</v>
      </c>
      <c r="E169" s="61">
        <v>5</v>
      </c>
      <c r="F169" s="62">
        <f>Inputs!D134+Inputs!E134+B169+C169</f>
        <v>18</v>
      </c>
      <c r="G169" s="69" t="s">
        <v>134</v>
      </c>
      <c r="H169" s="2" t="s">
        <v>76</v>
      </c>
      <c r="I169" s="2"/>
      <c r="J169" s="2"/>
    </row>
    <row r="170" ht="15" customHeight="1">
      <c r="A170" s="51" t="s">
        <v>151</v>
      </c>
      <c r="B170" s="61">
        <v>8</v>
      </c>
      <c r="C170" s="61">
        <v>29</v>
      </c>
      <c r="D170" s="61">
        <v>29</v>
      </c>
      <c r="E170" s="61">
        <v>30</v>
      </c>
      <c r="F170" s="62">
        <f>Inputs!D135+Inputs!E135+B170+C170</f>
        <v>40</v>
      </c>
      <c r="G170" s="69" t="s">
        <v>134</v>
      </c>
      <c r="H170" s="2" t="s">
        <v>76</v>
      </c>
      <c r="I170" s="2"/>
      <c r="J170" s="2"/>
    </row>
    <row r="171" ht="15" customHeight="1">
      <c r="A171" s="51" t="s">
        <v>152</v>
      </c>
      <c r="B171" s="61">
        <v>24</v>
      </c>
      <c r="C171" s="61">
        <v>26</v>
      </c>
      <c r="D171" s="61">
        <v>22</v>
      </c>
      <c r="E171" s="61">
        <v>22</v>
      </c>
      <c r="F171" s="62">
        <f>Inputs!D136+Inputs!E136+B171+C171</f>
        <v>81</v>
      </c>
      <c r="G171" s="69" t="s">
        <v>134</v>
      </c>
      <c r="H171" s="2" t="s">
        <v>76</v>
      </c>
      <c r="I171" s="2"/>
      <c r="J171" s="2"/>
    </row>
    <row r="172" ht="15" customHeight="1">
      <c r="A172" s="34" t="s">
        <v>153</v>
      </c>
      <c r="B172" s="70">
        <f t="shared" si="41" ref="B172:F172">B165+B166+B167+B168+B169+B170+B171-B123</f>
        <v>0</v>
      </c>
      <c r="C172" s="70">
        <f t="shared" si="41"/>
        <v>0</v>
      </c>
      <c r="D172" s="70">
        <f t="shared" si="41"/>
        <v>0</v>
      </c>
      <c r="E172" s="70">
        <f t="shared" si="41"/>
        <v>0</v>
      </c>
      <c r="F172" s="70">
        <f t="shared" si="41"/>
        <v>0</v>
      </c>
      <c r="G172" s="69" t="s">
        <v>78</v>
      </c>
      <c r="H172" s="2"/>
      <c r="I172" s="2"/>
      <c r="J172" s="2"/>
    </row>
    <row r="173" ht="15" customHeight="1">
      <c r="A173" s="2"/>
      <c r="B173" s="2"/>
      <c r="C173" s="2"/>
      <c r="D173" s="2"/>
      <c r="E173" s="2"/>
      <c r="F173" s="2"/>
      <c r="G173" s="40"/>
      <c r="H173" s="2"/>
      <c r="I173" s="2"/>
      <c r="J173" s="2"/>
    </row>
    <row r="174" ht="15" customHeight="1">
      <c r="A174" s="30" t="s">
        <v>154</v>
      </c>
      <c r="B174" s="30"/>
      <c r="C174" s="30"/>
      <c r="D174" s="30"/>
      <c r="E174" s="30"/>
      <c r="F174" s="30"/>
      <c r="G174" s="41"/>
      <c r="H174" s="30"/>
      <c r="I174" s="2"/>
      <c r="J174" s="2"/>
    </row>
    <row r="175" ht="15" customHeight="1">
      <c r="A175" s="2" t="s">
        <v>155</v>
      </c>
      <c r="B175" s="62">
        <f>Inputs!E34</f>
        <v>10488</v>
      </c>
      <c r="C175" s="70">
        <f t="shared" si="42" ref="C175:E211">B183</f>
        <v>10763</v>
      </c>
      <c r="D175" s="70">
        <f t="shared" si="42"/>
        <v>11106</v>
      </c>
      <c r="E175" s="70">
        <f t="shared" si="42"/>
        <v>11395</v>
      </c>
      <c r="F175" s="62">
        <f>Inputs!C34</f>
        <v>9902</v>
      </c>
      <c r="G175" s="69">
        <f t="shared" si="49" ref="G175:G211">E183</f>
        <v>11710</v>
      </c>
      <c r="H175" s="2" t="s">
        <v>76</v>
      </c>
      <c r="I175" s="2"/>
      <c r="J175" s="2"/>
    </row>
    <row r="176" ht="15" customHeight="1">
      <c r="A176" s="2" t="s">
        <v>156</v>
      </c>
      <c r="B176" s="70">
        <f t="shared" si="43" ref="B176:G176">B114</f>
        <v>427</v>
      </c>
      <c r="C176" s="70">
        <f t="shared" si="43"/>
        <v>532</v>
      </c>
      <c r="D176" s="70">
        <f t="shared" si="43"/>
        <v>431</v>
      </c>
      <c r="E176" s="70">
        <f t="shared" si="43"/>
        <v>468</v>
      </c>
      <c r="F176" s="70">
        <f t="shared" si="43"/>
        <v>1721</v>
      </c>
      <c r="G176" s="69">
        <f t="shared" si="43"/>
        <v>465</v>
      </c>
      <c r="H176" s="2"/>
      <c r="I176" s="2"/>
      <c r="J176" s="2"/>
    </row>
    <row r="177" ht="15" customHeight="1">
      <c r="A177" s="2" t="s">
        <v>157</v>
      </c>
      <c r="B177" s="61">
        <v>-152</v>
      </c>
      <c r="C177" s="61">
        <v>-189</v>
      </c>
      <c r="D177" s="61">
        <v>-142</v>
      </c>
      <c r="E177" s="61">
        <v>-153</v>
      </c>
      <c r="F177" s="62">
        <f>Inputs!D33+Inputs!E33+B177+C177</f>
        <v>-517</v>
      </c>
      <c r="G177" s="63">
        <v>-150</v>
      </c>
      <c r="H177" s="2" t="s">
        <v>76</v>
      </c>
      <c r="I177" s="2"/>
      <c r="J177" s="2"/>
    </row>
    <row r="178" ht="15" customHeight="1">
      <c r="A178" s="43" t="s">
        <v>158</v>
      </c>
      <c r="B178" s="44" t="str">
        <f>_xlfn.IFERROR(IF(Inputs!B33&lt;0,"n.m.",B177/Inputs!B33-1),"n.a.")</f>
        <v>n.m.</v>
      </c>
      <c r="C178" s="44" t="str">
        <f>_xlfn.IFERROR(IF(Inputs!C33&lt;0,"n.m.",C177/Inputs!C33-1),"n.a.")</f>
        <v>n.m.</v>
      </c>
      <c r="D178" s="44" t="str">
        <f>_xlfn.IFERROR(IF(Inputs!D33&lt;0,"n.m.",D177/Inputs!D33-1),"n.a.")</f>
        <v>n.m.</v>
      </c>
      <c r="E178" s="44" t="str">
        <f>_xlfn.IFERROR(IF(Inputs!E33&lt;0,"n.m.",E177/Inputs!E33-1),"n.a.")</f>
        <v>n.m.</v>
      </c>
      <c r="F178" s="44" t="str">
        <f>_xlfn.IFERROR(IF(Inputs!F33&lt;0,"n.m.",F177/Inputs!F33-1),"n.a.")</f>
        <v>n.m.</v>
      </c>
      <c r="G178" s="45" t="str">
        <f t="shared" si="51" ref="G178:G311">_xlfn.IFERROR(IF(B177&lt;0,"n.m.",G177/B177-1),"n.a.")</f>
        <v>n.m.</v>
      </c>
      <c r="H178" s="2"/>
      <c r="I178" s="2"/>
      <c r="J178" s="2"/>
    </row>
    <row r="179" ht="15" customHeight="1">
      <c r="A179" s="51" t="s">
        <v>101</v>
      </c>
      <c r="B179" s="64">
        <f>_xlfn.IFERROR(B177-Inputs!E33,"n.a.")</f>
        <v>-56</v>
      </c>
      <c r="C179" s="65">
        <f t="shared" si="24"/>
        <v>-37</v>
      </c>
      <c r="D179" s="65">
        <f t="shared" si="24"/>
        <v>47</v>
      </c>
      <c r="E179" s="65">
        <f t="shared" si="24"/>
        <v>-11</v>
      </c>
      <c r="F179" s="65" t="s">
        <v>78</v>
      </c>
      <c r="G179" s="66">
        <f t="shared" si="26"/>
        <v>3</v>
      </c>
      <c r="H179" s="2"/>
      <c r="I179" s="2"/>
      <c r="J179" s="2"/>
    </row>
    <row r="180" ht="15" customHeight="1">
      <c r="A180" s="28" t="s">
        <v>160</v>
      </c>
      <c r="B180" s="67">
        <f t="shared" si="44" ref="B180:G216">B176+B177</f>
        <v>275</v>
      </c>
      <c r="C180" s="67">
        <f t="shared" si="44"/>
        <v>343</v>
      </c>
      <c r="D180" s="67">
        <f t="shared" si="44"/>
        <v>289</v>
      </c>
      <c r="E180" s="67">
        <f t="shared" si="44"/>
        <v>315</v>
      </c>
      <c r="F180" s="67">
        <f t="shared" si="44"/>
        <v>1204</v>
      </c>
      <c r="G180" s="68">
        <f t="shared" si="44"/>
        <v>315</v>
      </c>
      <c r="H180" s="2"/>
      <c r="I180" s="2"/>
      <c r="J180" s="2"/>
    </row>
    <row r="181" ht="15" customHeight="1">
      <c r="A181" s="43" t="s">
        <v>34</v>
      </c>
      <c r="B181" s="44">
        <f>_xlfn.IFERROR(B180/Inputs!B114-1,"n.a.")</f>
        <v>-0.18154761904761907</v>
      </c>
      <c r="C181" s="44">
        <f>_xlfn.IFERROR(C180/Inputs!C114-1,"n.a.")</f>
        <v>-0.05509641873278237</v>
      </c>
      <c r="D181" s="44">
        <f>_xlfn.IFERROR(D180/Inputs!D114-1,"n.a.")</f>
        <v>0.006968641114982521</v>
      </c>
      <c r="E181" s="44">
        <f>_xlfn.IFERROR(E180/Inputs!E114-1,"n.a.")</f>
        <v>0.05351170568561869</v>
      </c>
      <c r="F181" s="44">
        <f>_xlfn.IFERROR(F180/Inputs!F114-1,"n.a.")</f>
        <v>-0.07098765432098764</v>
      </c>
      <c r="G181" s="45">
        <f t="shared" si="8"/>
        <v>0.1454545454545455</v>
      </c>
      <c r="H181" s="2"/>
      <c r="I181" s="2"/>
      <c r="J181" s="2"/>
    </row>
    <row r="182" ht="15" customHeight="1">
      <c r="A182" s="51" t="s">
        <v>101</v>
      </c>
      <c r="B182" s="64">
        <f>_xlfn.IFERROR(B180-Inputs!E114,"n.a.")</f>
        <v>-24</v>
      </c>
      <c r="C182" s="65">
        <f t="shared" si="24"/>
        <v>68</v>
      </c>
      <c r="D182" s="65">
        <f t="shared" si="24"/>
        <v>-54</v>
      </c>
      <c r="E182" s="65">
        <f t="shared" si="24"/>
        <v>26</v>
      </c>
      <c r="F182" s="65" t="s">
        <v>78</v>
      </c>
      <c r="G182" s="66">
        <f t="shared" si="26"/>
        <v>0</v>
      </c>
      <c r="H182" s="2"/>
      <c r="I182" s="2"/>
      <c r="J182" s="2"/>
    </row>
    <row r="183" ht="15" customHeight="1">
      <c r="A183" s="28" t="s">
        <v>161</v>
      </c>
      <c r="B183" s="67">
        <f t="shared" si="45" ref="B183:G219">B175+B180</f>
        <v>10763</v>
      </c>
      <c r="C183" s="67">
        <f t="shared" si="45"/>
        <v>11106</v>
      </c>
      <c r="D183" s="67">
        <f t="shared" si="45"/>
        <v>11395</v>
      </c>
      <c r="E183" s="67">
        <f t="shared" si="45"/>
        <v>11710</v>
      </c>
      <c r="F183" s="67">
        <f t="shared" si="45"/>
        <v>11106</v>
      </c>
      <c r="G183" s="68">
        <f t="shared" si="45"/>
        <v>12025</v>
      </c>
      <c r="H183" s="2"/>
      <c r="I183" s="2"/>
      <c r="J183" s="2"/>
    </row>
    <row r="184" ht="15" customHeight="1">
      <c r="A184" s="43" t="s">
        <v>34</v>
      </c>
      <c r="B184" s="44">
        <f>_xlfn.IFERROR(B183/Inputs!B34-1,"n.a.")</f>
        <v>0.12831533703742526</v>
      </c>
      <c r="C184" s="44">
        <f>_xlfn.IFERROR(C183/Inputs!C34-1,"n.a.")</f>
        <v>0.12159159765703897</v>
      </c>
      <c r="D184" s="44">
        <f>_xlfn.IFERROR(D183/Inputs!D34-1,"n.a.")</f>
        <v>0.11836294042594964</v>
      </c>
      <c r="E184" s="44">
        <f>_xlfn.IFERROR(E183/Inputs!E34-1,"n.a.")</f>
        <v>0.11651411136537004</v>
      </c>
      <c r="F184" s="44">
        <f>_xlfn.IFERROR(F183/Inputs!F34-1,"n.a.")</f>
        <v>0.12159159765703897</v>
      </c>
      <c r="G184" s="45">
        <f t="shared" si="8"/>
        <v>0.11725355384186575</v>
      </c>
      <c r="H184" s="2"/>
      <c r="I184" s="2"/>
      <c r="J184" s="2"/>
    </row>
    <row r="185" ht="15" customHeight="1">
      <c r="A185" s="51" t="s">
        <v>101</v>
      </c>
      <c r="B185" s="64">
        <f>_xlfn.IFERROR(B183-Inputs!E34,"n.a.")</f>
        <v>275</v>
      </c>
      <c r="C185" s="65">
        <f t="shared" si="24"/>
        <v>343</v>
      </c>
      <c r="D185" s="65">
        <f t="shared" si="24"/>
        <v>289</v>
      </c>
      <c r="E185" s="65">
        <f t="shared" si="24"/>
        <v>315</v>
      </c>
      <c r="F185" s="65" t="s">
        <v>78</v>
      </c>
      <c r="G185" s="66">
        <f t="shared" si="26"/>
        <v>315</v>
      </c>
      <c r="H185" s="2"/>
      <c r="I185" s="2"/>
      <c r="J185" s="2"/>
    </row>
    <row r="186" ht="15" customHeight="1">
      <c r="A186" s="51" t="s">
        <v>162</v>
      </c>
      <c r="B186" s="61">
        <v>10763</v>
      </c>
      <c r="C186" s="61">
        <v>11106</v>
      </c>
      <c r="D186" s="61">
        <v>11395</v>
      </c>
      <c r="E186" s="61">
        <v>11710</v>
      </c>
      <c r="F186" s="61">
        <v>11106</v>
      </c>
      <c r="G186" s="69" t="s">
        <v>78</v>
      </c>
      <c r="H186" s="2" t="s">
        <v>76</v>
      </c>
      <c r="I186" s="2"/>
      <c r="J186" s="2"/>
    </row>
    <row r="187" ht="15" customHeight="1">
      <c r="A187" s="34" t="s">
        <v>163</v>
      </c>
      <c r="B187" s="70">
        <f t="shared" si="28"/>
        <v>0</v>
      </c>
      <c r="C187" s="70">
        <f t="shared" si="28"/>
        <v>0</v>
      </c>
      <c r="D187" s="70">
        <f t="shared" si="28"/>
        <v>0</v>
      </c>
      <c r="E187" s="70">
        <f t="shared" si="28"/>
        <v>0</v>
      </c>
      <c r="F187" s="70">
        <f t="shared" si="28"/>
        <v>0</v>
      </c>
      <c r="G187" s="69" t="s">
        <v>78</v>
      </c>
      <c r="H187" s="2"/>
      <c r="I187" s="2"/>
      <c r="J187" s="2"/>
    </row>
    <row r="188" ht="15" customHeight="1">
      <c r="A188" s="2" t="s">
        <v>164</v>
      </c>
      <c r="B188" s="70">
        <f t="shared" si="46" ref="B188:G188">(B175+B183)/2</f>
        <v>10625.5</v>
      </c>
      <c r="C188" s="70">
        <f t="shared" si="46"/>
        <v>10934.5</v>
      </c>
      <c r="D188" s="70">
        <f t="shared" si="46"/>
        <v>11250.5</v>
      </c>
      <c r="E188" s="70">
        <f t="shared" si="46"/>
        <v>11552.5</v>
      </c>
      <c r="F188" s="70">
        <f t="shared" si="46"/>
        <v>10504</v>
      </c>
      <c r="G188" s="69">
        <f t="shared" si="46"/>
        <v>11867.5</v>
      </c>
      <c r="H188" s="2"/>
      <c r="I188" s="2"/>
      <c r="J188" s="2"/>
    </row>
    <row r="189" ht="15" customHeight="1">
      <c r="A189" s="43" t="s">
        <v>34</v>
      </c>
      <c r="B189" s="44">
        <f>_xlfn.IFERROR(B188/Inputs!B35-1,"n.a.")</f>
        <v>0.13387045139259413</v>
      </c>
      <c r="C189" s="44">
        <f>_xlfn.IFERROR(C188/Inputs!C35-1,"n.a.")</f>
        <v>0.12489069492310056</v>
      </c>
      <c r="D189" s="44">
        <f>_xlfn.IFERROR(D188/Inputs!D35-1,"n.a.")</f>
        <v>0.11995420835199844</v>
      </c>
      <c r="E189" s="44">
        <f>_xlfn.IFERROR(E188/Inputs!E35-1,"n.a.")</f>
        <v>0.11742515838854772</v>
      </c>
      <c r="F189" s="44">
        <f>_xlfn.IFERROR(F188/Inputs!F35-1,"n.a.")</f>
        <v>0.13507672357899292</v>
      </c>
      <c r="G189" s="45">
        <f t="shared" si="8"/>
        <v>0.11688861700625863</v>
      </c>
      <c r="H189" s="2"/>
      <c r="I189" s="2"/>
      <c r="J189" s="2"/>
    </row>
    <row r="190" ht="15" customHeight="1">
      <c r="A190" s="51" t="s">
        <v>101</v>
      </c>
      <c r="B190" s="64">
        <f>_xlfn.IFERROR(B188-Inputs!E35,"n.a.")</f>
        <v>287</v>
      </c>
      <c r="C190" s="65">
        <f t="shared" si="24"/>
        <v>309</v>
      </c>
      <c r="D190" s="65">
        <f t="shared" si="24"/>
        <v>316</v>
      </c>
      <c r="E190" s="65">
        <f t="shared" si="24"/>
        <v>302</v>
      </c>
      <c r="F190" s="65" t="s">
        <v>78</v>
      </c>
      <c r="G190" s="66">
        <f t="shared" si="26"/>
        <v>315</v>
      </c>
      <c r="H190" s="2"/>
      <c r="I190" s="2"/>
      <c r="J190" s="2"/>
    </row>
    <row r="191" ht="15" customHeight="1">
      <c r="A191" s="31" t="s">
        <v>165</v>
      </c>
      <c r="B191" s="19">
        <f t="shared" si="47" ref="B191:G191">-B177/B175</f>
        <v>0.014492753623188406</v>
      </c>
      <c r="C191" s="19">
        <f t="shared" si="47"/>
        <v>0.017560159806745333</v>
      </c>
      <c r="D191" s="19">
        <f t="shared" si="47"/>
        <v>0.012785881505492527</v>
      </c>
      <c r="E191" s="19">
        <f t="shared" si="47"/>
        <v>0.013426941641070646</v>
      </c>
      <c r="F191" s="19">
        <f t="shared" si="47"/>
        <v>0.05221167440921026</v>
      </c>
      <c r="G191" s="47">
        <f t="shared" si="47"/>
        <v>0.012809564474807857</v>
      </c>
      <c r="H191" s="2"/>
      <c r="I191" s="2"/>
      <c r="J191" s="2"/>
    </row>
    <row r="192" ht="15" customHeight="1">
      <c r="A192" s="43" t="s">
        <v>107</v>
      </c>
      <c r="B192" s="58">
        <f>_xlfn.IFERROR((B191-Inputs!B36)*10000,"n.a.")</f>
        <v>98.20364184961743</v>
      </c>
      <c r="C192" s="58">
        <f>_xlfn.IFERROR((C191-Inputs!C36)*10000,"n.a.")</f>
        <v>39.318968861037554</v>
      </c>
      <c r="D192" s="58">
        <f>_xlfn.IFERROR((D191-Inputs!D36)*10000,"n.a.")</f>
        <v>47.06705581436781</v>
      </c>
      <c r="E192" s="58">
        <f>_xlfn.IFERROR((E191-Inputs!E36)*10000,"n.a.")</f>
        <v>40.0501603502491</v>
      </c>
      <c r="F192" s="58">
        <f>_xlfn.IFERROR((F191-Inputs!F36)*10000,"n.a.")</f>
        <v>254.86134088503778</v>
      </c>
      <c r="G192" s="59">
        <f t="shared" si="34"/>
        <v>-16.83189148380549</v>
      </c>
      <c r="H192" s="2"/>
      <c r="I192" s="2"/>
      <c r="J192" s="2"/>
    </row>
    <row r="193" ht="15" customHeight="1">
      <c r="A193" s="43" t="s">
        <v>108</v>
      </c>
      <c r="B193" s="58">
        <f>_xlfn.IFERROR((B191-Inputs!E36)*10000,"n.a.")</f>
        <v>50.7082801714267</v>
      </c>
      <c r="C193" s="60">
        <f t="shared" si="30"/>
        <v>30.674061835569265</v>
      </c>
      <c r="D193" s="60">
        <f t="shared" si="30"/>
        <v>-47.74278301252806</v>
      </c>
      <c r="E193" s="60">
        <f t="shared" si="30"/>
        <v>6.410601355781187</v>
      </c>
      <c r="F193" s="60" t="s">
        <v>78</v>
      </c>
      <c r="G193" s="59">
        <f t="shared" si="35"/>
        <v>-6.173771662627888</v>
      </c>
      <c r="H193" s="2"/>
      <c r="I193" s="2"/>
      <c r="J193" s="2"/>
    </row>
    <row r="194" ht="15" customHeight="1">
      <c r="A194" s="2" t="s">
        <v>166</v>
      </c>
      <c r="B194" s="18">
        <f t="shared" si="48" ref="B194:G194">B77*1000/B188</f>
        <v>75.00823490659263</v>
      </c>
      <c r="C194" s="18">
        <f t="shared" si="48"/>
        <v>77.64415382504916</v>
      </c>
      <c r="D194" s="18">
        <f t="shared" si="48"/>
        <v>75.28554286476157</v>
      </c>
      <c r="E194" s="18">
        <f t="shared" si="48"/>
        <v>76.9530404674313</v>
      </c>
      <c r="F194" s="18">
        <f t="shared" si="48"/>
        <v>300.1713632901752</v>
      </c>
      <c r="G194" s="42">
        <f t="shared" si="48"/>
        <v>76.28691805350748</v>
      </c>
      <c r="H194" s="2"/>
      <c r="I194" s="2"/>
      <c r="J194" s="2"/>
    </row>
    <row r="195" ht="15" customHeight="1">
      <c r="A195" s="43" t="s">
        <v>34</v>
      </c>
      <c r="B195" s="44">
        <f>_xlfn.IFERROR(B194/Inputs!B37-1,"n.a.")</f>
        <v>0.04910771538758141</v>
      </c>
      <c r="C195" s="44">
        <f>_xlfn.IFERROR(C194/Inputs!C37-1,"n.a.")</f>
        <v>0.041020685870883256</v>
      </c>
      <c r="D195" s="44">
        <f>_xlfn.IFERROR(D194/Inputs!D37-1,"n.a.")</f>
        <v>0.03317065689612342</v>
      </c>
      <c r="E195" s="44">
        <f>_xlfn.IFERROR(E194/Inputs!E37-1,"n.a.")</f>
        <v>0.026553559835533314</v>
      </c>
      <c r="F195" s="44">
        <f>_xlfn.IFERROR(F194/Inputs!F37-1,"n.a.")</f>
        <v>0.03532828769559493</v>
      </c>
      <c r="G195" s="45">
        <f t="shared" si="8"/>
        <v>0.01704723686015508</v>
      </c>
      <c r="H195" s="2"/>
      <c r="I195" s="2"/>
      <c r="J195" s="2"/>
    </row>
    <row r="196" ht="15" customHeight="1">
      <c r="A196" s="51" t="s">
        <v>101</v>
      </c>
      <c r="B196" s="55">
        <f>_xlfn.IFERROR(B194-Inputs!E37,"n.a.")</f>
        <v>0.04571616596294348</v>
      </c>
      <c r="C196" s="56">
        <f t="shared" si="24"/>
        <v>2.6359189184565253</v>
      </c>
      <c r="D196" s="56">
        <f t="shared" si="24"/>
        <v>-2.358610960287592</v>
      </c>
      <c r="E196" s="56">
        <f t="shared" si="24"/>
        <v>1.6674976026697266</v>
      </c>
      <c r="F196" s="56" t="s">
        <v>78</v>
      </c>
      <c r="G196" s="57">
        <f t="shared" si="26"/>
        <v>-0.6661224139238158</v>
      </c>
      <c r="H196" s="2"/>
      <c r="I196" s="2"/>
      <c r="J196" s="2"/>
    </row>
    <row r="197" ht="15" customHeight="1">
      <c r="A197" s="51" t="s">
        <v>167</v>
      </c>
      <c r="B197" s="62">
        <f>Inputs!E38</f>
        <v>6087</v>
      </c>
      <c r="C197" s="70">
        <f t="shared" si="42"/>
        <v>6223</v>
      </c>
      <c r="D197" s="70">
        <f t="shared" si="42"/>
        <v>6364</v>
      </c>
      <c r="E197" s="70">
        <f t="shared" si="42"/>
        <v>6477</v>
      </c>
      <c r="F197" s="62">
        <f>Inputs!C38</f>
        <v>5807</v>
      </c>
      <c r="G197" s="69">
        <f t="shared" si="49"/>
        <v>6615</v>
      </c>
      <c r="H197" s="2" t="s">
        <v>76</v>
      </c>
      <c r="I197" s="2"/>
      <c r="J197" s="2"/>
    </row>
    <row r="198" ht="15" customHeight="1">
      <c r="A198" s="51" t="s">
        <v>168</v>
      </c>
      <c r="B198" s="70">
        <f t="shared" si="50" ref="B198:G198">B120</f>
        <v>263</v>
      </c>
      <c r="C198" s="70">
        <f t="shared" si="50"/>
        <v>304</v>
      </c>
      <c r="D198" s="70">
        <f t="shared" si="50"/>
        <v>226</v>
      </c>
      <c r="E198" s="70">
        <f t="shared" si="50"/>
        <v>267</v>
      </c>
      <c r="F198" s="70">
        <f t="shared" si="50"/>
        <v>987</v>
      </c>
      <c r="G198" s="69">
        <f t="shared" si="50"/>
        <v>265</v>
      </c>
      <c r="H198" s="2"/>
      <c r="I198" s="2"/>
      <c r="J198" s="2"/>
    </row>
    <row r="199" ht="15" customHeight="1">
      <c r="A199" s="51" t="s">
        <v>169</v>
      </c>
      <c r="B199" s="61">
        <v>-127</v>
      </c>
      <c r="C199" s="61">
        <v>-163</v>
      </c>
      <c r="D199" s="61">
        <v>-113</v>
      </c>
      <c r="E199" s="61">
        <v>-129</v>
      </c>
      <c r="F199" s="62">
        <f>Inputs!D122+Inputs!E122+B199+C199</f>
        <v>-430</v>
      </c>
      <c r="G199" s="63">
        <v>-125</v>
      </c>
      <c r="H199" s="2" t="s">
        <v>76</v>
      </c>
      <c r="I199" s="2"/>
      <c r="J199" s="2"/>
    </row>
    <row r="200" ht="15" customHeight="1">
      <c r="A200" s="43" t="s">
        <v>158</v>
      </c>
      <c r="B200" s="44" t="str">
        <f>_xlfn.IFERROR(IF(Inputs!B122&lt;0,"n.m.",B199/Inputs!B122-1),"n.a.")</f>
        <v>n.m.</v>
      </c>
      <c r="C200" s="44" t="str">
        <f>_xlfn.IFERROR(IF(Inputs!C122&lt;0,"n.m.",C199/Inputs!C122-1),"n.a.")</f>
        <v>n.m.</v>
      </c>
      <c r="D200" s="44" t="str">
        <f>_xlfn.IFERROR(IF(Inputs!D122&lt;0,"n.m.",D199/Inputs!D122-1),"n.a.")</f>
        <v>n.m.</v>
      </c>
      <c r="E200" s="44" t="str">
        <f>_xlfn.IFERROR(IF(Inputs!E122&lt;0,"n.m.",E199/Inputs!E122-1),"n.a.")</f>
        <v>n.m.</v>
      </c>
      <c r="F200" s="44" t="str">
        <f>_xlfn.IFERROR(IF(Inputs!F122&lt;0,"n.m.",F199/Inputs!F122-1),"n.a.")</f>
        <v>n.m.</v>
      </c>
      <c r="G200" s="45" t="str">
        <f t="shared" si="51"/>
        <v>n.m.</v>
      </c>
      <c r="H200" s="2"/>
      <c r="I200" s="2"/>
      <c r="J200" s="2"/>
    </row>
    <row r="201" ht="15" customHeight="1">
      <c r="A201" s="51" t="s">
        <v>101</v>
      </c>
      <c r="B201" s="64">
        <f>_xlfn.IFERROR(B199-Inputs!E122,"n.a.")</f>
        <v>-41</v>
      </c>
      <c r="C201" s="65">
        <f t="shared" si="24"/>
        <v>-36</v>
      </c>
      <c r="D201" s="65">
        <f t="shared" si="24"/>
        <v>50</v>
      </c>
      <c r="E201" s="65">
        <f t="shared" si="24"/>
        <v>-16</v>
      </c>
      <c r="F201" s="65" t="s">
        <v>78</v>
      </c>
      <c r="G201" s="66">
        <f t="shared" si="26"/>
        <v>4</v>
      </c>
      <c r="H201" s="2"/>
      <c r="I201" s="2"/>
      <c r="J201" s="2"/>
    </row>
    <row r="202" ht="15" customHeight="1">
      <c r="A202" s="71" t="s">
        <v>170</v>
      </c>
      <c r="B202" s="67">
        <f t="shared" si="44"/>
        <v>136</v>
      </c>
      <c r="C202" s="67">
        <f t="shared" si="44"/>
        <v>141</v>
      </c>
      <c r="D202" s="67">
        <f t="shared" si="44"/>
        <v>113</v>
      </c>
      <c r="E202" s="67">
        <f t="shared" si="44"/>
        <v>138</v>
      </c>
      <c r="F202" s="67">
        <f t="shared" si="44"/>
        <v>557</v>
      </c>
      <c r="G202" s="68">
        <f t="shared" si="44"/>
        <v>140</v>
      </c>
      <c r="H202" s="2"/>
      <c r="I202" s="2"/>
      <c r="J202" s="2"/>
    </row>
    <row r="203" ht="15" customHeight="1">
      <c r="A203" s="43" t="s">
        <v>34</v>
      </c>
      <c r="B203" s="44">
        <f>_xlfn.IFERROR(B202/Inputs!B169-1,"n.a.")</f>
        <v>-0.30964467005076146</v>
      </c>
      <c r="C203" s="44">
        <f>_xlfn.IFERROR(C202/Inputs!C169-1,"n.a.")</f>
        <v>-0.3733333333333333</v>
      </c>
      <c r="D203" s="44">
        <f>_xlfn.IFERROR(D202/Inputs!D169-1,"n.a.")</f>
        <v>-0.2466666666666667</v>
      </c>
      <c r="E203" s="44">
        <f>_xlfn.IFERROR(E202/Inputs!E169-1,"n.a.")</f>
        <v>0.06153846153846154</v>
      </c>
      <c r="F203" s="44">
        <f>_xlfn.IFERROR(F202/Inputs!F169-1,"n.a.")</f>
        <v>-0.19971264367816088</v>
      </c>
      <c r="G203" s="45">
        <f t="shared" si="8"/>
        <v>0.02941176470588225</v>
      </c>
      <c r="H203" s="2"/>
      <c r="I203" s="2"/>
      <c r="J203" s="2"/>
    </row>
    <row r="204" ht="15" customHeight="1">
      <c r="A204" s="51" t="s">
        <v>101</v>
      </c>
      <c r="B204" s="64">
        <f>_xlfn.IFERROR(B202-Inputs!E169,"n.a.")</f>
        <v>6</v>
      </c>
      <c r="C204" s="65">
        <f t="shared" si="24"/>
        <v>5</v>
      </c>
      <c r="D204" s="65">
        <f t="shared" si="24"/>
        <v>-28</v>
      </c>
      <c r="E204" s="65">
        <f t="shared" si="24"/>
        <v>25</v>
      </c>
      <c r="F204" s="65" t="s">
        <v>78</v>
      </c>
      <c r="G204" s="66">
        <f t="shared" si="26"/>
        <v>2</v>
      </c>
      <c r="H204" s="2"/>
      <c r="I204" s="2"/>
      <c r="J204" s="2"/>
    </row>
    <row r="205" ht="15" customHeight="1">
      <c r="A205" s="71" t="s">
        <v>171</v>
      </c>
      <c r="B205" s="67">
        <f t="shared" si="45"/>
        <v>6223</v>
      </c>
      <c r="C205" s="67">
        <f t="shared" si="45"/>
        <v>6364</v>
      </c>
      <c r="D205" s="67">
        <f t="shared" si="45"/>
        <v>6477</v>
      </c>
      <c r="E205" s="67">
        <f t="shared" si="45"/>
        <v>6615</v>
      </c>
      <c r="F205" s="67">
        <f t="shared" si="45"/>
        <v>6364</v>
      </c>
      <c r="G205" s="68">
        <f t="shared" si="45"/>
        <v>6755</v>
      </c>
      <c r="H205" s="2"/>
      <c r="I205" s="2"/>
      <c r="J205" s="2"/>
    </row>
    <row r="206" ht="15" customHeight="1">
      <c r="A206" s="43" t="s">
        <v>34</v>
      </c>
      <c r="B206" s="44">
        <f>_xlfn.IFERROR(B205/Inputs!B38-1,"n.a.")</f>
        <v>0.11483339304908635</v>
      </c>
      <c r="C206" s="44">
        <f>_xlfn.IFERROR(C205/Inputs!C38-1,"n.a.")</f>
        <v>0.09591871878767</v>
      </c>
      <c r="D206" s="44">
        <f>_xlfn.IFERROR(D205/Inputs!D38-1,"n.a.")</f>
        <v>0.08729226120530464</v>
      </c>
      <c r="E206" s="44">
        <f>_xlfn.IFERROR(E205/Inputs!E38-1,"n.a.")</f>
        <v>0.08674223755544608</v>
      </c>
      <c r="F206" s="44">
        <f>_xlfn.IFERROR(F205/Inputs!F38-1,"n.a.")</f>
        <v>0.09591871878767</v>
      </c>
      <c r="G206" s="45">
        <f t="shared" si="8"/>
        <v>0.08548931383577063</v>
      </c>
      <c r="H206" s="2"/>
      <c r="I206" s="2"/>
      <c r="J206" s="2"/>
    </row>
    <row r="207" ht="15" customHeight="1">
      <c r="A207" s="51" t="s">
        <v>101</v>
      </c>
      <c r="B207" s="64">
        <f>_xlfn.IFERROR(B205-Inputs!E38,"n.a.")</f>
        <v>136</v>
      </c>
      <c r="C207" s="65">
        <f t="shared" si="24"/>
        <v>141</v>
      </c>
      <c r="D207" s="65">
        <f t="shared" si="24"/>
        <v>113</v>
      </c>
      <c r="E207" s="65">
        <f t="shared" si="24"/>
        <v>138</v>
      </c>
      <c r="F207" s="65" t="s">
        <v>78</v>
      </c>
      <c r="G207" s="66">
        <f t="shared" si="26"/>
        <v>140</v>
      </c>
      <c r="H207" s="2"/>
      <c r="I207" s="2"/>
      <c r="J207" s="2"/>
    </row>
    <row r="208" ht="15" customHeight="1">
      <c r="A208" s="51" t="s">
        <v>172</v>
      </c>
      <c r="B208" s="70">
        <f t="shared" si="52" ref="B208:G222">(B197+B205)/2</f>
        <v>6155</v>
      </c>
      <c r="C208" s="70">
        <f t="shared" si="52"/>
        <v>6293.5</v>
      </c>
      <c r="D208" s="70">
        <f t="shared" si="52"/>
        <v>6420.5</v>
      </c>
      <c r="E208" s="70">
        <f t="shared" si="52"/>
        <v>6546</v>
      </c>
      <c r="F208" s="70">
        <f t="shared" si="52"/>
        <v>6085.5</v>
      </c>
      <c r="G208" s="69">
        <f t="shared" si="52"/>
        <v>6685</v>
      </c>
      <c r="H208" s="2"/>
      <c r="I208" s="2"/>
      <c r="J208" s="2"/>
    </row>
    <row r="209" ht="15" customHeight="1">
      <c r="A209" s="43" t="s">
        <v>34</v>
      </c>
      <c r="B209" s="44">
        <f>_xlfn.IFERROR(B208/Inputs!B176-1,"n.a.")</f>
        <v>0.12245828394273728</v>
      </c>
      <c r="C209" s="44">
        <f>_xlfn.IFERROR(C208/Inputs!C176-1,"n.a.")</f>
        <v>0.10518921766616907</v>
      </c>
      <c r="D209" s="44">
        <f>_xlfn.IFERROR(D208/Inputs!D176-1,"n.a.")</f>
        <v>0.09155049302958185</v>
      </c>
      <c r="E209" s="44">
        <f>_xlfn.IFERROR(E208/Inputs!E176-1,"n.a.")</f>
        <v>0.08701428096977759</v>
      </c>
      <c r="F209" s="44">
        <f>_xlfn.IFERROR(F208/Inputs!F176-1,"n.a.")</f>
        <v>0.11476460890272944</v>
      </c>
      <c r="G209" s="45">
        <f t="shared" si="8"/>
        <v>0.08610885458976436</v>
      </c>
      <c r="H209" s="2"/>
      <c r="I209" s="2"/>
      <c r="J209" s="2"/>
    </row>
    <row r="210" ht="15" customHeight="1">
      <c r="A210" s="51" t="s">
        <v>101</v>
      </c>
      <c r="B210" s="64">
        <f>_xlfn.IFERROR(B208-Inputs!E176,"n.a.")</f>
        <v>133</v>
      </c>
      <c r="C210" s="65">
        <f t="shared" si="24"/>
        <v>138.5</v>
      </c>
      <c r="D210" s="65">
        <f t="shared" si="24"/>
        <v>127</v>
      </c>
      <c r="E210" s="65">
        <f t="shared" si="24"/>
        <v>125.5</v>
      </c>
      <c r="F210" s="65" t="s">
        <v>78</v>
      </c>
      <c r="G210" s="66">
        <f t="shared" si="26"/>
        <v>139</v>
      </c>
      <c r="H210" s="2"/>
      <c r="I210" s="2"/>
      <c r="J210" s="2"/>
    </row>
    <row r="211" ht="15" customHeight="1">
      <c r="A211" s="51" t="s">
        <v>173</v>
      </c>
      <c r="B211" s="62">
        <f>Inputs!E39</f>
        <v>4401</v>
      </c>
      <c r="C211" s="70">
        <f t="shared" si="42"/>
        <v>4540</v>
      </c>
      <c r="D211" s="70">
        <f t="shared" si="42"/>
        <v>4742</v>
      </c>
      <c r="E211" s="70">
        <f t="shared" si="42"/>
        <v>4918</v>
      </c>
      <c r="F211" s="62">
        <f>Inputs!C39</f>
        <v>4095</v>
      </c>
      <c r="G211" s="69">
        <f t="shared" si="49"/>
        <v>5095</v>
      </c>
      <c r="H211" s="2" t="s">
        <v>76</v>
      </c>
      <c r="I211" s="2"/>
      <c r="J211" s="2"/>
    </row>
    <row r="212" ht="15" customHeight="1">
      <c r="A212" s="51" t="s">
        <v>174</v>
      </c>
      <c r="B212" s="70">
        <f t="shared" si="53" ref="B212:G212">B123</f>
        <v>164</v>
      </c>
      <c r="C212" s="70">
        <f t="shared" si="53"/>
        <v>228</v>
      </c>
      <c r="D212" s="70">
        <f t="shared" si="53"/>
        <v>205</v>
      </c>
      <c r="E212" s="70">
        <f t="shared" si="53"/>
        <v>201</v>
      </c>
      <c r="F212" s="70">
        <f t="shared" si="53"/>
        <v>734</v>
      </c>
      <c r="G212" s="69">
        <f t="shared" si="53"/>
        <v>200</v>
      </c>
      <c r="H212" s="2"/>
      <c r="I212" s="2"/>
      <c r="J212" s="2"/>
    </row>
    <row r="213" ht="15" customHeight="1">
      <c r="A213" s="51" t="s">
        <v>175</v>
      </c>
      <c r="B213" s="61">
        <v>-25</v>
      </c>
      <c r="C213" s="61">
        <v>-26</v>
      </c>
      <c r="D213" s="61">
        <v>-29</v>
      </c>
      <c r="E213" s="61">
        <v>-24</v>
      </c>
      <c r="F213" s="62">
        <f>Inputs!D123+Inputs!E123+B213+C213</f>
        <v>-87</v>
      </c>
      <c r="G213" s="63">
        <v>-25</v>
      </c>
      <c r="H213" s="2" t="s">
        <v>76</v>
      </c>
      <c r="I213" s="2"/>
      <c r="J213" s="2"/>
    </row>
    <row r="214" ht="15" customHeight="1">
      <c r="A214" s="43" t="s">
        <v>158</v>
      </c>
      <c r="B214" s="44" t="str">
        <f>_xlfn.IFERROR(IF(Inputs!B123&lt;0,"n.m.",B213/Inputs!B123-1),"n.a.")</f>
        <v>n.m.</v>
      </c>
      <c r="C214" s="44" t="str">
        <f>_xlfn.IFERROR(IF(Inputs!C123&lt;0,"n.m.",C213/Inputs!C123-1),"n.a.")</f>
        <v>n.m.</v>
      </c>
      <c r="D214" s="44" t="str">
        <f>_xlfn.IFERROR(IF(Inputs!D123&lt;0,"n.m.",D213/Inputs!D123-1),"n.a.")</f>
        <v>n.m.</v>
      </c>
      <c r="E214" s="44" t="str">
        <f>_xlfn.IFERROR(IF(Inputs!E123&lt;0,"n.m.",E213/Inputs!E123-1),"n.a.")</f>
        <v>n.m.</v>
      </c>
      <c r="F214" s="44" t="str">
        <f>_xlfn.IFERROR(IF(Inputs!F123&lt;0,"n.m.",F213/Inputs!F123-1),"n.a.")</f>
        <v>n.m.</v>
      </c>
      <c r="G214" s="45" t="str">
        <f t="shared" si="51"/>
        <v>n.m.</v>
      </c>
      <c r="H214" s="2"/>
      <c r="I214" s="2"/>
      <c r="J214" s="2"/>
    </row>
    <row r="215" ht="15" customHeight="1">
      <c r="A215" s="51" t="s">
        <v>101</v>
      </c>
      <c r="B215" s="64">
        <f>_xlfn.IFERROR(B213-Inputs!E123,"n.a.")</f>
        <v>-15</v>
      </c>
      <c r="C215" s="65">
        <f t="shared" si="24"/>
        <v>-1</v>
      </c>
      <c r="D215" s="65">
        <f t="shared" si="24"/>
        <v>-3</v>
      </c>
      <c r="E215" s="65">
        <f t="shared" si="24"/>
        <v>5</v>
      </c>
      <c r="F215" s="65" t="s">
        <v>78</v>
      </c>
      <c r="G215" s="66">
        <f t="shared" si="26"/>
        <v>-1</v>
      </c>
      <c r="H215" s="2"/>
      <c r="I215" s="2"/>
      <c r="J215" s="2"/>
    </row>
    <row r="216" ht="15" customHeight="1">
      <c r="A216" s="71" t="s">
        <v>176</v>
      </c>
      <c r="B216" s="67">
        <f t="shared" si="44"/>
        <v>139</v>
      </c>
      <c r="C216" s="67">
        <f t="shared" si="44"/>
        <v>202</v>
      </c>
      <c r="D216" s="67">
        <f t="shared" si="44"/>
        <v>176</v>
      </c>
      <c r="E216" s="67">
        <f t="shared" si="44"/>
        <v>177</v>
      </c>
      <c r="F216" s="67">
        <f t="shared" si="44"/>
        <v>647</v>
      </c>
      <c r="G216" s="68">
        <f t="shared" si="44"/>
        <v>175</v>
      </c>
      <c r="H216" s="2"/>
      <c r="I216" s="2"/>
      <c r="J216" s="2"/>
    </row>
    <row r="217" ht="15" customHeight="1">
      <c r="A217" s="43" t="s">
        <v>34</v>
      </c>
      <c r="B217" s="44">
        <f>_xlfn.IFERROR(B216/Inputs!B170-1,"n.a.")</f>
        <v>0</v>
      </c>
      <c r="C217" s="44">
        <f>_xlfn.IFERROR(C216/Inputs!C170-1,"n.a.")</f>
        <v>0.46376811594202905</v>
      </c>
      <c r="D217" s="44">
        <f>_xlfn.IFERROR(D216/Inputs!D170-1,"n.a.")</f>
        <v>0.2846715328467153</v>
      </c>
      <c r="E217" s="44">
        <f>_xlfn.IFERROR(E216/Inputs!E170-1,"n.a.")</f>
        <v>0.047337278106508895</v>
      </c>
      <c r="F217" s="44">
        <f>_xlfn.IFERROR(F216/Inputs!F170-1,"n.a.")</f>
        <v>0.07833333333333337</v>
      </c>
      <c r="G217" s="45">
        <f t="shared" si="8"/>
        <v>0.2589928057553956</v>
      </c>
      <c r="H217" s="2"/>
      <c r="I217" s="2"/>
      <c r="J217" s="2"/>
    </row>
    <row r="218" ht="15" customHeight="1">
      <c r="A218" s="51" t="s">
        <v>101</v>
      </c>
      <c r="B218" s="64">
        <f>_xlfn.IFERROR(B216-Inputs!E170,"n.a.")</f>
        <v>-30</v>
      </c>
      <c r="C218" s="65">
        <f t="shared" si="24"/>
        <v>63</v>
      </c>
      <c r="D218" s="65">
        <f t="shared" si="24"/>
        <v>-26</v>
      </c>
      <c r="E218" s="65">
        <f t="shared" si="24"/>
        <v>1</v>
      </c>
      <c r="F218" s="65" t="s">
        <v>78</v>
      </c>
      <c r="G218" s="66">
        <f t="shared" si="26"/>
        <v>-2</v>
      </c>
      <c r="H218" s="2"/>
      <c r="I218" s="2"/>
      <c r="J218" s="2"/>
    </row>
    <row r="219" ht="15" customHeight="1">
      <c r="A219" s="71" t="s">
        <v>177</v>
      </c>
      <c r="B219" s="67">
        <f t="shared" si="45"/>
        <v>4540</v>
      </c>
      <c r="C219" s="67">
        <f t="shared" si="45"/>
        <v>4742</v>
      </c>
      <c r="D219" s="67">
        <f t="shared" si="45"/>
        <v>4918</v>
      </c>
      <c r="E219" s="67">
        <f t="shared" si="45"/>
        <v>5095</v>
      </c>
      <c r="F219" s="67">
        <f t="shared" si="45"/>
        <v>4742</v>
      </c>
      <c r="G219" s="68">
        <f t="shared" si="45"/>
        <v>5270</v>
      </c>
      <c r="H219" s="2"/>
      <c r="I219" s="2"/>
      <c r="J219" s="2"/>
    </row>
    <row r="220" ht="15" customHeight="1">
      <c r="A220" s="43" t="s">
        <v>34</v>
      </c>
      <c r="B220" s="44">
        <f>_xlfn.IFERROR(B219/Inputs!B39-1,"n.a.")</f>
        <v>0.14733383876674244</v>
      </c>
      <c r="C220" s="44">
        <f>_xlfn.IFERROR(C219/Inputs!C39-1,"n.a.")</f>
        <v>0.1579975579975581</v>
      </c>
      <c r="D220" s="44">
        <f>_xlfn.IFERROR(D219/Inputs!D39-1,"n.a.")</f>
        <v>0.16209829867674852</v>
      </c>
      <c r="E220" s="44">
        <f>_xlfn.IFERROR(E219/Inputs!E39-1,"n.a.")</f>
        <v>0.15769143376505346</v>
      </c>
      <c r="F220" s="44">
        <f>_xlfn.IFERROR(F219/Inputs!F39-1,"n.a.")</f>
        <v>0.1579975579975581</v>
      </c>
      <c r="G220" s="45">
        <f t="shared" si="8"/>
        <v>0.16079295154185025</v>
      </c>
      <c r="H220" s="2"/>
      <c r="I220" s="2"/>
      <c r="J220" s="2"/>
    </row>
    <row r="221" ht="15" customHeight="1">
      <c r="A221" s="51" t="s">
        <v>101</v>
      </c>
      <c r="B221" s="64">
        <f>_xlfn.IFERROR(B219-Inputs!E39,"n.a.")</f>
        <v>139</v>
      </c>
      <c r="C221" s="65">
        <f t="shared" si="24"/>
        <v>202</v>
      </c>
      <c r="D221" s="65">
        <f t="shared" si="24"/>
        <v>176</v>
      </c>
      <c r="E221" s="65">
        <f t="shared" si="24"/>
        <v>177</v>
      </c>
      <c r="F221" s="65" t="s">
        <v>78</v>
      </c>
      <c r="G221" s="66">
        <f t="shared" si="26"/>
        <v>175</v>
      </c>
      <c r="H221" s="2"/>
      <c r="I221" s="2"/>
      <c r="J221" s="2"/>
    </row>
    <row r="222" ht="15" customHeight="1">
      <c r="A222" s="51" t="s">
        <v>178</v>
      </c>
      <c r="B222" s="70">
        <f t="shared" si="52"/>
        <v>4470.5</v>
      </c>
      <c r="C222" s="70">
        <f t="shared" si="52"/>
        <v>4641</v>
      </c>
      <c r="D222" s="70">
        <f t="shared" si="52"/>
        <v>4830</v>
      </c>
      <c r="E222" s="70">
        <f t="shared" si="52"/>
        <v>5006.5</v>
      </c>
      <c r="F222" s="70">
        <f t="shared" si="52"/>
        <v>4418.5</v>
      </c>
      <c r="G222" s="69">
        <f t="shared" si="52"/>
        <v>5182.5</v>
      </c>
      <c r="H222" s="2"/>
      <c r="I222" s="2"/>
      <c r="J222" s="2"/>
    </row>
    <row r="223" ht="15" customHeight="1">
      <c r="A223" s="43" t="s">
        <v>34</v>
      </c>
      <c r="B223" s="44">
        <f>_xlfn.IFERROR(B222/Inputs!B177-1,"n.a.")</f>
        <v>0.149967845659164</v>
      </c>
      <c r="C223" s="44">
        <f>_xlfn.IFERROR(C222/Inputs!C177-1,"n.a.")</f>
        <v>0.15275707898658708</v>
      </c>
      <c r="D223" s="44">
        <f>_xlfn.IFERROR(D222/Inputs!D177-1,"n.a.")</f>
        <v>0.16008166206316798</v>
      </c>
      <c r="E223" s="44">
        <f>_xlfn.IFERROR(E222/Inputs!E177-1,"n.a.")</f>
        <v>0.15985173172709377</v>
      </c>
      <c r="F223" s="44">
        <f>_xlfn.IFERROR(F222/Inputs!F177-1,"n.a.")</f>
        <v>0.16429512516469047</v>
      </c>
      <c r="G223" s="45">
        <f t="shared" si="8"/>
        <v>0.15926630130857844</v>
      </c>
      <c r="H223" s="2"/>
      <c r="I223" s="2"/>
      <c r="J223" s="2"/>
    </row>
    <row r="224" ht="15" customHeight="1">
      <c r="A224" s="51" t="s">
        <v>101</v>
      </c>
      <c r="B224" s="64">
        <f>_xlfn.IFERROR(B222-Inputs!E177,"n.a.")</f>
        <v>154</v>
      </c>
      <c r="C224" s="65">
        <f t="shared" si="24"/>
        <v>170.5</v>
      </c>
      <c r="D224" s="65">
        <f t="shared" si="24"/>
        <v>189</v>
      </c>
      <c r="E224" s="65">
        <f t="shared" si="24"/>
        <v>176.5</v>
      </c>
      <c r="F224" s="65" t="s">
        <v>78</v>
      </c>
      <c r="G224" s="66">
        <f t="shared" si="26"/>
        <v>176</v>
      </c>
      <c r="H224" s="2"/>
      <c r="I224" s="2"/>
      <c r="J224" s="2"/>
    </row>
    <row r="225" ht="15" customHeight="1">
      <c r="A225" s="34" t="s">
        <v>179</v>
      </c>
      <c r="B225" s="70">
        <f t="shared" si="54" ref="B225:G225">B205+B219-B183</f>
        <v>0</v>
      </c>
      <c r="C225" s="70">
        <f t="shared" si="54"/>
        <v>0</v>
      </c>
      <c r="D225" s="70">
        <f t="shared" si="54"/>
        <v>0</v>
      </c>
      <c r="E225" s="70">
        <f t="shared" si="54"/>
        <v>0</v>
      </c>
      <c r="F225" s="70">
        <f t="shared" si="54"/>
        <v>0</v>
      </c>
      <c r="G225" s="69">
        <f t="shared" si="54"/>
        <v>0</v>
      </c>
      <c r="H225" s="2"/>
      <c r="I225" s="2"/>
      <c r="J225" s="2"/>
    </row>
    <row r="226" ht="15" customHeight="1">
      <c r="A226" s="51" t="s">
        <v>180</v>
      </c>
      <c r="B226" s="70" t="s">
        <v>81</v>
      </c>
      <c r="C226" s="70" t="s">
        <v>81</v>
      </c>
      <c r="D226" s="61">
        <v>2257</v>
      </c>
      <c r="E226" s="61">
        <v>2325</v>
      </c>
      <c r="F226" s="70" t="str">
        <f t="shared" si="55" ref="F226:F313">C226</f>
        <v>n.d.</v>
      </c>
      <c r="G226" s="69" t="s">
        <v>134</v>
      </c>
      <c r="H226" s="2" t="s">
        <v>181</v>
      </c>
      <c r="I226" s="2"/>
      <c r="J226" s="2"/>
    </row>
    <row r="227" ht="15" customHeight="1">
      <c r="A227" s="43" t="s">
        <v>34</v>
      </c>
      <c r="B227" s="46" t="s">
        <v>78</v>
      </c>
      <c r="C227" s="46" t="s">
        <v>78</v>
      </c>
      <c r="D227" s="46" t="s">
        <v>78</v>
      </c>
      <c r="E227" s="46" t="s">
        <v>78</v>
      </c>
      <c r="F227" s="46" t="s">
        <v>78</v>
      </c>
      <c r="G227" s="45" t="str">
        <f t="shared" si="8"/>
        <v>n.a.</v>
      </c>
      <c r="H227" s="2"/>
      <c r="I227" s="2"/>
      <c r="J227" s="2"/>
    </row>
    <row r="228" ht="15" customHeight="1">
      <c r="A228" s="51" t="s">
        <v>101</v>
      </c>
      <c r="B228" s="65" t="s">
        <v>78</v>
      </c>
      <c r="C228" s="65" t="str">
        <f t="shared" si="24"/>
        <v>n.a.</v>
      </c>
      <c r="D228" s="65" t="str">
        <f t="shared" si="24"/>
        <v>n.a.</v>
      </c>
      <c r="E228" s="65">
        <f t="shared" si="24"/>
        <v>68</v>
      </c>
      <c r="F228" s="65" t="s">
        <v>78</v>
      </c>
      <c r="G228" s="66" t="str">
        <f t="shared" si="26"/>
        <v>n.a.</v>
      </c>
      <c r="H228" s="2"/>
      <c r="I228" s="2"/>
      <c r="J228" s="2"/>
    </row>
    <row r="229" ht="15" customHeight="1">
      <c r="A229" s="51" t="s">
        <v>182</v>
      </c>
      <c r="B229" s="70" t="s">
        <v>81</v>
      </c>
      <c r="C229" s="70" t="s">
        <v>81</v>
      </c>
      <c r="D229" s="61">
        <v>2049</v>
      </c>
      <c r="E229" s="61">
        <v>2111</v>
      </c>
      <c r="F229" s="70" t="str">
        <f t="shared" si="55"/>
        <v>n.d.</v>
      </c>
      <c r="G229" s="69" t="s">
        <v>134</v>
      </c>
      <c r="H229" s="2" t="s">
        <v>181</v>
      </c>
      <c r="I229" s="2"/>
      <c r="J229" s="2"/>
    </row>
    <row r="230" ht="15" customHeight="1">
      <c r="A230" s="43" t="s">
        <v>34</v>
      </c>
      <c r="B230" s="46" t="s">
        <v>78</v>
      </c>
      <c r="C230" s="46" t="s">
        <v>78</v>
      </c>
      <c r="D230" s="46" t="s">
        <v>78</v>
      </c>
      <c r="E230" s="46" t="s">
        <v>78</v>
      </c>
      <c r="F230" s="46" t="s">
        <v>78</v>
      </c>
      <c r="G230" s="45" t="str">
        <f t="shared" si="8"/>
        <v>n.a.</v>
      </c>
      <c r="H230" s="2"/>
      <c r="I230" s="2"/>
      <c r="J230" s="2"/>
    </row>
    <row r="231" ht="15" customHeight="1">
      <c r="A231" s="51" t="s">
        <v>101</v>
      </c>
      <c r="B231" s="65" t="s">
        <v>78</v>
      </c>
      <c r="C231" s="65" t="str">
        <f t="shared" si="24"/>
        <v>n.a.</v>
      </c>
      <c r="D231" s="65" t="str">
        <f t="shared" si="24"/>
        <v>n.a.</v>
      </c>
      <c r="E231" s="65">
        <f t="shared" si="24"/>
        <v>62</v>
      </c>
      <c r="F231" s="65" t="s">
        <v>78</v>
      </c>
      <c r="G231" s="66" t="str">
        <f t="shared" si="26"/>
        <v>n.a.</v>
      </c>
      <c r="H231" s="2"/>
      <c r="I231" s="2"/>
      <c r="J231" s="2"/>
    </row>
    <row r="232" ht="15" customHeight="1">
      <c r="A232" s="51" t="s">
        <v>183</v>
      </c>
      <c r="B232" s="70" t="s">
        <v>81</v>
      </c>
      <c r="C232" s="70" t="s">
        <v>81</v>
      </c>
      <c r="D232" s="61">
        <v>612</v>
      </c>
      <c r="E232" s="61">
        <v>659</v>
      </c>
      <c r="F232" s="70" t="str">
        <f t="shared" si="55"/>
        <v>n.d.</v>
      </c>
      <c r="G232" s="69" t="s">
        <v>134</v>
      </c>
      <c r="H232" s="2" t="s">
        <v>181</v>
      </c>
      <c r="I232" s="2"/>
      <c r="J232" s="2"/>
    </row>
    <row r="233" ht="15" customHeight="1">
      <c r="A233" s="43" t="s">
        <v>34</v>
      </c>
      <c r="B233" s="46" t="s">
        <v>78</v>
      </c>
      <c r="C233" s="46" t="s">
        <v>78</v>
      </c>
      <c r="D233" s="46" t="s">
        <v>78</v>
      </c>
      <c r="E233" s="46" t="s">
        <v>78</v>
      </c>
      <c r="F233" s="46" t="s">
        <v>78</v>
      </c>
      <c r="G233" s="45" t="str">
        <f t="shared" si="8"/>
        <v>n.a.</v>
      </c>
      <c r="H233" s="2"/>
      <c r="I233" s="2"/>
      <c r="J233" s="2"/>
    </row>
    <row r="234" ht="15" customHeight="1">
      <c r="A234" s="51" t="s">
        <v>101</v>
      </c>
      <c r="B234" s="65" t="s">
        <v>78</v>
      </c>
      <c r="C234" s="65" t="str">
        <f t="shared" si="24"/>
        <v>n.a.</v>
      </c>
      <c r="D234" s="65" t="str">
        <f t="shared" si="24"/>
        <v>n.a.</v>
      </c>
      <c r="E234" s="65">
        <f t="shared" si="24"/>
        <v>47</v>
      </c>
      <c r="F234" s="65" t="s">
        <v>78</v>
      </c>
      <c r="G234" s="66" t="str">
        <f t="shared" si="26"/>
        <v>n.a.</v>
      </c>
      <c r="H234" s="2"/>
      <c r="I234" s="2"/>
      <c r="J234" s="2"/>
    </row>
    <row r="235" ht="15" customHeight="1">
      <c r="A235" s="34" t="s">
        <v>184</v>
      </c>
      <c r="B235" s="70" t="str">
        <f t="shared" si="56" ref="B235:G235">IF(COUNT(B226,B229,B232)=3,B205+B226+B229+B232-B183,"n.a.")</f>
        <v>n.a.</v>
      </c>
      <c r="C235" s="70" t="str">
        <f t="shared" si="56"/>
        <v>n.a.</v>
      </c>
      <c r="D235" s="70">
        <f t="shared" si="56"/>
        <v>0</v>
      </c>
      <c r="E235" s="70">
        <f t="shared" si="56"/>
        <v>0</v>
      </c>
      <c r="F235" s="70" t="str">
        <f t="shared" si="56"/>
        <v>n.a.</v>
      </c>
      <c r="G235" s="69" t="str">
        <f t="shared" si="56"/>
        <v>n.a.</v>
      </c>
      <c r="H235" s="2"/>
      <c r="I235" s="2"/>
      <c r="J235" s="2"/>
    </row>
    <row r="236" ht="15" customHeight="1">
      <c r="A236" s="2" t="s">
        <v>185</v>
      </c>
      <c r="B236" s="61">
        <v>929</v>
      </c>
      <c r="C236" s="70" t="s">
        <v>81</v>
      </c>
      <c r="D236" s="61">
        <v>1464</v>
      </c>
      <c r="E236" s="61">
        <v>1710</v>
      </c>
      <c r="F236" s="70" t="s">
        <v>81</v>
      </c>
      <c r="G236" s="69">
        <f>E236+G105+G108</f>
        <v>1970</v>
      </c>
      <c r="H236" s="2" t="s">
        <v>135</v>
      </c>
      <c r="I236" s="2"/>
      <c r="J236" s="2"/>
    </row>
    <row r="237" ht="15" customHeight="1">
      <c r="A237" s="43" t="s">
        <v>34</v>
      </c>
      <c r="B237" s="46" t="s">
        <v>78</v>
      </c>
      <c r="C237" s="46" t="s">
        <v>78</v>
      </c>
      <c r="D237" s="46" t="s">
        <v>78</v>
      </c>
      <c r="E237" s="46" t="s">
        <v>78</v>
      </c>
      <c r="F237" s="46" t="s">
        <v>78</v>
      </c>
      <c r="G237" s="45">
        <f t="shared" si="8"/>
        <v>1.1205597416576962</v>
      </c>
      <c r="H237" s="2"/>
      <c r="I237" s="2"/>
      <c r="J237" s="2"/>
    </row>
    <row r="238" ht="15" customHeight="1">
      <c r="A238" s="51" t="s">
        <v>101</v>
      </c>
      <c r="B238" s="65" t="s">
        <v>78</v>
      </c>
      <c r="C238" s="65" t="str">
        <f t="shared" si="24"/>
        <v>n.a.</v>
      </c>
      <c r="D238" s="65" t="str">
        <f t="shared" si="24"/>
        <v>n.a.</v>
      </c>
      <c r="E238" s="65">
        <f t="shared" si="24"/>
        <v>246</v>
      </c>
      <c r="F238" s="65" t="s">
        <v>78</v>
      </c>
      <c r="G238" s="66">
        <f t="shared" si="26"/>
        <v>260</v>
      </c>
      <c r="H238" s="2"/>
      <c r="I238" s="2"/>
      <c r="J238" s="2"/>
    </row>
    <row r="239" ht="15" customHeight="1">
      <c r="A239" s="51" t="s">
        <v>186</v>
      </c>
      <c r="B239" s="70" t="s">
        <v>81</v>
      </c>
      <c r="C239" s="70" t="s">
        <v>81</v>
      </c>
      <c r="D239" s="61">
        <v>105</v>
      </c>
      <c r="E239" s="61">
        <v>136</v>
      </c>
      <c r="F239" s="70" t="s">
        <v>81</v>
      </c>
      <c r="G239" s="69" t="s">
        <v>134</v>
      </c>
      <c r="H239" s="2" t="s">
        <v>181</v>
      </c>
      <c r="I239" s="2"/>
      <c r="J239" s="2"/>
    </row>
    <row r="240" ht="15" customHeight="1">
      <c r="A240" s="2" t="s">
        <v>187</v>
      </c>
      <c r="B240" s="61">
        <v>343</v>
      </c>
      <c r="C240" s="70" t="s">
        <v>81</v>
      </c>
      <c r="D240" s="61">
        <v>410</v>
      </c>
      <c r="E240" s="61">
        <v>445</v>
      </c>
      <c r="F240" s="70" t="s">
        <v>81</v>
      </c>
      <c r="G240" s="69">
        <f>E240+G111</f>
        <v>484</v>
      </c>
      <c r="H240" s="2" t="s">
        <v>135</v>
      </c>
      <c r="I240" s="2"/>
      <c r="J240" s="2"/>
    </row>
    <row r="241" ht="15" customHeight="1">
      <c r="A241" s="43" t="s">
        <v>34</v>
      </c>
      <c r="B241" s="46" t="s">
        <v>78</v>
      </c>
      <c r="C241" s="46" t="s">
        <v>78</v>
      </c>
      <c r="D241" s="46" t="s">
        <v>78</v>
      </c>
      <c r="E241" s="46" t="s">
        <v>78</v>
      </c>
      <c r="F241" s="46" t="s">
        <v>78</v>
      </c>
      <c r="G241" s="45">
        <f t="shared" si="8"/>
        <v>0.4110787172011663</v>
      </c>
      <c r="H241" s="2"/>
      <c r="I241" s="2"/>
      <c r="J241" s="2"/>
    </row>
    <row r="242" ht="15" customHeight="1">
      <c r="A242" s="51" t="s">
        <v>101</v>
      </c>
      <c r="B242" s="65" t="s">
        <v>78</v>
      </c>
      <c r="C242" s="65" t="str">
        <f t="shared" si="24"/>
        <v>n.a.</v>
      </c>
      <c r="D242" s="65" t="str">
        <f t="shared" si="24"/>
        <v>n.a.</v>
      </c>
      <c r="E242" s="65">
        <f t="shared" si="24"/>
        <v>35</v>
      </c>
      <c r="F242" s="65" t="s">
        <v>78</v>
      </c>
      <c r="G242" s="66">
        <f t="shared" si="26"/>
        <v>39</v>
      </c>
      <c r="H242" s="2"/>
      <c r="I242" s="2"/>
      <c r="J242" s="2"/>
    </row>
    <row r="243" ht="15" customHeight="1">
      <c r="A243" s="51" t="s">
        <v>188</v>
      </c>
      <c r="B243" s="62">
        <f>B244-Inputs!E40-B137</f>
        <v>-38</v>
      </c>
      <c r="C243" s="70">
        <f t="shared" si="57" ref="C243:E243">C244-B244-C137</f>
        <v>-79</v>
      </c>
      <c r="D243" s="70">
        <f t="shared" si="57"/>
        <v>-48</v>
      </c>
      <c r="E243" s="70">
        <f t="shared" si="57"/>
        <v>-78</v>
      </c>
      <c r="F243" s="70" t="s">
        <v>78</v>
      </c>
      <c r="G243" s="63">
        <v>-85</v>
      </c>
      <c r="H243" s="2"/>
      <c r="I243" s="2"/>
      <c r="J243" s="2"/>
    </row>
    <row r="244" ht="15" customHeight="1">
      <c r="A244" s="2" t="s">
        <v>189</v>
      </c>
      <c r="B244" s="61">
        <v>1379</v>
      </c>
      <c r="C244" s="61">
        <v>1400</v>
      </c>
      <c r="D244" s="61">
        <v>1477</v>
      </c>
      <c r="E244" s="61">
        <v>1522</v>
      </c>
      <c r="F244" s="70">
        <f t="shared" si="55"/>
        <v>1400</v>
      </c>
      <c r="G244" s="69">
        <f>E244+G137+G243</f>
        <v>1555</v>
      </c>
      <c r="H244" s="2" t="s">
        <v>76</v>
      </c>
      <c r="I244" s="2"/>
      <c r="J244" s="2"/>
    </row>
    <row r="245" ht="15" customHeight="1">
      <c r="A245" s="43" t="s">
        <v>34</v>
      </c>
      <c r="B245" s="44">
        <f>_xlfn.IFERROR(B244/Inputs!B40-1,"n.a.")</f>
        <v>0.06982156710628384</v>
      </c>
      <c r="C245" s="44">
        <f>_xlfn.IFERROR(C244/Inputs!C40-1,"n.a.")</f>
        <v>0.07115531752104065</v>
      </c>
      <c r="D245" s="44">
        <f>_xlfn.IFERROR(D244/Inputs!D40-1,"n.a.")</f>
        <v>0.12920489296636095</v>
      </c>
      <c r="E245" s="44">
        <f>_xlfn.IFERROR(E244/Inputs!E40-1,"n.a.")</f>
        <v>0.1698693312836279</v>
      </c>
      <c r="F245" s="44">
        <f>_xlfn.IFERROR(F244/Inputs!F40-1,"n.a.")</f>
        <v>0.07115531752104065</v>
      </c>
      <c r="G245" s="45">
        <f t="shared" si="8"/>
        <v>0.12762871646120377</v>
      </c>
      <c r="H245" s="2"/>
      <c r="I245" s="2"/>
      <c r="J245" s="2"/>
    </row>
    <row r="246" ht="15" customHeight="1">
      <c r="A246" s="51" t="s">
        <v>101</v>
      </c>
      <c r="B246" s="64">
        <f>_xlfn.IFERROR(B244-Inputs!E40,"n.a.")</f>
        <v>78</v>
      </c>
      <c r="C246" s="65">
        <f t="shared" si="24"/>
        <v>21</v>
      </c>
      <c r="D246" s="65">
        <f t="shared" si="24"/>
        <v>77</v>
      </c>
      <c r="E246" s="65">
        <f t="shared" si="24"/>
        <v>45</v>
      </c>
      <c r="F246" s="65" t="s">
        <v>78</v>
      </c>
      <c r="G246" s="66">
        <f t="shared" si="26"/>
        <v>33</v>
      </c>
      <c r="H246" s="2"/>
      <c r="I246" s="2"/>
      <c r="J246" s="2"/>
    </row>
    <row r="247" ht="15" customHeight="1">
      <c r="A247" s="43" t="s">
        <v>190</v>
      </c>
      <c r="B247" s="44" t="str">
        <f>_xlfn.IFERROR(IF(Inputs!B178&lt;0,"n.m.",B243/Inputs!B178-1),"n.a.")</f>
        <v>n.a.</v>
      </c>
      <c r="C247" s="44" t="str">
        <f>_xlfn.IFERROR(IF(Inputs!C178&lt;0,"n.m.",C243/Inputs!C178-1),"n.a.")</f>
        <v>n.m.</v>
      </c>
      <c r="D247" s="44" t="str">
        <f>_xlfn.IFERROR(IF(Inputs!D178&lt;0,"n.m.",D243/Inputs!D178-1),"n.a.")</f>
        <v>n.m.</v>
      </c>
      <c r="E247" s="44" t="str">
        <f>_xlfn.IFERROR(IF(Inputs!E178&lt;0,"n.m.",E243/Inputs!E178-1),"n.a.")</f>
        <v>n.m.</v>
      </c>
      <c r="F247" s="44" t="str">
        <f>_xlfn.IFERROR(IF(Inputs!F178&lt;0,"n.m.",F243/Inputs!F178-1),"n.a.")</f>
        <v>n.a.</v>
      </c>
      <c r="G247" s="45" t="str">
        <f t="shared" si="60" ref="G247:G253">_xlfn.IFERROR(IF(B243&lt;0,"n.m.",G243/B243-1),"n.a.")</f>
        <v>n.m.</v>
      </c>
      <c r="H247" s="2"/>
      <c r="I247" s="2"/>
      <c r="J247" s="2"/>
    </row>
    <row r="248" ht="15" customHeight="1">
      <c r="A248" s="51" t="s">
        <v>191</v>
      </c>
      <c r="B248" s="64">
        <f>_xlfn.IFERROR(B243-Inputs!E178,"n.a.")</f>
        <v>38</v>
      </c>
      <c r="C248" s="65">
        <f t="shared" si="58" ref="C248:E254">_xlfn.IFERROR(C243-B243,"n.a.")</f>
        <v>-41</v>
      </c>
      <c r="D248" s="65">
        <f t="shared" si="58"/>
        <v>31</v>
      </c>
      <c r="E248" s="65">
        <f t="shared" si="58"/>
        <v>-30</v>
      </c>
      <c r="F248" s="65" t="s">
        <v>78</v>
      </c>
      <c r="G248" s="66">
        <f t="shared" si="61" ref="G248:G254">_xlfn.IFERROR(G243-E243,"n.a.")</f>
        <v>-7</v>
      </c>
      <c r="H248" s="2"/>
      <c r="I248" s="2"/>
      <c r="J248" s="2"/>
    </row>
    <row r="249" ht="15" customHeight="1">
      <c r="A249" s="51" t="s">
        <v>192</v>
      </c>
      <c r="B249" s="62">
        <f>B250-Inputs!E41-B140</f>
        <v>-65</v>
      </c>
      <c r="C249" s="70">
        <f t="shared" si="59" ref="C249:E249">C250-B250-C140</f>
        <v>-76</v>
      </c>
      <c r="D249" s="70">
        <f t="shared" si="59"/>
        <v>-80</v>
      </c>
      <c r="E249" s="70">
        <f t="shared" si="59"/>
        <v>-76</v>
      </c>
      <c r="F249" s="70" t="s">
        <v>78</v>
      </c>
      <c r="G249" s="63">
        <v>-75</v>
      </c>
      <c r="H249" s="2"/>
      <c r="I249" s="2"/>
      <c r="J249" s="2"/>
    </row>
    <row r="250" ht="15" customHeight="1">
      <c r="A250" s="2" t="s">
        <v>193</v>
      </c>
      <c r="B250" s="61">
        <v>1736</v>
      </c>
      <c r="C250" s="61">
        <v>1810</v>
      </c>
      <c r="D250" s="61">
        <v>1848</v>
      </c>
      <c r="E250" s="61">
        <v>1903</v>
      </c>
      <c r="F250" s="70">
        <f t="shared" si="55"/>
        <v>1810</v>
      </c>
      <c r="G250" s="69">
        <f>E250+G140+G249</f>
        <v>1965</v>
      </c>
      <c r="H250" s="2" t="s">
        <v>76</v>
      </c>
      <c r="I250" s="2"/>
      <c r="J250" s="2"/>
    </row>
    <row r="251" ht="15" customHeight="1">
      <c r="A251" s="43" t="s">
        <v>34</v>
      </c>
      <c r="B251" s="44">
        <f>_xlfn.IFERROR(B250/Inputs!B41-1,"n.a.")</f>
        <v>0.28402366863905315</v>
      </c>
      <c r="C251" s="44">
        <f>_xlfn.IFERROR(C250/Inputs!C41-1,"n.a.")</f>
        <v>0.21313672922252014</v>
      </c>
      <c r="D251" s="44">
        <f>_xlfn.IFERROR(D250/Inputs!D41-1,"n.a.")</f>
        <v>0.15644555694618267</v>
      </c>
      <c r="E251" s="44">
        <f>_xlfn.IFERROR(E250/Inputs!E41-1,"n.a.")</f>
        <v>0.12870699881376035</v>
      </c>
      <c r="F251" s="44">
        <f>_xlfn.IFERROR(F250/Inputs!F41-1,"n.a.")</f>
        <v>0.21313672922252014</v>
      </c>
      <c r="G251" s="45">
        <f t="shared" si="8"/>
        <v>0.1319124423963134</v>
      </c>
      <c r="H251" s="2"/>
      <c r="I251" s="2"/>
      <c r="J251" s="2"/>
    </row>
    <row r="252" ht="15" customHeight="1">
      <c r="A252" s="51" t="s">
        <v>101</v>
      </c>
      <c r="B252" s="64">
        <f>_xlfn.IFERROR(B250-Inputs!E41,"n.a.")</f>
        <v>50</v>
      </c>
      <c r="C252" s="65">
        <f t="shared" si="24"/>
        <v>74</v>
      </c>
      <c r="D252" s="65">
        <f t="shared" si="24"/>
        <v>38</v>
      </c>
      <c r="E252" s="65">
        <f t="shared" si="24"/>
        <v>55</v>
      </c>
      <c r="F252" s="65" t="s">
        <v>78</v>
      </c>
      <c r="G252" s="66">
        <f t="shared" si="26"/>
        <v>62</v>
      </c>
      <c r="H252" s="2"/>
      <c r="I252" s="2"/>
      <c r="J252" s="2"/>
    </row>
    <row r="253" ht="15" customHeight="1">
      <c r="A253" s="43" t="s">
        <v>194</v>
      </c>
      <c r="B253" s="44" t="str">
        <f>_xlfn.IFERROR(IF(Inputs!B179&lt;0,"n.m.",B249/Inputs!B179-1),"n.a.")</f>
        <v>n.a.</v>
      </c>
      <c r="C253" s="44" t="str">
        <f>_xlfn.IFERROR(IF(Inputs!C179&lt;0,"n.m.",C249/Inputs!C179-1),"n.a.")</f>
        <v>n.a.</v>
      </c>
      <c r="D253" s="44" t="str">
        <f>_xlfn.IFERROR(IF(Inputs!D179&lt;0,"n.m.",D249/Inputs!D179-1),"n.a.")</f>
        <v>n.m.</v>
      </c>
      <c r="E253" s="44" t="str">
        <f>_xlfn.IFERROR(IF(Inputs!E179&lt;0,"n.m.",E249/Inputs!E179-1),"n.a.")</f>
        <v>n.m.</v>
      </c>
      <c r="F253" s="44" t="str">
        <f>_xlfn.IFERROR(IF(Inputs!F179&lt;0,"n.m.",F249/Inputs!F179-1),"n.a.")</f>
        <v>n.a.</v>
      </c>
      <c r="G253" s="45" t="str">
        <f t="shared" si="60"/>
        <v>n.m.</v>
      </c>
      <c r="H253" s="2"/>
      <c r="I253" s="2"/>
      <c r="J253" s="2"/>
    </row>
    <row r="254" ht="15" customHeight="1">
      <c r="A254" s="51" t="s">
        <v>195</v>
      </c>
      <c r="B254" s="64">
        <f>_xlfn.IFERROR(B249-Inputs!E179,"n.a.")</f>
        <v>-29</v>
      </c>
      <c r="C254" s="65">
        <f t="shared" si="58"/>
        <v>-11</v>
      </c>
      <c r="D254" s="65">
        <f t="shared" si="58"/>
        <v>-4</v>
      </c>
      <c r="E254" s="65">
        <f t="shared" si="58"/>
        <v>4</v>
      </c>
      <c r="F254" s="65" t="s">
        <v>78</v>
      </c>
      <c r="G254" s="66">
        <f t="shared" si="61"/>
        <v>1</v>
      </c>
      <c r="H254" s="2"/>
      <c r="I254" s="2"/>
      <c r="J254" s="2"/>
    </row>
    <row r="255" ht="15" customHeight="1">
      <c r="A255" s="28" t="s">
        <v>196</v>
      </c>
      <c r="B255" s="67">
        <f t="shared" si="62" ref="B255:G255">B244+B250</f>
        <v>3115</v>
      </c>
      <c r="C255" s="67">
        <f t="shared" si="62"/>
        <v>3210</v>
      </c>
      <c r="D255" s="67">
        <f t="shared" si="62"/>
        <v>3325</v>
      </c>
      <c r="E255" s="67">
        <f t="shared" si="62"/>
        <v>3425</v>
      </c>
      <c r="F255" s="67">
        <f t="shared" si="62"/>
        <v>3210</v>
      </c>
      <c r="G255" s="68">
        <f t="shared" si="62"/>
        <v>3520</v>
      </c>
      <c r="H255" s="2"/>
      <c r="I255" s="2"/>
      <c r="J255" s="2"/>
    </row>
    <row r="256" ht="15" customHeight="1">
      <c r="A256" s="43" t="s">
        <v>34</v>
      </c>
      <c r="B256" s="44">
        <f>_xlfn.IFERROR(B255/Inputs!B115-1,"n.a.")</f>
        <v>0.17947747065505482</v>
      </c>
      <c r="C256" s="44">
        <f>_xlfn.IFERROR(C255/Inputs!C115-1,"n.a.")</f>
        <v>0.14683815648445875</v>
      </c>
      <c r="D256" s="44">
        <f>_xlfn.IFERROR(D255/Inputs!D115-1,"n.a.")</f>
        <v>0.14418444597384728</v>
      </c>
      <c r="E256" s="44">
        <f>_xlfn.IFERROR(E255/Inputs!E115-1,"n.a.")</f>
        <v>0.14663542015400077</v>
      </c>
      <c r="F256" s="44">
        <f>_xlfn.IFERROR(F255/Inputs!F115-1,"n.a.")</f>
        <v>0.14683815648445875</v>
      </c>
      <c r="G256" s="45">
        <f t="shared" si="8"/>
        <v>0.130016051364366</v>
      </c>
      <c r="H256" s="2"/>
      <c r="I256" s="2"/>
      <c r="J256" s="2"/>
    </row>
    <row r="257" ht="15" customHeight="1">
      <c r="A257" s="51" t="s">
        <v>101</v>
      </c>
      <c r="B257" s="64">
        <f>_xlfn.IFERROR(B255-Inputs!E115,"n.a.")</f>
        <v>128</v>
      </c>
      <c r="C257" s="65">
        <f t="shared" si="24"/>
        <v>95</v>
      </c>
      <c r="D257" s="65">
        <f t="shared" si="24"/>
        <v>115</v>
      </c>
      <c r="E257" s="65">
        <f t="shared" si="24"/>
        <v>100</v>
      </c>
      <c r="F257" s="65" t="s">
        <v>78</v>
      </c>
      <c r="G257" s="66">
        <f t="shared" si="26"/>
        <v>95</v>
      </c>
      <c r="H257" s="2"/>
      <c r="I257" s="2"/>
      <c r="J257" s="2"/>
    </row>
    <row r="258" ht="15" customHeight="1">
      <c r="A258" s="31" t="s">
        <v>197</v>
      </c>
      <c r="B258" s="19">
        <f t="shared" si="63" ref="B258:G258">B255/B183</f>
        <v>0.2894174486667286</v>
      </c>
      <c r="C258" s="19">
        <f t="shared" si="63"/>
        <v>0.28903295515937333</v>
      </c>
      <c r="D258" s="19">
        <f t="shared" si="63"/>
        <v>0.29179464677490125</v>
      </c>
      <c r="E258" s="19">
        <f t="shared" si="63"/>
        <v>0.2924850555081127</v>
      </c>
      <c r="F258" s="19">
        <f t="shared" si="63"/>
        <v>0.28903295515937333</v>
      </c>
      <c r="G258" s="47">
        <f t="shared" si="63"/>
        <v>0.29272349272349274</v>
      </c>
      <c r="H258" s="2"/>
      <c r="I258" s="2"/>
      <c r="J258" s="2"/>
    </row>
    <row r="259" ht="15" customHeight="1">
      <c r="A259" s="43" t="s">
        <v>107</v>
      </c>
      <c r="B259" s="58">
        <f>_xlfn.IFERROR((B258-Inputs!B116)*10000,"n.a.")</f>
        <v>125.54045794310076</v>
      </c>
      <c r="C259" s="58">
        <f>_xlfn.IFERROR((C258-Inputs!C116)*10000,"n.a.")</f>
        <v>63.627875164729005</v>
      </c>
      <c r="D259" s="58">
        <f>_xlfn.IFERROR((D258-Inputs!D116)*10000,"n.a.")</f>
        <v>65.85107075225139</v>
      </c>
      <c r="E259" s="58">
        <f>_xlfn.IFERROR((E258-Inputs!E116)*10000,"n.a.")</f>
        <v>76.83377399798464</v>
      </c>
      <c r="F259" s="58">
        <f>_xlfn.IFERROR((F258-Inputs!F116)*10000,"n.a.")</f>
        <v>63.627875164729005</v>
      </c>
      <c r="G259" s="59">
        <f t="shared" si="34"/>
        <v>33.06044056764157</v>
      </c>
      <c r="H259" s="2"/>
      <c r="I259" s="2"/>
      <c r="J259" s="2"/>
    </row>
    <row r="260" ht="15" customHeight="1">
      <c r="A260" s="43" t="s">
        <v>108</v>
      </c>
      <c r="B260" s="58">
        <f>_xlfn.IFERROR((B258-Inputs!E116)*10000,"n.a.")</f>
        <v>46.157705584143336</v>
      </c>
      <c r="C260" s="60">
        <f t="shared" si="30"/>
        <v>-3.8449350735525467</v>
      </c>
      <c r="D260" s="60">
        <f t="shared" si="30"/>
        <v>27.61691615527917</v>
      </c>
      <c r="E260" s="60">
        <f t="shared" si="30"/>
        <v>6.904087332114672</v>
      </c>
      <c r="F260" s="60" t="s">
        <v>78</v>
      </c>
      <c r="G260" s="59">
        <f t="shared" si="35"/>
        <v>2.384372153800274</v>
      </c>
      <c r="H260" s="2"/>
      <c r="I260" s="2"/>
      <c r="J260" s="2"/>
    </row>
    <row r="261" ht="15" customHeight="1">
      <c r="A261" s="2"/>
      <c r="B261" s="2"/>
      <c r="C261" s="2"/>
      <c r="D261" s="2"/>
      <c r="E261" s="2"/>
      <c r="F261" s="2"/>
      <c r="G261" s="40"/>
      <c r="H261" s="2"/>
      <c r="I261" s="2"/>
      <c r="J261" s="2"/>
    </row>
    <row r="262" ht="15" customHeight="1">
      <c r="A262" s="30" t="s">
        <v>198</v>
      </c>
      <c r="B262" s="30"/>
      <c r="C262" s="30"/>
      <c r="D262" s="30"/>
      <c r="E262" s="30"/>
      <c r="F262" s="30"/>
      <c r="G262" s="41"/>
      <c r="H262" s="30"/>
      <c r="I262" s="2"/>
      <c r="J262" s="2"/>
    </row>
    <row r="263" ht="15" customHeight="1">
      <c r="A263" s="2" t="s">
        <v>199</v>
      </c>
      <c r="B263" s="62">
        <f>Inputs!E43</f>
        <v>905</v>
      </c>
      <c r="C263" s="70">
        <f t="shared" si="64" ref="C263:E263">B286</f>
        <v>954</v>
      </c>
      <c r="D263" s="70">
        <f t="shared" si="64"/>
        <v>995</v>
      </c>
      <c r="E263" s="70">
        <f t="shared" si="64"/>
        <v>1041</v>
      </c>
      <c r="F263" s="62">
        <f>Inputs!C43</f>
        <v>805</v>
      </c>
      <c r="G263" s="69">
        <f>E286</f>
        <v>1096</v>
      </c>
      <c r="H263" s="2" t="s">
        <v>76</v>
      </c>
      <c r="I263" s="2"/>
      <c r="J263" s="2"/>
    </row>
    <row r="264" ht="15" customHeight="1">
      <c r="A264" s="2" t="s">
        <v>200</v>
      </c>
      <c r="B264" s="61">
        <v>50</v>
      </c>
      <c r="C264" s="61">
        <v>42</v>
      </c>
      <c r="D264" s="61">
        <v>52</v>
      </c>
      <c r="E264" s="61">
        <v>55</v>
      </c>
      <c r="F264" s="62">
        <f>Inputs!D42+Inputs!E42+B264+C264</f>
        <v>195</v>
      </c>
      <c r="G264" s="69">
        <f>G267+G270+G273+G276</f>
        <v>55</v>
      </c>
      <c r="H264" s="2" t="s">
        <v>76</v>
      </c>
      <c r="I264" s="2"/>
      <c r="J264" s="2"/>
    </row>
    <row r="265" ht="15" customHeight="1">
      <c r="A265" s="43" t="s">
        <v>34</v>
      </c>
      <c r="B265" s="44">
        <f>_xlfn.IFERROR(B264/Inputs!B42-1,"n.a.")</f>
        <v>-0.13793103448275867</v>
      </c>
      <c r="C265" s="44">
        <f>_xlfn.IFERROR(C264/Inputs!C42-1,"n.a.")</f>
        <v>-0.3913043478260869</v>
      </c>
      <c r="D265" s="44">
        <f>_xlfn.IFERROR(D264/Inputs!D42-1,"n.a.")</f>
        <v>0.061224489795918435</v>
      </c>
      <c r="E265" s="44">
        <f>_xlfn.IFERROR(E264/Inputs!E42-1,"n.a.")</f>
        <v>0.0185185185185186</v>
      </c>
      <c r="F265" s="44">
        <f>_xlfn.IFERROR(F264/Inputs!F42-1,"n.a.")</f>
        <v>-0.28044280442804426</v>
      </c>
      <c r="G265" s="45">
        <f t="shared" si="8"/>
        <v>0.10000000000000009</v>
      </c>
      <c r="H265" s="2"/>
      <c r="I265" s="2"/>
      <c r="J265" s="2"/>
    </row>
    <row r="266" ht="15" customHeight="1">
      <c r="A266" s="51" t="s">
        <v>101</v>
      </c>
      <c r="B266" s="64">
        <f>_xlfn.IFERROR(B264-Inputs!E42,"n.a.")</f>
        <v>-4</v>
      </c>
      <c r="C266" s="65">
        <f t="shared" si="24"/>
        <v>-8</v>
      </c>
      <c r="D266" s="65">
        <f t="shared" si="24"/>
        <v>10</v>
      </c>
      <c r="E266" s="65">
        <f t="shared" si="24"/>
        <v>3</v>
      </c>
      <c r="F266" s="65" t="s">
        <v>78</v>
      </c>
      <c r="G266" s="66">
        <f t="shared" si="26"/>
        <v>0</v>
      </c>
      <c r="H266" s="2"/>
      <c r="I266" s="2"/>
      <c r="J266" s="2"/>
    </row>
    <row r="267" ht="15" customHeight="1">
      <c r="A267" s="51" t="s">
        <v>201</v>
      </c>
      <c r="B267" s="61">
        <v>41</v>
      </c>
      <c r="C267" s="70" t="s">
        <v>81</v>
      </c>
      <c r="D267" s="61">
        <v>39</v>
      </c>
      <c r="E267" s="61">
        <v>42</v>
      </c>
      <c r="F267" s="62" t="str">
        <f>IF(COUNT(Inputs!D148,Inputs!E148,B267,C267)=4,Inputs!D148+Inputs!E148+B267+C267,"n.d.")</f>
        <v>n.d.</v>
      </c>
      <c r="G267" s="63">
        <v>42</v>
      </c>
      <c r="H267" s="2" t="s">
        <v>135</v>
      </c>
      <c r="I267" s="2"/>
      <c r="J267" s="2"/>
    </row>
    <row r="268" ht="15" customHeight="1">
      <c r="A268" s="43" t="s">
        <v>34</v>
      </c>
      <c r="B268" s="44">
        <f>_xlfn.IFERROR(B267/Inputs!B148-1,"n.a.")</f>
        <v>-0.2264150943396226</v>
      </c>
      <c r="C268" s="44" t="str">
        <f>_xlfn.IFERROR(C267/Inputs!C148-1,"n.a.")</f>
        <v>n.a.</v>
      </c>
      <c r="D268" s="44">
        <f>_xlfn.IFERROR(D267/Inputs!D148-1,"n.a.")</f>
        <v>-0.1333333333333333</v>
      </c>
      <c r="E268" s="44">
        <f>_xlfn.IFERROR(E267/Inputs!E148-1,"n.a.")</f>
        <v>-0.1063829787234043</v>
      </c>
      <c r="F268" s="44" t="str">
        <f>_xlfn.IFERROR(F267/Inputs!F148-1,"n.a.")</f>
        <v>n.a.</v>
      </c>
      <c r="G268" s="45">
        <f t="shared" si="8"/>
        <v>0.024390243902439046</v>
      </c>
      <c r="H268" s="2"/>
      <c r="I268" s="2"/>
      <c r="J268" s="2"/>
    </row>
    <row r="269" ht="15" customHeight="1">
      <c r="A269" s="51" t="s">
        <v>101</v>
      </c>
      <c r="B269" s="64">
        <f>_xlfn.IFERROR(B267-Inputs!E148,"n.a.")</f>
        <v>-6</v>
      </c>
      <c r="C269" s="65" t="str">
        <f t="shared" si="24"/>
        <v>n.a.</v>
      </c>
      <c r="D269" s="65" t="str">
        <f t="shared" si="24"/>
        <v>n.a.</v>
      </c>
      <c r="E269" s="65">
        <f t="shared" si="24"/>
        <v>3</v>
      </c>
      <c r="F269" s="65" t="s">
        <v>78</v>
      </c>
      <c r="G269" s="66">
        <f t="shared" si="26"/>
        <v>0</v>
      </c>
      <c r="H269" s="2"/>
      <c r="I269" s="2"/>
      <c r="J269" s="2"/>
    </row>
    <row r="270" ht="15" customHeight="1">
      <c r="A270" s="51" t="s">
        <v>202</v>
      </c>
      <c r="B270" s="61">
        <v>5</v>
      </c>
      <c r="C270" s="70" t="s">
        <v>81</v>
      </c>
      <c r="D270" s="61">
        <v>9</v>
      </c>
      <c r="E270" s="61">
        <v>9</v>
      </c>
      <c r="F270" s="62" t="str">
        <f>IF(COUNT(Inputs!D149,Inputs!E149,B270,C270)=4,Inputs!D149+Inputs!E149+B270+C270,"n.d.")</f>
        <v>n.d.</v>
      </c>
      <c r="G270" s="63">
        <v>9</v>
      </c>
      <c r="H270" s="2" t="s">
        <v>135</v>
      </c>
      <c r="I270" s="2"/>
      <c r="J270" s="2"/>
    </row>
    <row r="271" ht="15" customHeight="1">
      <c r="A271" s="43" t="s">
        <v>34</v>
      </c>
      <c r="B271" s="44">
        <f>_xlfn.IFERROR(B270/Inputs!B149-1,"n.a.")</f>
        <v>0.6666666666666667</v>
      </c>
      <c r="C271" s="44" t="str">
        <f>_xlfn.IFERROR(C270/Inputs!C149-1,"n.a.")</f>
        <v>n.a.</v>
      </c>
      <c r="D271" s="44">
        <f>_xlfn.IFERROR(D270/Inputs!D149-1,"n.a.")</f>
        <v>2</v>
      </c>
      <c r="E271" s="44">
        <f>_xlfn.IFERROR(E270/Inputs!E149-1,"n.a.")</f>
        <v>2</v>
      </c>
      <c r="F271" s="44" t="str">
        <f>_xlfn.IFERROR(F270/Inputs!F149-1,"n.a.")</f>
        <v>n.a.</v>
      </c>
      <c r="G271" s="45">
        <f t="shared" si="8"/>
        <v>0.8</v>
      </c>
      <c r="H271" s="2"/>
      <c r="I271" s="2"/>
      <c r="J271" s="2"/>
    </row>
    <row r="272" ht="15" customHeight="1">
      <c r="A272" s="51" t="s">
        <v>101</v>
      </c>
      <c r="B272" s="64">
        <f>_xlfn.IFERROR(B270-Inputs!E149,"n.a.")</f>
        <v>2</v>
      </c>
      <c r="C272" s="65" t="str">
        <f t="shared" si="24"/>
        <v>n.a.</v>
      </c>
      <c r="D272" s="65" t="str">
        <f t="shared" si="24"/>
        <v>n.a.</v>
      </c>
      <c r="E272" s="65">
        <f t="shared" si="24"/>
        <v>0</v>
      </c>
      <c r="F272" s="65" t="s">
        <v>78</v>
      </c>
      <c r="G272" s="66">
        <f t="shared" si="26"/>
        <v>0</v>
      </c>
      <c r="H272" s="2"/>
      <c r="I272" s="2"/>
      <c r="J272" s="2"/>
    </row>
    <row r="273" ht="15" customHeight="1">
      <c r="A273" s="51" t="s">
        <v>203</v>
      </c>
      <c r="B273" s="61">
        <v>4</v>
      </c>
      <c r="C273" s="70" t="s">
        <v>81</v>
      </c>
      <c r="D273" s="61">
        <v>2</v>
      </c>
      <c r="E273" s="61">
        <v>2</v>
      </c>
      <c r="F273" s="62" t="str">
        <f>IF(COUNT(Inputs!D150,Inputs!E150,B273,C273)=4,Inputs!D150+Inputs!E150+B273+C273,"n.d.")</f>
        <v>n.d.</v>
      </c>
      <c r="G273" s="63">
        <v>2</v>
      </c>
      <c r="H273" s="2" t="s">
        <v>135</v>
      </c>
      <c r="I273" s="2"/>
      <c r="J273" s="2"/>
    </row>
    <row r="274" ht="15" customHeight="1">
      <c r="A274" s="43" t="s">
        <v>34</v>
      </c>
      <c r="B274" s="44" t="str">
        <f>_xlfn.IFERROR(B273/Inputs!B150-1,"n.a.")</f>
        <v>n.a.</v>
      </c>
      <c r="C274" s="44" t="str">
        <f>_xlfn.IFERROR(C273/Inputs!C150-1,"n.a.")</f>
        <v>n.a.</v>
      </c>
      <c r="D274" s="44" t="str">
        <f>_xlfn.IFERROR(D273/Inputs!D150-1,"n.a.")</f>
        <v>n.a.</v>
      </c>
      <c r="E274" s="44">
        <f>_xlfn.IFERROR(E273/Inputs!E150-1,"n.a.")</f>
        <v>0</v>
      </c>
      <c r="F274" s="44" t="str">
        <f>_xlfn.IFERROR(F273/Inputs!F150-1,"n.a.")</f>
        <v>n.a.</v>
      </c>
      <c r="G274" s="45">
        <f t="shared" si="8"/>
        <v>-0.5</v>
      </c>
      <c r="H274" s="2"/>
      <c r="I274" s="2"/>
      <c r="J274" s="2"/>
    </row>
    <row r="275" ht="15" customHeight="1">
      <c r="A275" s="51" t="s">
        <v>101</v>
      </c>
      <c r="B275" s="64">
        <f>_xlfn.IFERROR(B273-Inputs!E150,"n.a.")</f>
        <v>2</v>
      </c>
      <c r="C275" s="65" t="str">
        <f t="shared" si="24"/>
        <v>n.a.</v>
      </c>
      <c r="D275" s="65" t="str">
        <f t="shared" si="24"/>
        <v>n.a.</v>
      </c>
      <c r="E275" s="65">
        <f t="shared" si="24"/>
        <v>0</v>
      </c>
      <c r="F275" s="65" t="s">
        <v>78</v>
      </c>
      <c r="G275" s="66">
        <f t="shared" si="26"/>
        <v>0</v>
      </c>
      <c r="H275" s="2"/>
      <c r="I275" s="2"/>
      <c r="J275" s="2"/>
    </row>
    <row r="276" ht="15" customHeight="1">
      <c r="A276" s="51" t="s">
        <v>204</v>
      </c>
      <c r="B276" s="61">
        <v>0</v>
      </c>
      <c r="C276" s="70" t="s">
        <v>81</v>
      </c>
      <c r="D276" s="61">
        <v>2</v>
      </c>
      <c r="E276" s="61">
        <v>2</v>
      </c>
      <c r="F276" s="62" t="str">
        <f>IF(COUNT(Inputs!D151,Inputs!E151,B276,C276)=4,Inputs!D151+Inputs!E151+B276+C276,"n.d.")</f>
        <v>n.d.</v>
      </c>
      <c r="G276" s="63">
        <v>2</v>
      </c>
      <c r="H276" s="2" t="s">
        <v>135</v>
      </c>
      <c r="I276" s="2"/>
      <c r="J276" s="2"/>
    </row>
    <row r="277" ht="15" customHeight="1">
      <c r="A277" s="43" t="s">
        <v>34</v>
      </c>
      <c r="B277" s="44" t="str">
        <f>_xlfn.IFERROR(B276/Inputs!B151-1,"n.a.")</f>
        <v>n.a.</v>
      </c>
      <c r="C277" s="44" t="str">
        <f>_xlfn.IFERROR(C276/Inputs!C151-1,"n.a.")</f>
        <v>n.a.</v>
      </c>
      <c r="D277" s="44">
        <f>_xlfn.IFERROR(D276/Inputs!D151-1,"n.a.")</f>
        <v>1</v>
      </c>
      <c r="E277" s="44">
        <f>_xlfn.IFERROR(E276/Inputs!E151-1,"n.a.")</f>
        <v>0</v>
      </c>
      <c r="F277" s="44" t="str">
        <f>_xlfn.IFERROR(F276/Inputs!F151-1,"n.a.")</f>
        <v>n.a.</v>
      </c>
      <c r="G277" s="45" t="str">
        <f t="shared" si="8"/>
        <v>n.a.</v>
      </c>
      <c r="H277" s="2"/>
      <c r="I277" s="2"/>
      <c r="J277" s="2"/>
    </row>
    <row r="278" ht="15" customHeight="1">
      <c r="A278" s="51" t="s">
        <v>101</v>
      </c>
      <c r="B278" s="64">
        <f>_xlfn.IFERROR(B276-Inputs!E151,"n.a.")</f>
        <v>-2</v>
      </c>
      <c r="C278" s="65" t="str">
        <f t="shared" si="24"/>
        <v>n.a.</v>
      </c>
      <c r="D278" s="65" t="str">
        <f t="shared" si="24"/>
        <v>n.a.</v>
      </c>
      <c r="E278" s="65">
        <f t="shared" si="24"/>
        <v>0</v>
      </c>
      <c r="F278" s="65" t="s">
        <v>78</v>
      </c>
      <c r="G278" s="66">
        <f t="shared" si="26"/>
        <v>0</v>
      </c>
      <c r="H278" s="2"/>
      <c r="I278" s="2"/>
      <c r="J278" s="2"/>
    </row>
    <row r="279" ht="15" customHeight="1">
      <c r="A279" s="34" t="s">
        <v>205</v>
      </c>
      <c r="B279" s="70">
        <f t="shared" si="65" ref="B279:G279">IF(COUNT(B267,B270,B273,B276)=4,B267+B270+B273+B276-B264,"n.a.")</f>
        <v>0</v>
      </c>
      <c r="C279" s="70" t="str">
        <f t="shared" si="65"/>
        <v>n.a.</v>
      </c>
      <c r="D279" s="70">
        <f t="shared" si="65"/>
        <v>0</v>
      </c>
      <c r="E279" s="70">
        <f t="shared" si="65"/>
        <v>0</v>
      </c>
      <c r="F279" s="70" t="str">
        <f t="shared" si="65"/>
        <v>n.a.</v>
      </c>
      <c r="G279" s="69">
        <f t="shared" si="65"/>
        <v>0</v>
      </c>
      <c r="H279" s="2"/>
      <c r="I279" s="2"/>
      <c r="J279" s="2"/>
    </row>
    <row r="280" ht="15" customHeight="1">
      <c r="A280" s="2" t="s">
        <v>206</v>
      </c>
      <c r="B280" s="61">
        <v>-1</v>
      </c>
      <c r="C280" s="61">
        <v>-1</v>
      </c>
      <c r="D280" s="61">
        <v>-6</v>
      </c>
      <c r="E280" s="61">
        <v>0</v>
      </c>
      <c r="F280" s="62">
        <f>Inputs!D118+Inputs!E118+B280+C280</f>
        <v>-5</v>
      </c>
      <c r="G280" s="63">
        <v>-1</v>
      </c>
      <c r="H280" s="2" t="s">
        <v>76</v>
      </c>
      <c r="I280" s="2"/>
      <c r="J280" s="2"/>
    </row>
    <row r="281" ht="15" customHeight="1">
      <c r="A281" s="43" t="s">
        <v>158</v>
      </c>
      <c r="B281" s="44" t="str">
        <f>_xlfn.IFERROR(IF(Inputs!B118&lt;0,"n.m.",B280/Inputs!B118-1),"n.a.")</f>
        <v>n.a.</v>
      </c>
      <c r="C281" s="44" t="str">
        <f>_xlfn.IFERROR(IF(Inputs!C118&lt;0,"n.m.",C280/Inputs!C118-1),"n.a.")</f>
        <v>n.a.</v>
      </c>
      <c r="D281" s="44" t="str">
        <f>_xlfn.IFERROR(IF(Inputs!D118&lt;0,"n.m.",D280/Inputs!D118-1),"n.a.")</f>
        <v>n.m.</v>
      </c>
      <c r="E281" s="44" t="str">
        <f>_xlfn.IFERROR(IF(Inputs!E118&lt;0,"n.m.",E280/Inputs!E118-1),"n.a.")</f>
        <v>n.m.</v>
      </c>
      <c r="F281" s="44" t="str">
        <f>_xlfn.IFERROR(IF(Inputs!F118&lt;0,"n.m.",F280/Inputs!F118-1),"n.a.")</f>
        <v>n.a.</v>
      </c>
      <c r="G281" s="45" t="str">
        <f t="shared" si="51"/>
        <v>n.m.</v>
      </c>
      <c r="H281" s="2"/>
      <c r="I281" s="2"/>
      <c r="J281" s="2"/>
    </row>
    <row r="282" ht="15" customHeight="1">
      <c r="A282" s="51" t="s">
        <v>101</v>
      </c>
      <c r="B282" s="64">
        <f>_xlfn.IFERROR(B280-Inputs!E118,"n.a.")</f>
        <v>1</v>
      </c>
      <c r="C282" s="65">
        <f t="shared" si="24"/>
        <v>0</v>
      </c>
      <c r="D282" s="65">
        <f t="shared" si="24"/>
        <v>-5</v>
      </c>
      <c r="E282" s="65">
        <f t="shared" si="24"/>
        <v>6</v>
      </c>
      <c r="F282" s="65" t="s">
        <v>78</v>
      </c>
      <c r="G282" s="66">
        <f t="shared" si="26"/>
        <v>-1</v>
      </c>
      <c r="H282" s="2"/>
      <c r="I282" s="2"/>
      <c r="J282" s="2"/>
    </row>
    <row r="283" ht="15" customHeight="1">
      <c r="A283" s="28" t="s">
        <v>160</v>
      </c>
      <c r="B283" s="67">
        <f t="shared" si="66" ref="B283:G283">B264+B280</f>
        <v>49</v>
      </c>
      <c r="C283" s="67">
        <f t="shared" si="66"/>
        <v>41</v>
      </c>
      <c r="D283" s="67">
        <f t="shared" si="66"/>
        <v>46</v>
      </c>
      <c r="E283" s="67">
        <f t="shared" si="66"/>
        <v>55</v>
      </c>
      <c r="F283" s="67">
        <f t="shared" si="66"/>
        <v>190</v>
      </c>
      <c r="G283" s="68">
        <f t="shared" si="66"/>
        <v>54</v>
      </c>
      <c r="H283" s="2"/>
      <c r="I283" s="2"/>
      <c r="J283" s="2"/>
    </row>
    <row r="284" ht="15" customHeight="1">
      <c r="A284" s="43" t="s">
        <v>34</v>
      </c>
      <c r="B284" s="44">
        <f>_xlfn.IFERROR(B283/Inputs!B171-1,"n.a.")</f>
        <v>-0.15517241379310343</v>
      </c>
      <c r="C284" s="44">
        <f>_xlfn.IFERROR(C283/Inputs!C171-1,"n.a.")</f>
        <v>-0.4057971014492754</v>
      </c>
      <c r="D284" s="44">
        <f>_xlfn.IFERROR(D283/Inputs!D171-1,"n.a.")</f>
        <v>-0.04166666666666663</v>
      </c>
      <c r="E284" s="44">
        <f>_xlfn.IFERROR(E283/Inputs!E171-1,"n.a.")</f>
        <v>0.05769230769230771</v>
      </c>
      <c r="F284" s="44">
        <f>_xlfn.IFERROR(F283/Inputs!F171-1,"n.a.")</f>
        <v>-0.29889298892988925</v>
      </c>
      <c r="G284" s="45">
        <f t="shared" si="8"/>
        <v>0.1020408163265305</v>
      </c>
      <c r="H284" s="2"/>
      <c r="I284" s="2"/>
      <c r="J284" s="2"/>
    </row>
    <row r="285" ht="15" customHeight="1">
      <c r="A285" s="51" t="s">
        <v>101</v>
      </c>
      <c r="B285" s="64">
        <f>_xlfn.IFERROR(B283-Inputs!E171,"n.a.")</f>
        <v>-3</v>
      </c>
      <c r="C285" s="65">
        <f t="shared" si="24"/>
        <v>-8</v>
      </c>
      <c r="D285" s="65">
        <f t="shared" si="24"/>
        <v>5</v>
      </c>
      <c r="E285" s="65">
        <f t="shared" si="24"/>
        <v>9</v>
      </c>
      <c r="F285" s="65" t="s">
        <v>78</v>
      </c>
      <c r="G285" s="66">
        <f t="shared" si="26"/>
        <v>-1</v>
      </c>
      <c r="H285" s="2"/>
      <c r="I285" s="2"/>
      <c r="J285" s="2"/>
    </row>
    <row r="286" ht="15" customHeight="1">
      <c r="A286" s="28" t="s">
        <v>207</v>
      </c>
      <c r="B286" s="67">
        <f t="shared" si="67" ref="B286:G286">B263+B283</f>
        <v>954</v>
      </c>
      <c r="C286" s="67">
        <f t="shared" si="67"/>
        <v>995</v>
      </c>
      <c r="D286" s="67">
        <f t="shared" si="67"/>
        <v>1041</v>
      </c>
      <c r="E286" s="67">
        <f t="shared" si="67"/>
        <v>1096</v>
      </c>
      <c r="F286" s="67">
        <f t="shared" si="67"/>
        <v>995</v>
      </c>
      <c r="G286" s="68">
        <f t="shared" si="67"/>
        <v>1150</v>
      </c>
      <c r="H286" s="2"/>
      <c r="I286" s="2"/>
      <c r="J286" s="2"/>
    </row>
    <row r="287" ht="15" customHeight="1">
      <c r="A287" s="43" t="s">
        <v>34</v>
      </c>
      <c r="B287" s="44">
        <f>_xlfn.IFERROR(B286/Inputs!B43-1,"n.a.")</f>
        <v>0.2961956521739131</v>
      </c>
      <c r="C287" s="44">
        <f>_xlfn.IFERROR(C286/Inputs!C43-1,"n.a.")</f>
        <v>0.2360248447204969</v>
      </c>
      <c r="D287" s="44">
        <f>_xlfn.IFERROR(D286/Inputs!D43-1,"n.a.")</f>
        <v>0.22039859320046884</v>
      </c>
      <c r="E287" s="44">
        <f>_xlfn.IFERROR(E286/Inputs!E43-1,"n.a.")</f>
        <v>0.211049723756906</v>
      </c>
      <c r="F287" s="44">
        <f>_xlfn.IFERROR(F286/Inputs!F43-1,"n.a.")</f>
        <v>0.2360248447204969</v>
      </c>
      <c r="G287" s="45">
        <f t="shared" si="8"/>
        <v>0.20545073375262057</v>
      </c>
      <c r="H287" s="2"/>
      <c r="I287" s="2"/>
      <c r="J287" s="2"/>
    </row>
    <row r="288" ht="15" customHeight="1">
      <c r="A288" s="51" t="s">
        <v>101</v>
      </c>
      <c r="B288" s="64">
        <f>_xlfn.IFERROR(B286-Inputs!E43,"n.a.")</f>
        <v>49</v>
      </c>
      <c r="C288" s="65">
        <f t="shared" si="24"/>
        <v>41</v>
      </c>
      <c r="D288" s="65">
        <f t="shared" si="24"/>
        <v>46</v>
      </c>
      <c r="E288" s="65">
        <f t="shared" si="24"/>
        <v>55</v>
      </c>
      <c r="F288" s="65" t="s">
        <v>78</v>
      </c>
      <c r="G288" s="66">
        <f t="shared" si="26"/>
        <v>54</v>
      </c>
      <c r="H288" s="2"/>
      <c r="I288" s="2"/>
      <c r="J288" s="2"/>
    </row>
    <row r="289" ht="15" customHeight="1">
      <c r="A289" s="51" t="s">
        <v>208</v>
      </c>
      <c r="B289" s="61">
        <v>954</v>
      </c>
      <c r="C289" s="61">
        <v>995</v>
      </c>
      <c r="D289" s="61">
        <v>1041</v>
      </c>
      <c r="E289" s="61">
        <v>1096</v>
      </c>
      <c r="F289" s="61">
        <v>995</v>
      </c>
      <c r="G289" s="69" t="s">
        <v>78</v>
      </c>
      <c r="H289" s="2" t="s">
        <v>76</v>
      </c>
      <c r="I289" s="2"/>
      <c r="J289" s="2"/>
    </row>
    <row r="290" ht="15" customHeight="1">
      <c r="A290" s="34" t="s">
        <v>209</v>
      </c>
      <c r="B290" s="70">
        <f t="shared" si="28"/>
        <v>0</v>
      </c>
      <c r="C290" s="70">
        <f t="shared" si="28"/>
        <v>0</v>
      </c>
      <c r="D290" s="70">
        <f t="shared" si="28"/>
        <v>0</v>
      </c>
      <c r="E290" s="70">
        <f t="shared" si="28"/>
        <v>0</v>
      </c>
      <c r="F290" s="70">
        <f t="shared" si="28"/>
        <v>0</v>
      </c>
      <c r="G290" s="69" t="s">
        <v>78</v>
      </c>
      <c r="H290" s="2"/>
      <c r="I290" s="2"/>
      <c r="J290" s="2"/>
    </row>
    <row r="291" ht="15" customHeight="1">
      <c r="A291" s="2" t="s">
        <v>210</v>
      </c>
      <c r="B291" s="70">
        <f t="shared" si="68" ref="B291:G291">(B263+B286)/2</f>
        <v>929.5</v>
      </c>
      <c r="C291" s="70">
        <f t="shared" si="68"/>
        <v>974.5</v>
      </c>
      <c r="D291" s="70">
        <f t="shared" si="68"/>
        <v>1018</v>
      </c>
      <c r="E291" s="70">
        <f t="shared" si="68"/>
        <v>1068.5</v>
      </c>
      <c r="F291" s="70">
        <f t="shared" si="68"/>
        <v>900</v>
      </c>
      <c r="G291" s="69">
        <f t="shared" si="68"/>
        <v>1123</v>
      </c>
      <c r="H291" s="2"/>
      <c r="I291" s="2"/>
      <c r="J291" s="2"/>
    </row>
    <row r="292" ht="15" customHeight="1">
      <c r="A292" s="43" t="s">
        <v>34</v>
      </c>
      <c r="B292" s="44">
        <f>_xlfn.IFERROR(B291/Inputs!B119-1,"n.a.")</f>
        <v>0.31471004243281464</v>
      </c>
      <c r="C292" s="44">
        <f>_xlfn.IFERROR(C291/Inputs!C119-1,"n.a.")</f>
        <v>0.26476314081765095</v>
      </c>
      <c r="D292" s="44">
        <f>_xlfn.IFERROR(D291/Inputs!D119-1,"n.a.")</f>
        <v>0.22798552472858868</v>
      </c>
      <c r="E292" s="44">
        <f>_xlfn.IFERROR(E291/Inputs!E119-1,"n.a.")</f>
        <v>0.21558589306029585</v>
      </c>
      <c r="F292" s="44">
        <f>_xlfn.IFERROR(F291/Inputs!F119-1,"n.a.")</f>
        <v>0.344286781179985</v>
      </c>
      <c r="G292" s="45">
        <f t="shared" si="8"/>
        <v>0.20817643894566973</v>
      </c>
      <c r="H292" s="2"/>
      <c r="I292" s="2"/>
      <c r="J292" s="2"/>
    </row>
    <row r="293" ht="15" customHeight="1">
      <c r="A293" s="51" t="s">
        <v>101</v>
      </c>
      <c r="B293" s="64">
        <f>_xlfn.IFERROR(B291-Inputs!E119,"n.a.")</f>
        <v>50.5</v>
      </c>
      <c r="C293" s="65">
        <f t="shared" si="24"/>
        <v>45</v>
      </c>
      <c r="D293" s="65">
        <f t="shared" si="24"/>
        <v>43.5</v>
      </c>
      <c r="E293" s="65">
        <f t="shared" si="24"/>
        <v>50.5</v>
      </c>
      <c r="F293" s="65" t="s">
        <v>78</v>
      </c>
      <c r="G293" s="66">
        <f t="shared" si="26"/>
        <v>54.5</v>
      </c>
      <c r="H293" s="2"/>
      <c r="I293" s="2"/>
      <c r="J293" s="2"/>
    </row>
    <row r="294" ht="15" customHeight="1">
      <c r="A294" s="51" t="s">
        <v>211</v>
      </c>
      <c r="B294" s="62">
        <f>B297-Inputs!E154</f>
        <v>9</v>
      </c>
      <c r="C294" s="70">
        <f t="shared" si="69" ref="C294:E294">C297-B297</f>
        <v>6</v>
      </c>
      <c r="D294" s="70">
        <f t="shared" si="69"/>
        <v>8</v>
      </c>
      <c r="E294" s="70">
        <f t="shared" si="69"/>
        <v>13</v>
      </c>
      <c r="F294" s="70" t="s">
        <v>78</v>
      </c>
      <c r="G294" s="63">
        <v>12</v>
      </c>
      <c r="H294" s="2"/>
      <c r="I294" s="2"/>
      <c r="J294" s="2"/>
    </row>
    <row r="295" ht="15" customHeight="1">
      <c r="A295" s="43" t="s">
        <v>34</v>
      </c>
      <c r="B295" s="44" t="str">
        <f>_xlfn.IFERROR(B294/Inputs!B180-1,"n.a.")</f>
        <v>n.a.</v>
      </c>
      <c r="C295" s="44">
        <f>_xlfn.IFERROR(C294/Inputs!C180-1,"n.a.")</f>
        <v>-0.1428571428571429</v>
      </c>
      <c r="D295" s="44">
        <f>_xlfn.IFERROR(D294/Inputs!D180-1,"n.a.")</f>
        <v>1</v>
      </c>
      <c r="E295" s="44">
        <f>_xlfn.IFERROR(E294/Inputs!E180-1,"n.a.")</f>
        <v>0.8571428571428572</v>
      </c>
      <c r="F295" s="44" t="str">
        <f>_xlfn.IFERROR(F294/Inputs!F180-1,"n.a.")</f>
        <v>n.a.</v>
      </c>
      <c r="G295" s="45">
        <f t="shared" si="8"/>
        <v>0.33333333333333326</v>
      </c>
      <c r="H295" s="2"/>
      <c r="I295" s="2"/>
      <c r="J295" s="2"/>
    </row>
    <row r="296" ht="15" customHeight="1">
      <c r="A296" s="51" t="s">
        <v>101</v>
      </c>
      <c r="B296" s="64">
        <f>_xlfn.IFERROR(B294-Inputs!E180,"n.a.")</f>
        <v>2</v>
      </c>
      <c r="C296" s="65">
        <f t="shared" si="24"/>
        <v>-3</v>
      </c>
      <c r="D296" s="65">
        <f t="shared" si="24"/>
        <v>2</v>
      </c>
      <c r="E296" s="65">
        <f t="shared" si="24"/>
        <v>5</v>
      </c>
      <c r="F296" s="65" t="s">
        <v>78</v>
      </c>
      <c r="G296" s="66">
        <f t="shared" si="26"/>
        <v>-1</v>
      </c>
      <c r="H296" s="2"/>
      <c r="I296" s="2"/>
      <c r="J296" s="2"/>
    </row>
    <row r="297" ht="15" customHeight="1">
      <c r="A297" s="51" t="s">
        <v>212</v>
      </c>
      <c r="B297" s="61">
        <v>41</v>
      </c>
      <c r="C297" s="61">
        <v>47</v>
      </c>
      <c r="D297" s="61">
        <v>55</v>
      </c>
      <c r="E297" s="61">
        <v>68</v>
      </c>
      <c r="F297" s="70">
        <f t="shared" si="55"/>
        <v>47</v>
      </c>
      <c r="G297" s="69">
        <f>E297+G294</f>
        <v>80</v>
      </c>
      <c r="H297" s="2" t="s">
        <v>76</v>
      </c>
      <c r="I297" s="2"/>
      <c r="J297" s="2"/>
    </row>
    <row r="298" ht="15" customHeight="1">
      <c r="A298" s="43" t="s">
        <v>34</v>
      </c>
      <c r="B298" s="44">
        <f>_xlfn.IFERROR(B297/Inputs!B154-1,"n.a.")</f>
        <v>1.9285714285714284</v>
      </c>
      <c r="C298" s="44">
        <f>_xlfn.IFERROR(C297/Inputs!C154-1,"n.a.")</f>
        <v>1.2380952380952381</v>
      </c>
      <c r="D298" s="44">
        <f>_xlfn.IFERROR(D297/Inputs!D154-1,"n.a.")</f>
        <v>1.2000000000000002</v>
      </c>
      <c r="E298" s="44">
        <f>_xlfn.IFERROR(E297/Inputs!E154-1,"n.a.")</f>
        <v>1.125</v>
      </c>
      <c r="F298" s="44">
        <f>_xlfn.IFERROR(F297/Inputs!F154-1,"n.a.")</f>
        <v>1.2380952380952381</v>
      </c>
      <c r="G298" s="45">
        <f t="shared" si="8"/>
        <v>0.9512195121951219</v>
      </c>
      <c r="H298" s="2"/>
      <c r="I298" s="2"/>
      <c r="J298" s="2"/>
    </row>
    <row r="299" ht="15" customHeight="1">
      <c r="A299" s="51" t="s">
        <v>101</v>
      </c>
      <c r="B299" s="64">
        <f>_xlfn.IFERROR(B297-Inputs!E154,"n.a.")</f>
        <v>9</v>
      </c>
      <c r="C299" s="65">
        <f t="shared" si="24"/>
        <v>6</v>
      </c>
      <c r="D299" s="65">
        <f t="shared" si="24"/>
        <v>8</v>
      </c>
      <c r="E299" s="65">
        <f t="shared" si="24"/>
        <v>13</v>
      </c>
      <c r="F299" s="65" t="s">
        <v>78</v>
      </c>
      <c r="G299" s="66">
        <f t="shared" si="26"/>
        <v>12</v>
      </c>
      <c r="H299" s="2"/>
      <c r="I299" s="2"/>
      <c r="J299" s="2"/>
    </row>
    <row r="300" ht="15" customHeight="1">
      <c r="A300" s="51" t="s">
        <v>213</v>
      </c>
      <c r="B300" s="61">
        <v>913</v>
      </c>
      <c r="C300" s="61">
        <v>948</v>
      </c>
      <c r="D300" s="61">
        <v>986</v>
      </c>
      <c r="E300" s="61">
        <v>1028</v>
      </c>
      <c r="F300" s="70">
        <f t="shared" si="55"/>
        <v>948</v>
      </c>
      <c r="G300" s="69">
        <f>G286-G297</f>
        <v>1070</v>
      </c>
      <c r="H300" s="2" t="s">
        <v>76</v>
      </c>
      <c r="I300" s="2"/>
      <c r="J300" s="2"/>
    </row>
    <row r="301" ht="15" customHeight="1">
      <c r="A301" s="43" t="s">
        <v>34</v>
      </c>
      <c r="B301" s="44">
        <f>_xlfn.IFERROR(B300/Inputs!B182-1,"n.a.")</f>
        <v>0.26454293628808867</v>
      </c>
      <c r="C301" s="44">
        <f>_xlfn.IFERROR(C300/Inputs!C182-1,"n.a.")</f>
        <v>0.2091836734693877</v>
      </c>
      <c r="D301" s="44">
        <f>_xlfn.IFERROR(D300/Inputs!D182-1,"n.a.")</f>
        <v>0.1908212560386473</v>
      </c>
      <c r="E301" s="44">
        <f>_xlfn.IFERROR(E300/Inputs!E182-1,"n.a.")</f>
        <v>0.17754868270332191</v>
      </c>
      <c r="F301" s="44">
        <f>_xlfn.IFERROR(F300/Inputs!F182-1,"n.a.")</f>
        <v>0.2091836734693877</v>
      </c>
      <c r="G301" s="45">
        <f t="shared" si="8"/>
        <v>0.17196056955093098</v>
      </c>
      <c r="H301" s="2"/>
      <c r="I301" s="2"/>
      <c r="J301" s="2"/>
    </row>
    <row r="302" ht="15" customHeight="1">
      <c r="A302" s="51" t="s">
        <v>101</v>
      </c>
      <c r="B302" s="64">
        <f>_xlfn.IFERROR(B300-Inputs!E182,"n.a.")</f>
        <v>40</v>
      </c>
      <c r="C302" s="65">
        <f t="shared" si="24"/>
        <v>35</v>
      </c>
      <c r="D302" s="65">
        <f t="shared" si="24"/>
        <v>38</v>
      </c>
      <c r="E302" s="65">
        <f t="shared" si="24"/>
        <v>42</v>
      </c>
      <c r="F302" s="65" t="s">
        <v>78</v>
      </c>
      <c r="G302" s="66">
        <f t="shared" si="26"/>
        <v>42</v>
      </c>
      <c r="H302" s="2"/>
      <c r="I302" s="2"/>
      <c r="J302" s="2"/>
    </row>
    <row r="303" ht="15" customHeight="1">
      <c r="A303" s="51" t="s">
        <v>214</v>
      </c>
      <c r="B303" s="61">
        <v>17</v>
      </c>
      <c r="C303" s="61">
        <v>16</v>
      </c>
      <c r="D303" s="61">
        <v>36</v>
      </c>
      <c r="E303" s="61">
        <v>31</v>
      </c>
      <c r="F303" s="62">
        <f>Inputs!D121+Inputs!E121+B303+C303</f>
        <v>96</v>
      </c>
      <c r="G303" s="63">
        <v>30</v>
      </c>
      <c r="H303" s="2" t="s">
        <v>76</v>
      </c>
      <c r="I303" s="2"/>
      <c r="J303" s="2"/>
    </row>
    <row r="304" ht="15" customHeight="1">
      <c r="A304" s="43" t="s">
        <v>34</v>
      </c>
      <c r="B304" s="44">
        <f>_xlfn.IFERROR(B303/Inputs!B121-1,"n.a.")</f>
        <v>-0.5277777777777778</v>
      </c>
      <c r="C304" s="44">
        <f>_xlfn.IFERROR(C303/Inputs!C121-1,"n.a.")</f>
        <v>-0.5789473684210527</v>
      </c>
      <c r="D304" s="44">
        <f>_xlfn.IFERROR(D303/Inputs!D121-1,"n.a.")</f>
        <v>0.24137931034482762</v>
      </c>
      <c r="E304" s="44">
        <f>_xlfn.IFERROR(E303/Inputs!E121-1,"n.a.")</f>
        <v>-0.08823529411764708</v>
      </c>
      <c r="F304" s="44">
        <f>_xlfn.IFERROR(F303/Inputs!F121-1,"n.a.")</f>
        <v>-0.37254901960784315</v>
      </c>
      <c r="G304" s="45">
        <f t="shared" si="8"/>
        <v>0.7647058823529411</v>
      </c>
      <c r="H304" s="2"/>
      <c r="I304" s="2"/>
      <c r="J304" s="2"/>
    </row>
    <row r="305" ht="15" customHeight="1">
      <c r="A305" s="51" t="s">
        <v>101</v>
      </c>
      <c r="B305" s="64">
        <f>_xlfn.IFERROR(B303-Inputs!E121,"n.a.")</f>
        <v>-17</v>
      </c>
      <c r="C305" s="65">
        <f t="shared" si="24"/>
        <v>-1</v>
      </c>
      <c r="D305" s="65">
        <f t="shared" si="24"/>
        <v>20</v>
      </c>
      <c r="E305" s="65">
        <f t="shared" si="24"/>
        <v>-5</v>
      </c>
      <c r="F305" s="65" t="s">
        <v>78</v>
      </c>
      <c r="G305" s="66">
        <f t="shared" si="26"/>
        <v>-1</v>
      </c>
      <c r="H305" s="2"/>
      <c r="I305" s="2"/>
      <c r="J305" s="2"/>
    </row>
    <row r="306" ht="15" customHeight="1">
      <c r="A306" s="72" t="s">
        <v>215</v>
      </c>
      <c r="B306" s="61">
        <v>11</v>
      </c>
      <c r="C306" s="70" t="s">
        <v>81</v>
      </c>
      <c r="D306" s="61">
        <v>22</v>
      </c>
      <c r="E306" s="61">
        <v>14</v>
      </c>
      <c r="F306" s="70" t="s">
        <v>81</v>
      </c>
      <c r="G306" s="69" t="s">
        <v>134</v>
      </c>
      <c r="H306" s="2" t="s">
        <v>135</v>
      </c>
      <c r="I306" s="2"/>
      <c r="J306" s="2"/>
    </row>
    <row r="307" ht="15" customHeight="1">
      <c r="A307" s="51" t="s">
        <v>101</v>
      </c>
      <c r="B307" s="65" t="s">
        <v>78</v>
      </c>
      <c r="C307" s="65" t="str">
        <f t="shared" si="70" ref="C307:E319">_xlfn.IFERROR(C306-B306,"n.a.")</f>
        <v>n.a.</v>
      </c>
      <c r="D307" s="65" t="str">
        <f t="shared" si="70"/>
        <v>n.a.</v>
      </c>
      <c r="E307" s="65">
        <f t="shared" si="70"/>
        <v>-8</v>
      </c>
      <c r="F307" s="65" t="s">
        <v>78</v>
      </c>
      <c r="G307" s="66" t="str">
        <f t="shared" si="71" ref="G307:G319">_xlfn.IFERROR(G306-E306,"n.a.")</f>
        <v>n.a.</v>
      </c>
      <c r="H307" s="2"/>
      <c r="I307" s="2"/>
      <c r="J307" s="2"/>
    </row>
    <row r="308" ht="15" customHeight="1">
      <c r="A308" s="72" t="s">
        <v>216</v>
      </c>
      <c r="B308" s="61">
        <v>6</v>
      </c>
      <c r="C308" s="70" t="s">
        <v>81</v>
      </c>
      <c r="D308" s="61">
        <v>14</v>
      </c>
      <c r="E308" s="61">
        <v>17</v>
      </c>
      <c r="F308" s="70" t="s">
        <v>81</v>
      </c>
      <c r="G308" s="69" t="s">
        <v>134</v>
      </c>
      <c r="H308" s="2" t="s">
        <v>135</v>
      </c>
      <c r="I308" s="2"/>
      <c r="J308" s="2"/>
    </row>
    <row r="309" ht="15" customHeight="1">
      <c r="A309" s="51" t="s">
        <v>101</v>
      </c>
      <c r="B309" s="65" t="s">
        <v>78</v>
      </c>
      <c r="C309" s="65" t="str">
        <f t="shared" si="70"/>
        <v>n.a.</v>
      </c>
      <c r="D309" s="65" t="str">
        <f t="shared" si="70"/>
        <v>n.a.</v>
      </c>
      <c r="E309" s="65">
        <f t="shared" si="70"/>
        <v>3</v>
      </c>
      <c r="F309" s="65" t="s">
        <v>78</v>
      </c>
      <c r="G309" s="66" t="str">
        <f t="shared" si="71"/>
        <v>n.a.</v>
      </c>
      <c r="H309" s="2"/>
      <c r="I309" s="2"/>
      <c r="J309" s="2"/>
    </row>
    <row r="310" ht="15" customHeight="1">
      <c r="A310" s="51" t="s">
        <v>217</v>
      </c>
      <c r="B310" s="62">
        <f>B313-Inputs!E155-B303</f>
        <v>-13</v>
      </c>
      <c r="C310" s="70">
        <f t="shared" si="72" ref="C310:E310">C313-B313-C303</f>
        <v>-18</v>
      </c>
      <c r="D310" s="70">
        <f t="shared" si="72"/>
        <v>-16</v>
      </c>
      <c r="E310" s="70">
        <f t="shared" si="72"/>
        <v>-14</v>
      </c>
      <c r="F310" s="70" t="s">
        <v>78</v>
      </c>
      <c r="G310" s="63">
        <v>-15</v>
      </c>
      <c r="H310" s="2"/>
      <c r="I310" s="2"/>
      <c r="J310" s="2"/>
    </row>
    <row r="311" ht="15" customHeight="1">
      <c r="A311" s="43" t="s">
        <v>218</v>
      </c>
      <c r="B311" s="44" t="str">
        <f>_xlfn.IFERROR(IF(Inputs!B181&lt;0,"n.m.",B310/Inputs!B181-1),"n.a.")</f>
        <v>n.a.</v>
      </c>
      <c r="C311" s="44" t="str">
        <f>_xlfn.IFERROR(IF(Inputs!C181&lt;0,"n.m.",C310/Inputs!C181-1),"n.a.")</f>
        <v>n.m.</v>
      </c>
      <c r="D311" s="44" t="str">
        <f>_xlfn.IFERROR(IF(Inputs!D181&lt;0,"n.m.",D310/Inputs!D181-1),"n.a.")</f>
        <v>n.m.</v>
      </c>
      <c r="E311" s="44" t="str">
        <f>_xlfn.IFERROR(IF(Inputs!E181&lt;0,"n.m.",E310/Inputs!E181-1),"n.a.")</f>
        <v>n.m.</v>
      </c>
      <c r="F311" s="44" t="str">
        <f>_xlfn.IFERROR(IF(Inputs!F181&lt;0,"n.m.",F310/Inputs!F181-1),"n.a.")</f>
        <v>n.a.</v>
      </c>
      <c r="G311" s="45" t="str">
        <f t="shared" si="51"/>
        <v>n.m.</v>
      </c>
      <c r="H311" s="2"/>
      <c r="I311" s="2"/>
      <c r="J311" s="2"/>
    </row>
    <row r="312" ht="15" customHeight="1">
      <c r="A312" s="51" t="s">
        <v>219</v>
      </c>
      <c r="B312" s="64">
        <f>_xlfn.IFERROR(B310-Inputs!E181,"n.a.")</f>
        <v>-3</v>
      </c>
      <c r="C312" s="65">
        <f t="shared" si="24"/>
        <v>-5</v>
      </c>
      <c r="D312" s="65">
        <f t="shared" si="24"/>
        <v>2</v>
      </c>
      <c r="E312" s="65">
        <f t="shared" si="24"/>
        <v>2</v>
      </c>
      <c r="F312" s="65" t="s">
        <v>78</v>
      </c>
      <c r="G312" s="66">
        <f t="shared" si="26"/>
        <v>-1</v>
      </c>
      <c r="H312" s="2"/>
      <c r="I312" s="2"/>
      <c r="J312" s="2"/>
    </row>
    <row r="313" ht="15" customHeight="1">
      <c r="A313" s="71" t="s">
        <v>220</v>
      </c>
      <c r="B313" s="73">
        <v>362</v>
      </c>
      <c r="C313" s="73">
        <v>360</v>
      </c>
      <c r="D313" s="73">
        <v>380</v>
      </c>
      <c r="E313" s="73">
        <v>397</v>
      </c>
      <c r="F313" s="67">
        <f t="shared" si="55"/>
        <v>360</v>
      </c>
      <c r="G313" s="68">
        <f>E313+G303+G310</f>
        <v>412</v>
      </c>
      <c r="H313" s="2" t="s">
        <v>76</v>
      </c>
      <c r="I313" s="2"/>
      <c r="J313" s="2"/>
    </row>
    <row r="314" ht="15" customHeight="1">
      <c r="A314" s="43" t="s">
        <v>34</v>
      </c>
      <c r="B314" s="44">
        <f>_xlfn.IFERROR(B313/Inputs!B155-1,"n.a.")</f>
        <v>0.22297297297297303</v>
      </c>
      <c r="C314" s="44">
        <f>_xlfn.IFERROR(C313/Inputs!C155-1,"n.a.")</f>
        <v>0.12852664576802497</v>
      </c>
      <c r="D314" s="44">
        <f>_xlfn.IFERROR(D313/Inputs!D155-1,"n.a.")</f>
        <v>0.13772455089820368</v>
      </c>
      <c r="E314" s="44">
        <f>_xlfn.IFERROR(E313/Inputs!E155-1,"n.a.")</f>
        <v>0.1089385474860336</v>
      </c>
      <c r="F314" s="44">
        <f>_xlfn.IFERROR(F313/Inputs!F155-1,"n.a.")</f>
        <v>0.12852664576802497</v>
      </c>
      <c r="G314" s="45">
        <f t="shared" si="8"/>
        <v>0.13812154696132595</v>
      </c>
      <c r="H314" s="2"/>
      <c r="I314" s="2"/>
      <c r="J314" s="2"/>
    </row>
    <row r="315" ht="15" customHeight="1">
      <c r="A315" s="51" t="s">
        <v>101</v>
      </c>
      <c r="B315" s="64">
        <f>_xlfn.IFERROR(B313-Inputs!E155,"n.a.")</f>
        <v>4</v>
      </c>
      <c r="C315" s="65">
        <f t="shared" si="24"/>
        <v>-2</v>
      </c>
      <c r="D315" s="65">
        <f t="shared" si="24"/>
        <v>20</v>
      </c>
      <c r="E315" s="65">
        <f t="shared" si="24"/>
        <v>17</v>
      </c>
      <c r="F315" s="65" t="s">
        <v>78</v>
      </c>
      <c r="G315" s="66">
        <f t="shared" si="26"/>
        <v>15</v>
      </c>
      <c r="H315" s="2"/>
      <c r="I315" s="2"/>
      <c r="J315" s="2"/>
    </row>
    <row r="316" ht="15" customHeight="1">
      <c r="A316" s="72" t="s">
        <v>221</v>
      </c>
      <c r="B316" s="61">
        <v>123</v>
      </c>
      <c r="C316" s="70" t="s">
        <v>81</v>
      </c>
      <c r="D316" s="70" t="s">
        <v>81</v>
      </c>
      <c r="E316" s="61">
        <v>110</v>
      </c>
      <c r="F316" s="70" t="s">
        <v>81</v>
      </c>
      <c r="G316" s="69" t="s">
        <v>134</v>
      </c>
      <c r="H316" s="2" t="s">
        <v>222</v>
      </c>
      <c r="I316" s="2"/>
      <c r="J316" s="2"/>
    </row>
    <row r="317" ht="15" customHeight="1">
      <c r="A317" s="51" t="s">
        <v>101</v>
      </c>
      <c r="B317" s="65" t="s">
        <v>78</v>
      </c>
      <c r="C317" s="65" t="str">
        <f t="shared" si="70"/>
        <v>n.a.</v>
      </c>
      <c r="D317" s="65" t="str">
        <f t="shared" si="70"/>
        <v>n.a.</v>
      </c>
      <c r="E317" s="65" t="str">
        <f t="shared" si="70"/>
        <v>n.a.</v>
      </c>
      <c r="F317" s="65" t="s">
        <v>78</v>
      </c>
      <c r="G317" s="66" t="str">
        <f t="shared" si="71"/>
        <v>n.a.</v>
      </c>
      <c r="H317" s="2"/>
      <c r="I317" s="2"/>
      <c r="J317" s="2"/>
    </row>
    <row r="318" ht="15" customHeight="1">
      <c r="A318" s="72" t="s">
        <v>223</v>
      </c>
      <c r="B318" s="61">
        <v>239</v>
      </c>
      <c r="C318" s="70" t="s">
        <v>81</v>
      </c>
      <c r="D318" s="70" t="s">
        <v>81</v>
      </c>
      <c r="E318" s="61">
        <v>287</v>
      </c>
      <c r="F318" s="70" t="s">
        <v>81</v>
      </c>
      <c r="G318" s="69" t="s">
        <v>134</v>
      </c>
      <c r="H318" s="2" t="s">
        <v>222</v>
      </c>
      <c r="I318" s="2"/>
      <c r="J318" s="2"/>
    </row>
    <row r="319" ht="15" customHeight="1">
      <c r="A319" s="51" t="s">
        <v>101</v>
      </c>
      <c r="B319" s="65" t="s">
        <v>78</v>
      </c>
      <c r="C319" s="65" t="str">
        <f t="shared" si="70"/>
        <v>n.a.</v>
      </c>
      <c r="D319" s="65" t="str">
        <f t="shared" si="70"/>
        <v>n.a.</v>
      </c>
      <c r="E319" s="65" t="str">
        <f t="shared" si="70"/>
        <v>n.a.</v>
      </c>
      <c r="F319" s="65" t="s">
        <v>78</v>
      </c>
      <c r="G319" s="66" t="str">
        <f t="shared" si="71"/>
        <v>n.a.</v>
      </c>
      <c r="H319" s="2"/>
      <c r="I319" s="2"/>
      <c r="J319" s="2"/>
    </row>
    <row r="320" ht="15" customHeight="1">
      <c r="A320" s="2" t="s">
        <v>224</v>
      </c>
      <c r="B320" s="61">
        <v>580</v>
      </c>
      <c r="C320" s="61">
        <v>590</v>
      </c>
      <c r="D320" s="61">
        <v>630</v>
      </c>
      <c r="E320" s="61">
        <v>650</v>
      </c>
      <c r="F320" s="61">
        <v>580</v>
      </c>
      <c r="G320" s="63">
        <v>640</v>
      </c>
      <c r="H320" s="2" t="s">
        <v>76</v>
      </c>
      <c r="I320" s="2"/>
      <c r="J320" s="2"/>
    </row>
    <row r="321" ht="15" customHeight="1">
      <c r="A321" s="43" t="s">
        <v>34</v>
      </c>
      <c r="B321" s="44">
        <f>_xlfn.IFERROR(B320/Inputs!B44-1,"n.a.")</f>
        <v>-0.016949152542372836</v>
      </c>
      <c r="C321" s="44">
        <f>_xlfn.IFERROR(C320/Inputs!C44-1,"n.a.")</f>
        <v>0.01724137931034475</v>
      </c>
      <c r="D321" s="44">
        <f>_xlfn.IFERROR(D320/Inputs!D44-1,"n.a.")</f>
        <v>0.1454545454545455</v>
      </c>
      <c r="E321" s="44">
        <f>_xlfn.IFERROR(E320/Inputs!E44-1,"n.a.")</f>
        <v>0.06557377049180335</v>
      </c>
      <c r="F321" s="44">
        <f>_xlfn.IFERROR(F320/Inputs!F44-1,"n.a.")</f>
        <v>0.01754385964912286</v>
      </c>
      <c r="G321" s="45">
        <f t="shared" si="8"/>
        <v>0.10344827586206895</v>
      </c>
      <c r="H321" s="2"/>
      <c r="I321" s="2"/>
      <c r="J321" s="2"/>
    </row>
    <row r="322" ht="15" customHeight="1">
      <c r="A322" s="51" t="s">
        <v>101</v>
      </c>
      <c r="B322" s="64">
        <f>_xlfn.IFERROR(B320-Inputs!E44,"n.a.")</f>
        <v>-30</v>
      </c>
      <c r="C322" s="65">
        <f t="shared" si="24"/>
        <v>10</v>
      </c>
      <c r="D322" s="65">
        <f t="shared" si="24"/>
        <v>40</v>
      </c>
      <c r="E322" s="65">
        <f t="shared" si="24"/>
        <v>20</v>
      </c>
      <c r="F322" s="65" t="s">
        <v>78</v>
      </c>
      <c r="G322" s="66">
        <f t="shared" si="26"/>
        <v>-10</v>
      </c>
      <c r="H322" s="2"/>
      <c r="I322" s="2"/>
      <c r="J322" s="2"/>
    </row>
    <row r="323" ht="15" customHeight="1">
      <c r="A323" s="2" t="s">
        <v>225</v>
      </c>
      <c r="B323" s="18">
        <f t="shared" si="73" ref="B323:G323">B85*1000/B291</f>
        <v>40.77461000537924</v>
      </c>
      <c r="C323" s="18">
        <f t="shared" si="73"/>
        <v>41.25192406362237</v>
      </c>
      <c r="D323" s="18">
        <f t="shared" si="73"/>
        <v>41.94499017681729</v>
      </c>
      <c r="E323" s="18">
        <f t="shared" si="73"/>
        <v>44.82919981282171</v>
      </c>
      <c r="F323" s="18">
        <f t="shared" si="73"/>
        <v>160.11111111111114</v>
      </c>
      <c r="G323" s="42">
        <f t="shared" si="73"/>
        <v>45.223508459483526</v>
      </c>
      <c r="H323" s="2"/>
      <c r="I323" s="2"/>
      <c r="J323" s="2"/>
    </row>
    <row r="324" ht="15" customHeight="1">
      <c r="A324" s="43" t="s">
        <v>34</v>
      </c>
      <c r="B324" s="44">
        <f>_xlfn.IFERROR(B323/Inputs!B120-1,"n.a.")</f>
        <v>0.1577369186266313</v>
      </c>
      <c r="C324" s="44">
        <f>_xlfn.IFERROR(C323/Inputs!C120-1,"n.a.")</f>
        <v>0.1392332434057717</v>
      </c>
      <c r="D324" s="44">
        <f>_xlfn.IFERROR(D323/Inputs!D120-1,"n.a.")</f>
        <v>0.1326513634065647</v>
      </c>
      <c r="E324" s="44">
        <f>_xlfn.IFERROR(E323/Inputs!E120-1,"n.a.")</f>
        <v>0.11628517380935643</v>
      </c>
      <c r="F324" s="44">
        <f>_xlfn.IFERROR(F323/Inputs!F120-1,"n.a.")</f>
        <v>0.12245433391506721</v>
      </c>
      <c r="G324" s="45">
        <f t="shared" si="8"/>
        <v>0.1091095280498664</v>
      </c>
      <c r="H324" s="2"/>
      <c r="I324" s="2"/>
      <c r="J324" s="2"/>
    </row>
    <row r="325" ht="15" customHeight="1">
      <c r="A325" s="51" t="s">
        <v>101</v>
      </c>
      <c r="B325" s="55">
        <f>_xlfn.IFERROR(B323-Inputs!E120,"n.a.")</f>
        <v>0.6153381054930023</v>
      </c>
      <c r="C325" s="56">
        <f t="shared" si="24"/>
        <v>0.477314058243131</v>
      </c>
      <c r="D325" s="56">
        <f t="shared" si="24"/>
        <v>0.6930661131949236</v>
      </c>
      <c r="E325" s="56">
        <f t="shared" si="24"/>
        <v>2.884209636004421</v>
      </c>
      <c r="F325" s="56" t="s">
        <v>78</v>
      </c>
      <c r="G325" s="57">
        <f t="shared" si="26"/>
        <v>0.39430864666181265</v>
      </c>
      <c r="H325" s="2"/>
      <c r="I325" s="2"/>
      <c r="J325" s="2"/>
    </row>
    <row r="326" ht="15" customHeight="1">
      <c r="A326" s="2"/>
      <c r="B326" s="2"/>
      <c r="C326" s="2"/>
      <c r="D326" s="2"/>
      <c r="E326" s="2"/>
      <c r="F326" s="2"/>
      <c r="G326" s="40"/>
      <c r="H326" s="2"/>
      <c r="I326" s="2"/>
      <c r="J326" s="2"/>
    </row>
    <row r="327" ht="15" customHeight="1">
      <c r="A327" s="30" t="s">
        <v>226</v>
      </c>
      <c r="B327" s="30"/>
      <c r="C327" s="30"/>
      <c r="D327" s="30"/>
      <c r="E327" s="30"/>
      <c r="F327" s="30"/>
      <c r="G327" s="41"/>
      <c r="H327" s="30"/>
      <c r="I327" s="2"/>
      <c r="J327" s="2"/>
    </row>
    <row r="328" ht="15" customHeight="1">
      <c r="A328" s="2" t="s">
        <v>227</v>
      </c>
      <c r="B328" s="18">
        <f t="shared" si="74" ref="B328:F328">B351-B340</f>
        <v>1434.8</v>
      </c>
      <c r="C328" s="18">
        <f t="shared" si="74"/>
        <v>1570</v>
      </c>
      <c r="D328" s="18">
        <f t="shared" si="74"/>
        <v>1591.2</v>
      </c>
      <c r="E328" s="18">
        <f t="shared" si="74"/>
        <v>1625.8000000000002</v>
      </c>
      <c r="F328" s="18">
        <f t="shared" si="74"/>
        <v>5701.400000000001</v>
      </c>
      <c r="G328" s="42">
        <f>G77*G336</f>
        <v>1656.76305</v>
      </c>
      <c r="H328" s="2"/>
      <c r="I328" s="2"/>
      <c r="J328" s="2"/>
    </row>
    <row r="329" ht="15" customHeight="1">
      <c r="A329" s="43" t="s">
        <v>34</v>
      </c>
      <c r="B329" s="44">
        <f>_xlfn.IFERROR(B328/Inputs!B47-1,"n.a.")</f>
        <v>0.18961943454108265</v>
      </c>
      <c r="C329" s="44">
        <f>_xlfn.IFERROR(C328/Inputs!C47-1,"n.a.")</f>
        <v>0.16330764671013642</v>
      </c>
      <c r="D329" s="44">
        <f>_xlfn.IFERROR(D328/Inputs!D47-1,"n.a.")</f>
        <v>0.22399999999999998</v>
      </c>
      <c r="E329" s="44">
        <f>_xlfn.IFERROR(E328/Inputs!E47-1,"n.a.")</f>
        <v>0.16411284548188476</v>
      </c>
      <c r="F329" s="44">
        <f>_xlfn.IFERROR(F328/Inputs!F47-1,"n.a.")</f>
        <v>0.17390051062427947</v>
      </c>
      <c r="G329" s="45">
        <f t="shared" si="8"/>
        <v>0.15469964454976304</v>
      </c>
      <c r="H329" s="2"/>
      <c r="I329" s="2"/>
      <c r="J329" s="2"/>
    </row>
    <row r="330" ht="15" customHeight="1">
      <c r="A330" s="51" t="s">
        <v>101</v>
      </c>
      <c r="B330" s="55">
        <f>_xlfn.IFERROR(B328-Inputs!E47,"n.a.")</f>
        <v>38.200000000000045</v>
      </c>
      <c r="C330" s="56">
        <f t="shared" si="24"/>
        <v>135.20000000000005</v>
      </c>
      <c r="D330" s="56">
        <f t="shared" si="24"/>
        <v>21.200000000000045</v>
      </c>
      <c r="E330" s="56">
        <f t="shared" si="24"/>
        <v>34.600000000000136</v>
      </c>
      <c r="F330" s="56" t="s">
        <v>78</v>
      </c>
      <c r="G330" s="57">
        <f t="shared" si="26"/>
        <v>30.96304999999984</v>
      </c>
      <c r="H330" s="2"/>
      <c r="I330" s="2"/>
      <c r="J330" s="2"/>
    </row>
    <row r="331" ht="15" customHeight="1">
      <c r="A331" s="43" t="s">
        <v>79</v>
      </c>
      <c r="B331" s="19">
        <f t="shared" si="75" ref="B331:G331">B328/B34</f>
        <v>0.5727515867630035</v>
      </c>
      <c r="C331" s="19">
        <f t="shared" si="75"/>
        <v>0.5477635894215338</v>
      </c>
      <c r="D331" s="19">
        <f t="shared" si="75"/>
        <v>0.574274577739281</v>
      </c>
      <c r="E331" s="19">
        <f t="shared" si="75"/>
        <v>0.5621131971095668</v>
      </c>
      <c r="F331" s="19">
        <f t="shared" si="75"/>
        <v>0.566474907349449</v>
      </c>
      <c r="G331" s="47">
        <f t="shared" si="75"/>
        <v>0.5630550789784945</v>
      </c>
      <c r="H331" s="2"/>
      <c r="I331" s="2"/>
      <c r="J331" s="2"/>
    </row>
    <row r="332" ht="15" customHeight="1">
      <c r="A332" s="43" t="s">
        <v>80</v>
      </c>
      <c r="B332" s="48">
        <v>0</v>
      </c>
      <c r="C332" s="48">
        <v>0</v>
      </c>
      <c r="D332" s="19" t="s">
        <v>81</v>
      </c>
      <c r="E332" s="19" t="s">
        <v>81</v>
      </c>
      <c r="F332" s="48">
        <v>0</v>
      </c>
      <c r="G332" s="47" t="s">
        <v>81</v>
      </c>
      <c r="H332" s="2"/>
      <c r="I332" s="2"/>
      <c r="J332" s="2"/>
    </row>
    <row r="333" ht="15" customHeight="1">
      <c r="A333" s="43" t="s">
        <v>82</v>
      </c>
      <c r="B333" s="19" t="s">
        <v>81</v>
      </c>
      <c r="C333" s="19" t="s">
        <v>81</v>
      </c>
      <c r="D333" s="19" t="s">
        <v>81</v>
      </c>
      <c r="E333" s="19" t="s">
        <v>81</v>
      </c>
      <c r="F333" s="19" t="s">
        <v>81</v>
      </c>
      <c r="G333" s="47" t="s">
        <v>81</v>
      </c>
      <c r="H333" s="2"/>
      <c r="I333" s="2"/>
      <c r="J333" s="2"/>
    </row>
    <row r="334" ht="15" customHeight="1">
      <c r="A334" s="43" t="s">
        <v>83</v>
      </c>
      <c r="B334" s="46" t="str">
        <f t="shared" si="5"/>
        <v>n.d.</v>
      </c>
      <c r="C334" s="46" t="str">
        <f t="shared" si="5"/>
        <v>n.d.</v>
      </c>
      <c r="D334" s="46" t="str">
        <f t="shared" si="5"/>
        <v>n.d.</v>
      </c>
      <c r="E334" s="46" t="str">
        <f t="shared" si="5"/>
        <v>n.d.</v>
      </c>
      <c r="F334" s="46" t="str">
        <f t="shared" si="5"/>
        <v>n.d.</v>
      </c>
      <c r="G334" s="45" t="str">
        <f t="shared" si="5"/>
        <v>n.d.</v>
      </c>
      <c r="H334" s="2"/>
      <c r="I334" s="2"/>
      <c r="J334" s="2"/>
    </row>
    <row r="335" ht="15" customHeight="1">
      <c r="A335" s="43" t="s">
        <v>84</v>
      </c>
      <c r="B335" s="46">
        <f t="shared" si="6"/>
        <v>0.18961943454108265</v>
      </c>
      <c r="C335" s="46">
        <f t="shared" si="6"/>
        <v>0.16330764671013642</v>
      </c>
      <c r="D335" s="46">
        <f t="shared" si="6"/>
        <v>0.22399999999999998</v>
      </c>
      <c r="E335" s="46">
        <f t="shared" si="6"/>
        <v>0.16411284548188476</v>
      </c>
      <c r="F335" s="46">
        <f t="shared" si="6"/>
        <v>0.17390051062427947</v>
      </c>
      <c r="G335" s="45">
        <f t="shared" si="6"/>
        <v>0.15469964454976304</v>
      </c>
      <c r="H335" s="2"/>
      <c r="I335" s="2"/>
      <c r="J335" s="2"/>
    </row>
    <row r="336" ht="15" customHeight="1">
      <c r="A336" s="2" t="s">
        <v>228</v>
      </c>
      <c r="B336" s="74">
        <f t="shared" si="76" ref="B336:F336">B328/B77</f>
        <v>1.800250941028858</v>
      </c>
      <c r="C336" s="74">
        <f t="shared" si="76"/>
        <v>1.8492343934040048</v>
      </c>
      <c r="D336" s="74">
        <f t="shared" si="76"/>
        <v>1.8786304604486423</v>
      </c>
      <c r="E336" s="74">
        <f t="shared" si="76"/>
        <v>1.828796400449944</v>
      </c>
      <c r="F336" s="74">
        <f t="shared" si="76"/>
        <v>1.808246114811291</v>
      </c>
      <c r="G336" s="75">
        <v>1.83</v>
      </c>
      <c r="H336" s="2"/>
      <c r="I336" s="2"/>
      <c r="J336" s="2"/>
    </row>
    <row r="337" ht="15" customHeight="1">
      <c r="A337" s="43" t="s">
        <v>34</v>
      </c>
      <c r="B337" s="44">
        <f>_xlfn.IFERROR(B336/Inputs!B48-1,"n.a.")</f>
        <v>0.000056488259128517626</v>
      </c>
      <c r="C337" s="44">
        <f>_xlfn.IFERROR(C336/Inputs!C48-1,"n.a.")</f>
        <v>-0.006598299334689139</v>
      </c>
      <c r="D337" s="44">
        <f>_xlfn.IFERROR(D336/Inputs!D48-1,"n.a.")</f>
        <v>0.05781345926800485</v>
      </c>
      <c r="E337" s="44">
        <f>_xlfn.IFERROR(E336/Inputs!E48-1,"n.a.")</f>
        <v>0.014834032900405747</v>
      </c>
      <c r="F337" s="44">
        <f>_xlfn.IFERROR(F336/Inputs!F48-1,"n.a.")</f>
        <v>-0.0010862448446109507</v>
      </c>
      <c r="G337" s="45">
        <f t="shared" si="8"/>
        <v>0.016524951212712802</v>
      </c>
      <c r="H337" s="2"/>
      <c r="I337" s="2"/>
      <c r="J337" s="2"/>
    </row>
    <row r="338" ht="15" customHeight="1">
      <c r="A338" s="51" t="s">
        <v>101</v>
      </c>
      <c r="B338" s="76">
        <f>_xlfn.IFERROR(B336-Inputs!E48,"n.a.")</f>
        <v>-0.001813575100173992</v>
      </c>
      <c r="C338" s="77">
        <f t="shared" si="24"/>
        <v>0.048983452375146674</v>
      </c>
      <c r="D338" s="77">
        <f t="shared" si="24"/>
        <v>0.029396067044637597</v>
      </c>
      <c r="E338" s="77">
        <f t="shared" si="24"/>
        <v>-0.04983405999869839</v>
      </c>
      <c r="F338" s="77" t="s">
        <v>78</v>
      </c>
      <c r="G338" s="78">
        <f t="shared" si="26"/>
        <v>0.0012035995500561114</v>
      </c>
      <c r="H338" s="2"/>
      <c r="I338" s="2"/>
      <c r="J338" s="2"/>
    </row>
    <row r="339" ht="15" customHeight="1">
      <c r="A339" s="51" t="s">
        <v>229</v>
      </c>
      <c r="B339" s="79">
        <v>1.8</v>
      </c>
      <c r="C339" s="79">
        <v>1.85</v>
      </c>
      <c r="D339" s="79">
        <v>1.88</v>
      </c>
      <c r="E339" s="79">
        <v>1.83</v>
      </c>
      <c r="F339" s="79">
        <v>1.81</v>
      </c>
      <c r="G339" s="80" t="s">
        <v>78</v>
      </c>
      <c r="H339" s="2" t="s">
        <v>76</v>
      </c>
      <c r="I339" s="2"/>
      <c r="J339" s="2"/>
    </row>
    <row r="340" ht="15" customHeight="1">
      <c r="A340" s="2" t="s">
        <v>230</v>
      </c>
      <c r="B340" s="52">
        <v>84</v>
      </c>
      <c r="C340" s="52">
        <v>88.3</v>
      </c>
      <c r="D340" s="52">
        <v>95.2</v>
      </c>
      <c r="E340" s="52">
        <v>109.1</v>
      </c>
      <c r="F340" s="17">
        <f>Inputs!D46+Inputs!E46+B340+C340</f>
        <v>317.5</v>
      </c>
      <c r="G340" s="42">
        <f>G85*G348</f>
        <v>114.2685</v>
      </c>
      <c r="H340" s="2" t="s">
        <v>76</v>
      </c>
      <c r="I340" s="2"/>
      <c r="J340" s="2"/>
    </row>
    <row r="341" ht="15" customHeight="1">
      <c r="A341" s="43" t="s">
        <v>34</v>
      </c>
      <c r="B341" s="44">
        <f>_xlfn.IFERROR(B340/Inputs!B46-1,"n.a.")</f>
        <v>0.4457831325301205</v>
      </c>
      <c r="C341" s="44">
        <f>_xlfn.IFERROR(C340/Inputs!C46-1,"n.a.")</f>
        <v>0.42649434571890144</v>
      </c>
      <c r="D341" s="44">
        <f>_xlfn.IFERROR(D340/Inputs!D46-1,"n.a.")</f>
        <v>0.40620384047267355</v>
      </c>
      <c r="E341" s="44">
        <f>_xlfn.IFERROR(E340/Inputs!E46-1,"n.a.")</f>
        <v>0.40774193548387094</v>
      </c>
      <c r="F341" s="44">
        <f>_xlfn.IFERROR(F340/Inputs!F46-1,"n.a.")</f>
        <v>0.428892889288929</v>
      </c>
      <c r="G341" s="45">
        <f t="shared" si="8"/>
        <v>0.36033928571428575</v>
      </c>
      <c r="H341" s="2"/>
      <c r="I341" s="2"/>
      <c r="J341" s="2"/>
    </row>
    <row r="342" ht="15" customHeight="1">
      <c r="A342" s="51" t="s">
        <v>101</v>
      </c>
      <c r="B342" s="55">
        <f>_xlfn.IFERROR(B340-Inputs!E46,"n.a.")</f>
        <v>6.5</v>
      </c>
      <c r="C342" s="56">
        <f t="shared" si="24"/>
        <v>4.299999999999997</v>
      </c>
      <c r="D342" s="56">
        <f t="shared" si="24"/>
        <v>6.900000000000006</v>
      </c>
      <c r="E342" s="56">
        <f t="shared" si="24"/>
        <v>13.899999999999991</v>
      </c>
      <c r="F342" s="56" t="s">
        <v>78</v>
      </c>
      <c r="G342" s="57">
        <f t="shared" si="26"/>
        <v>5.168500000000009</v>
      </c>
      <c r="H342" s="2"/>
      <c r="I342" s="2"/>
      <c r="J342" s="2"/>
    </row>
    <row r="343" ht="15" customHeight="1">
      <c r="A343" s="43" t="s">
        <v>79</v>
      </c>
      <c r="B343" s="19">
        <f t="shared" si="77" ref="B343:G343">B340/B34</f>
        <v>0.03353159554508802</v>
      </c>
      <c r="C343" s="19">
        <f t="shared" si="77"/>
        <v>0.03080734072988626</v>
      </c>
      <c r="D343" s="19">
        <f t="shared" si="77"/>
        <v>0.034358308069871515</v>
      </c>
      <c r="E343" s="19">
        <f t="shared" si="77"/>
        <v>0.037720845002247344</v>
      </c>
      <c r="F343" s="19">
        <f t="shared" si="77"/>
        <v>0.031545898039683246</v>
      </c>
      <c r="G343" s="47">
        <f t="shared" si="77"/>
        <v>0.03883443639828526</v>
      </c>
      <c r="H343" s="2"/>
      <c r="I343" s="2"/>
      <c r="J343" s="2"/>
    </row>
    <row r="344" ht="15" customHeight="1">
      <c r="A344" s="43" t="s">
        <v>80</v>
      </c>
      <c r="B344" s="48">
        <v>0</v>
      </c>
      <c r="C344" s="48">
        <v>0</v>
      </c>
      <c r="D344" s="19" t="s">
        <v>81</v>
      </c>
      <c r="E344" s="19" t="s">
        <v>81</v>
      </c>
      <c r="F344" s="48">
        <v>0</v>
      </c>
      <c r="G344" s="47" t="s">
        <v>81</v>
      </c>
      <c r="H344" s="2"/>
      <c r="I344" s="2"/>
      <c r="J344" s="2"/>
    </row>
    <row r="345" ht="15" customHeight="1">
      <c r="A345" s="43" t="s">
        <v>82</v>
      </c>
      <c r="B345" s="19" t="s">
        <v>81</v>
      </c>
      <c r="C345" s="19" t="s">
        <v>81</v>
      </c>
      <c r="D345" s="19" t="s">
        <v>81</v>
      </c>
      <c r="E345" s="19" t="s">
        <v>81</v>
      </c>
      <c r="F345" s="19" t="s">
        <v>81</v>
      </c>
      <c r="G345" s="47" t="s">
        <v>81</v>
      </c>
      <c r="H345" s="2"/>
      <c r="I345" s="2"/>
      <c r="J345" s="2"/>
    </row>
    <row r="346" ht="15" customHeight="1">
      <c r="A346" s="43" t="s">
        <v>83</v>
      </c>
      <c r="B346" s="46" t="str">
        <f t="shared" si="5"/>
        <v>n.d.</v>
      </c>
      <c r="C346" s="46" t="str">
        <f t="shared" si="5"/>
        <v>n.d.</v>
      </c>
      <c r="D346" s="46" t="str">
        <f t="shared" si="5"/>
        <v>n.d.</v>
      </c>
      <c r="E346" s="46" t="str">
        <f t="shared" si="5"/>
        <v>n.d.</v>
      </c>
      <c r="F346" s="46" t="str">
        <f t="shared" si="5"/>
        <v>n.d.</v>
      </c>
      <c r="G346" s="45" t="str">
        <f t="shared" si="5"/>
        <v>n.d.</v>
      </c>
      <c r="H346" s="2"/>
      <c r="I346" s="2"/>
      <c r="J346" s="2"/>
    </row>
    <row r="347" ht="15" customHeight="1">
      <c r="A347" s="43" t="s">
        <v>84</v>
      </c>
      <c r="B347" s="46">
        <f t="shared" si="6"/>
        <v>0.4457831325301205</v>
      </c>
      <c r="C347" s="46">
        <f t="shared" si="6"/>
        <v>0.42649434571890144</v>
      </c>
      <c r="D347" s="46">
        <f t="shared" si="6"/>
        <v>0.40620384047267355</v>
      </c>
      <c r="E347" s="46">
        <f t="shared" si="6"/>
        <v>0.40774193548387094</v>
      </c>
      <c r="F347" s="46">
        <f t="shared" si="6"/>
        <v>0.428892889288929</v>
      </c>
      <c r="G347" s="45">
        <f t="shared" si="6"/>
        <v>0.36033928571428575</v>
      </c>
      <c r="H347" s="2"/>
      <c r="I347" s="2"/>
      <c r="J347" s="2"/>
    </row>
    <row r="348" ht="15" customHeight="1">
      <c r="A348" s="2" t="s">
        <v>231</v>
      </c>
      <c r="B348" s="74">
        <f t="shared" si="78" ref="B348:F348">B340/B85</f>
        <v>2.216358839050132</v>
      </c>
      <c r="C348" s="74">
        <f t="shared" si="78"/>
        <v>2.1965174129353233</v>
      </c>
      <c r="D348" s="74">
        <f t="shared" si="78"/>
        <v>2.2295081967213113</v>
      </c>
      <c r="E348" s="74">
        <f t="shared" si="78"/>
        <v>2.277661795407098</v>
      </c>
      <c r="F348" s="74">
        <f t="shared" si="78"/>
        <v>2.2033310201249128</v>
      </c>
      <c r="G348" s="75">
        <v>2.25</v>
      </c>
      <c r="H348" s="2"/>
      <c r="I348" s="2"/>
      <c r="J348" s="2"/>
    </row>
    <row r="349" ht="15" customHeight="1">
      <c r="A349" s="43" t="s">
        <v>34</v>
      </c>
      <c r="B349" s="44">
        <f>_xlfn.IFERROR(B348/Inputs!B49-1,"n.a.")</f>
        <v>-0.05013192612137207</v>
      </c>
      <c r="C349" s="44">
        <f>_xlfn.IFERROR(C348/Inputs!C49-1,"n.a.")</f>
        <v>-0.00997034215031467</v>
      </c>
      <c r="D349" s="44">
        <f>_xlfn.IFERROR(D348/Inputs!D49-1,"n.a.")</f>
        <v>0.011017749473327232</v>
      </c>
      <c r="E349" s="44">
        <f>_xlfn.IFERROR(E348/Inputs!E49-1,"n.a.")</f>
        <v>0.037438211327362136</v>
      </c>
      <c r="F349" s="44">
        <f>_xlfn.IFERROR(F348/Inputs!F49-1,"n.a.")</f>
        <v>-0.05302379648096667</v>
      </c>
      <c r="G349" s="45">
        <f t="shared" si="8"/>
        <v>0.015178571428571264</v>
      </c>
      <c r="H349" s="2"/>
      <c r="I349" s="2"/>
      <c r="J349" s="2"/>
    </row>
    <row r="350" ht="15" customHeight="1">
      <c r="A350" s="51" t="s">
        <v>101</v>
      </c>
      <c r="B350" s="76">
        <f>_xlfn.IFERROR(B348-Inputs!E49,"n.a.")</f>
        <v>0.0208914169538148</v>
      </c>
      <c r="C350" s="77">
        <f t="shared" si="24"/>
        <v>-0.01984142611480877</v>
      </c>
      <c r="D350" s="77">
        <f t="shared" si="24"/>
        <v>0.032990783785987965</v>
      </c>
      <c r="E350" s="77">
        <f t="shared" si="24"/>
        <v>0.048153598685786836</v>
      </c>
      <c r="F350" s="77" t="s">
        <v>78</v>
      </c>
      <c r="G350" s="78">
        <f t="shared" si="26"/>
        <v>-0.027661795407098122</v>
      </c>
      <c r="H350" s="2"/>
      <c r="I350" s="2"/>
      <c r="J350" s="2"/>
    </row>
    <row r="351" ht="15" customHeight="1">
      <c r="A351" s="28" t="s">
        <v>232</v>
      </c>
      <c r="B351" s="81">
        <v>1518.8</v>
      </c>
      <c r="C351" s="81">
        <v>1658.3</v>
      </c>
      <c r="D351" s="81">
        <v>1686.4</v>
      </c>
      <c r="E351" s="81">
        <v>1734.9</v>
      </c>
      <c r="F351" s="82">
        <f>Inputs!D45+Inputs!E45+B351+C351</f>
        <v>6018.900000000001</v>
      </c>
      <c r="G351" s="50">
        <f>G328+G340</f>
        <v>1771.03155</v>
      </c>
      <c r="H351" s="2" t="s">
        <v>76</v>
      </c>
      <c r="I351" s="2"/>
      <c r="J351" s="2"/>
    </row>
    <row r="352" ht="15" customHeight="1">
      <c r="A352" s="43" t="s">
        <v>34</v>
      </c>
      <c r="B352" s="44">
        <f>_xlfn.IFERROR(B351/Inputs!B45-1,"n.a.")</f>
        <v>0.20139218478088905</v>
      </c>
      <c r="C352" s="44">
        <f>_xlfn.IFERROR(C351/Inputs!C45-1,"n.a.")</f>
        <v>0.17484945093871773</v>
      </c>
      <c r="D352" s="44">
        <f>_xlfn.IFERROR(D351/Inputs!D45-1,"n.a.")</f>
        <v>0.23301893690136732</v>
      </c>
      <c r="E352" s="44">
        <f>_xlfn.IFERROR(E351/Inputs!E45-1,"n.a.")</f>
        <v>0.17692151143070367</v>
      </c>
      <c r="F352" s="44">
        <f>_xlfn.IFERROR(F351/Inputs!F45-1,"n.a.")</f>
        <v>0.18505611340815142</v>
      </c>
      <c r="G352" s="45">
        <f t="shared" si="8"/>
        <v>0.16607291941006053</v>
      </c>
      <c r="H352" s="2"/>
      <c r="I352" s="2"/>
      <c r="J352" s="2"/>
    </row>
    <row r="353" ht="15" customHeight="1">
      <c r="A353" s="51" t="s">
        <v>101</v>
      </c>
      <c r="B353" s="55">
        <f>_xlfn.IFERROR(B351-Inputs!E45,"n.a.")</f>
        <v>44.700000000000045</v>
      </c>
      <c r="C353" s="56">
        <f t="shared" si="24"/>
        <v>139.5</v>
      </c>
      <c r="D353" s="56">
        <f t="shared" si="24"/>
        <v>28.100000000000136</v>
      </c>
      <c r="E353" s="56">
        <f t="shared" si="24"/>
        <v>48.5</v>
      </c>
      <c r="F353" s="56" t="s">
        <v>78</v>
      </c>
      <c r="G353" s="57">
        <f t="shared" si="26"/>
        <v>36.131549999999834</v>
      </c>
      <c r="H353" s="2"/>
      <c r="I353" s="2"/>
      <c r="J353" s="2"/>
    </row>
    <row r="354" ht="15" customHeight="1">
      <c r="A354" s="43" t="s">
        <v>80</v>
      </c>
      <c r="B354" s="48">
        <v>0</v>
      </c>
      <c r="C354" s="48">
        <v>0</v>
      </c>
      <c r="D354" s="19" t="s">
        <v>81</v>
      </c>
      <c r="E354" s="19" t="s">
        <v>81</v>
      </c>
      <c r="F354" s="48">
        <v>0</v>
      </c>
      <c r="G354" s="47" t="s">
        <v>81</v>
      </c>
      <c r="H354" s="2"/>
      <c r="I354" s="2"/>
      <c r="J354" s="2"/>
    </row>
    <row r="355" ht="15" customHeight="1">
      <c r="A355" s="43" t="s">
        <v>82</v>
      </c>
      <c r="B355" s="19" t="s">
        <v>81</v>
      </c>
      <c r="C355" s="19" t="s">
        <v>81</v>
      </c>
      <c r="D355" s="19" t="s">
        <v>81</v>
      </c>
      <c r="E355" s="19" t="s">
        <v>81</v>
      </c>
      <c r="F355" s="19" t="s">
        <v>81</v>
      </c>
      <c r="G355" s="47" t="s">
        <v>81</v>
      </c>
      <c r="H355" s="2"/>
      <c r="I355" s="2"/>
      <c r="J355" s="2"/>
    </row>
    <row r="356" ht="15" customHeight="1">
      <c r="A356" s="43" t="s">
        <v>83</v>
      </c>
      <c r="B356" s="46" t="str">
        <f t="shared" si="79" ref="B356:G471">IF(AND(ISNUMBER(B354),ISNUMBER(B355),ISNUMBER(B352)),(1+B352)/((1+B354)*(1+B355))-1,"n.d.")</f>
        <v>n.d.</v>
      </c>
      <c r="C356" s="46" t="str">
        <f t="shared" si="79"/>
        <v>n.d.</v>
      </c>
      <c r="D356" s="46" t="str">
        <f t="shared" si="79"/>
        <v>n.d.</v>
      </c>
      <c r="E356" s="46" t="str">
        <f t="shared" si="79"/>
        <v>n.d.</v>
      </c>
      <c r="F356" s="46" t="str">
        <f t="shared" si="79"/>
        <v>n.d.</v>
      </c>
      <c r="G356" s="45" t="str">
        <f t="shared" si="79"/>
        <v>n.d.</v>
      </c>
      <c r="H356" s="2"/>
      <c r="I356" s="2"/>
      <c r="J356" s="2"/>
    </row>
    <row r="357" ht="15" customHeight="1">
      <c r="A357" s="43" t="s">
        <v>84</v>
      </c>
      <c r="B357" s="46">
        <f t="shared" si="80" ref="B357:G472">B352</f>
        <v>0.20139218478088905</v>
      </c>
      <c r="C357" s="46">
        <f t="shared" si="80"/>
        <v>0.17484945093871773</v>
      </c>
      <c r="D357" s="46">
        <f t="shared" si="80"/>
        <v>0.23301893690136732</v>
      </c>
      <c r="E357" s="46">
        <f t="shared" si="80"/>
        <v>0.17692151143070367</v>
      </c>
      <c r="F357" s="46">
        <f t="shared" si="80"/>
        <v>0.18505611340815142</v>
      </c>
      <c r="G357" s="45">
        <f t="shared" si="80"/>
        <v>0.16607291941006053</v>
      </c>
      <c r="H357" s="2"/>
      <c r="I357" s="2"/>
      <c r="J357" s="2"/>
    </row>
    <row r="358" ht="15" customHeight="1">
      <c r="A358" s="2"/>
      <c r="B358" s="2"/>
      <c r="C358" s="2"/>
      <c r="D358" s="2"/>
      <c r="E358" s="2"/>
      <c r="F358" s="2"/>
      <c r="G358" s="40"/>
      <c r="H358" s="2"/>
      <c r="I358" s="2"/>
      <c r="J358" s="2"/>
    </row>
    <row r="359" ht="15" customHeight="1">
      <c r="A359" s="30" t="s">
        <v>233</v>
      </c>
      <c r="B359" s="30"/>
      <c r="C359" s="30"/>
      <c r="D359" s="30"/>
      <c r="E359" s="30"/>
      <c r="F359" s="30"/>
      <c r="G359" s="41"/>
      <c r="H359" s="30"/>
      <c r="I359" s="2"/>
      <c r="J359" s="2"/>
    </row>
    <row r="360" ht="15" customHeight="1">
      <c r="A360" s="2" t="s">
        <v>234</v>
      </c>
      <c r="B360" s="18">
        <f t="shared" si="81" ref="B360:G360">B146*B153/1000</f>
        <v>313.6</v>
      </c>
      <c r="C360" s="18">
        <f t="shared" si="81"/>
        <v>473.76</v>
      </c>
      <c r="D360" s="18">
        <f t="shared" si="81"/>
        <v>327.12</v>
      </c>
      <c r="E360" s="18">
        <f t="shared" si="81"/>
        <v>340.26</v>
      </c>
      <c r="F360" s="18">
        <f t="shared" si="81"/>
        <v>1358.4</v>
      </c>
      <c r="G360" s="42">
        <f t="shared" si="81"/>
        <v>340.2</v>
      </c>
      <c r="H360" s="2"/>
      <c r="I360" s="2"/>
      <c r="J360" s="2"/>
    </row>
    <row r="361" ht="15" customHeight="1">
      <c r="A361" s="43" t="s">
        <v>34</v>
      </c>
      <c r="B361" s="44">
        <f>_xlfn.IFERROR(B360/Inputs!B53-1,"n.a.")</f>
        <v>0.3061768503477864</v>
      </c>
      <c r="C361" s="44">
        <f>_xlfn.IFERROR(C360/Inputs!C53-1,"n.a.")</f>
        <v>0.0994917496344776</v>
      </c>
      <c r="D361" s="44">
        <f>_xlfn.IFERROR(D360/Inputs!D53-1,"n.a.")</f>
        <v>0.19482796405873337</v>
      </c>
      <c r="E361" s="44">
        <f>_xlfn.IFERROR(E360/Inputs!E53-1,"n.a.")</f>
        <v>0.12297029702970286</v>
      </c>
      <c r="F361" s="44">
        <f>_xlfn.IFERROR(F360/Inputs!F53-1,"n.a.")</f>
        <v>0.2074666666666667</v>
      </c>
      <c r="G361" s="45">
        <f t="shared" si="8"/>
        <v>0.08482142857142838</v>
      </c>
      <c r="H361" s="2"/>
      <c r="I361" s="2"/>
      <c r="J361" s="2"/>
    </row>
    <row r="362" ht="15" customHeight="1">
      <c r="A362" s="51" t="s">
        <v>101</v>
      </c>
      <c r="B362" s="55">
        <f>_xlfn.IFERROR(B360-Inputs!E53,"n.a.")</f>
        <v>10.600000000000023</v>
      </c>
      <c r="C362" s="56">
        <f t="shared" si="24"/>
        <v>160.15999999999997</v>
      </c>
      <c r="D362" s="56">
        <f t="shared" si="24"/>
        <v>-146.64</v>
      </c>
      <c r="E362" s="56">
        <f t="shared" si="24"/>
        <v>13.139999999999986</v>
      </c>
      <c r="F362" s="56" t="s">
        <v>78</v>
      </c>
      <c r="G362" s="57">
        <f t="shared" si="26"/>
        <v>-0.060000000000002274</v>
      </c>
      <c r="H362" s="2"/>
      <c r="I362" s="2"/>
      <c r="J362" s="2"/>
    </row>
    <row r="363" ht="15" customHeight="1">
      <c r="A363" s="43" t="s">
        <v>79</v>
      </c>
      <c r="B363" s="19">
        <f t="shared" si="82" ref="B363:G363">B360/B34</f>
        <v>0.1251846233683286</v>
      </c>
      <c r="C363" s="19">
        <f t="shared" si="82"/>
        <v>0.16529202428302284</v>
      </c>
      <c r="D363" s="19">
        <f t="shared" si="82"/>
        <v>0.11805976613252489</v>
      </c>
      <c r="E363" s="19">
        <f t="shared" si="82"/>
        <v>0.11764339798776059</v>
      </c>
      <c r="F363" s="19">
        <f t="shared" si="82"/>
        <v>0.13496676503025426</v>
      </c>
      <c r="G363" s="47">
        <f t="shared" si="82"/>
        <v>0.1156178234832578</v>
      </c>
      <c r="H363" s="2"/>
      <c r="I363" s="2"/>
      <c r="J363" s="2"/>
    </row>
    <row r="364" ht="15" customHeight="1">
      <c r="A364" s="43" t="s">
        <v>80</v>
      </c>
      <c r="B364" s="48">
        <v>0</v>
      </c>
      <c r="C364" s="48">
        <v>0</v>
      </c>
      <c r="D364" s="19" t="s">
        <v>81</v>
      </c>
      <c r="E364" s="19" t="s">
        <v>81</v>
      </c>
      <c r="F364" s="48">
        <v>0</v>
      </c>
      <c r="G364" s="47" t="s">
        <v>81</v>
      </c>
      <c r="H364" s="2"/>
      <c r="I364" s="2"/>
      <c r="J364" s="2"/>
    </row>
    <row r="365" ht="15" customHeight="1">
      <c r="A365" s="43" t="s">
        <v>82</v>
      </c>
      <c r="B365" s="19" t="s">
        <v>81</v>
      </c>
      <c r="C365" s="19" t="s">
        <v>81</v>
      </c>
      <c r="D365" s="19" t="s">
        <v>81</v>
      </c>
      <c r="E365" s="19" t="s">
        <v>81</v>
      </c>
      <c r="F365" s="19" t="s">
        <v>81</v>
      </c>
      <c r="G365" s="47" t="s">
        <v>81</v>
      </c>
      <c r="H365" s="2"/>
      <c r="I365" s="2"/>
      <c r="J365" s="2"/>
    </row>
    <row r="366" ht="15" customHeight="1">
      <c r="A366" s="43" t="s">
        <v>83</v>
      </c>
      <c r="B366" s="46" t="str">
        <f t="shared" si="5"/>
        <v>n.d.</v>
      </c>
      <c r="C366" s="46" t="str">
        <f t="shared" si="5"/>
        <v>n.d.</v>
      </c>
      <c r="D366" s="46" t="str">
        <f t="shared" si="5"/>
        <v>n.d.</v>
      </c>
      <c r="E366" s="46" t="str">
        <f t="shared" si="5"/>
        <v>n.d.</v>
      </c>
      <c r="F366" s="46" t="str">
        <f t="shared" si="5"/>
        <v>n.d.</v>
      </c>
      <c r="G366" s="45" t="str">
        <f t="shared" si="5"/>
        <v>n.d.</v>
      </c>
      <c r="H366" s="2"/>
      <c r="I366" s="2"/>
      <c r="J366" s="2"/>
    </row>
    <row r="367" ht="15" customHeight="1">
      <c r="A367" s="43" t="s">
        <v>84</v>
      </c>
      <c r="B367" s="46">
        <f t="shared" si="6"/>
        <v>0.3061768503477864</v>
      </c>
      <c r="C367" s="46">
        <f t="shared" si="6"/>
        <v>0.0994917496344776</v>
      </c>
      <c r="D367" s="46">
        <f t="shared" si="6"/>
        <v>0.19482796405873337</v>
      </c>
      <c r="E367" s="46">
        <f t="shared" si="6"/>
        <v>0.12297029702970286</v>
      </c>
      <c r="F367" s="46">
        <f t="shared" si="6"/>
        <v>0.2074666666666667</v>
      </c>
      <c r="G367" s="45">
        <f t="shared" si="6"/>
        <v>0.08482142857142838</v>
      </c>
      <c r="H367" s="2"/>
      <c r="I367" s="2"/>
      <c r="J367" s="2"/>
    </row>
    <row r="368" ht="15" customHeight="1">
      <c r="A368" s="2" t="s">
        <v>235</v>
      </c>
      <c r="B368" s="18">
        <f t="shared" si="83" ref="B368:F396">B377-B360</f>
        <v>242.39999999999998</v>
      </c>
      <c r="C368" s="18">
        <f t="shared" si="83"/>
        <v>278.24</v>
      </c>
      <c r="D368" s="18">
        <f t="shared" si="83"/>
        <v>295.2800000000001</v>
      </c>
      <c r="E368" s="18">
        <f t="shared" si="83"/>
        <v>312.44000000000005</v>
      </c>
      <c r="F368" s="18">
        <f t="shared" si="83"/>
        <v>995</v>
      </c>
      <c r="G368" s="42">
        <f t="shared" si="92" ref="G368:G420">E368*(1+G369)</f>
        <v>318.68880000000007</v>
      </c>
      <c r="H368" s="2"/>
      <c r="I368" s="2"/>
      <c r="J368" s="2"/>
    </row>
    <row r="369" ht="15" customHeight="1">
      <c r="A369" s="43" t="s">
        <v>236</v>
      </c>
      <c r="B369" s="44">
        <f>_xlfn.IFERROR(B368/Inputs!E54-1,"n.a.")</f>
        <v>-0.021001615508885463</v>
      </c>
      <c r="C369" s="46">
        <f t="shared" si="84" ref="C369:E421">_xlfn.IFERROR(C368/B368-1,"n.a.")</f>
        <v>0.1478547854785479</v>
      </c>
      <c r="D369" s="46">
        <f t="shared" si="84"/>
        <v>0.06124209315698703</v>
      </c>
      <c r="E369" s="46">
        <f t="shared" si="84"/>
        <v>0.05811433215930628</v>
      </c>
      <c r="F369" s="46" t="s">
        <v>78</v>
      </c>
      <c r="G369" s="54">
        <v>0.02</v>
      </c>
      <c r="H369" s="2"/>
      <c r="I369" s="2"/>
      <c r="J369" s="2"/>
    </row>
    <row r="370" ht="15" customHeight="1">
      <c r="A370" s="43" t="s">
        <v>34</v>
      </c>
      <c r="B370" s="44">
        <f>_xlfn.IFERROR(B368/Inputs!B54-1,"n.a.")</f>
        <v>0.3579071200492967</v>
      </c>
      <c r="C370" s="44">
        <f>_xlfn.IFERROR(C368/Inputs!C54-1,"n.a.")</f>
        <v>0.44532751545374283</v>
      </c>
      <c r="D370" s="44">
        <f>_xlfn.IFERROR(D368/Inputs!D54-1,"n.a.")</f>
        <v>0.33598769342140966</v>
      </c>
      <c r="E370" s="44">
        <f>_xlfn.IFERROR(E368/Inputs!E54-1,"n.a.")</f>
        <v>0.2618739903069467</v>
      </c>
      <c r="F370" s="44">
        <f>_xlfn.IFERROR(F368/Inputs!F54-1,"n.a.")</f>
        <v>0.36788562001649705</v>
      </c>
      <c r="G370" s="45">
        <f t="shared" si="93" ref="G370:G422">_xlfn.IFERROR(G368/B368-1,"n.a.")</f>
        <v>0.3147227722772281</v>
      </c>
      <c r="H370" s="2"/>
      <c r="I370" s="2"/>
      <c r="J370" s="2"/>
    </row>
    <row r="371" ht="15" customHeight="1">
      <c r="A371" s="51" t="s">
        <v>101</v>
      </c>
      <c r="B371" s="55">
        <f>_xlfn.IFERROR(B368-Inputs!E54,"n.a.")</f>
        <v>-5.2000000000000455</v>
      </c>
      <c r="C371" s="56">
        <f t="shared" si="85" ref="C371:E423">_xlfn.IFERROR(C368-B368,"n.a.")</f>
        <v>35.84000000000003</v>
      </c>
      <c r="D371" s="56">
        <f t="shared" si="85"/>
        <v>17.040000000000077</v>
      </c>
      <c r="E371" s="56">
        <f t="shared" si="85"/>
        <v>17.159999999999968</v>
      </c>
      <c r="F371" s="56" t="s">
        <v>78</v>
      </c>
      <c r="G371" s="57">
        <f t="shared" si="94" ref="G371:G423">_xlfn.IFERROR(G368-E368,"n.a.")</f>
        <v>6.248800000000017</v>
      </c>
      <c r="H371" s="2"/>
      <c r="I371" s="2"/>
      <c r="J371" s="2"/>
    </row>
    <row r="372" ht="15" customHeight="1">
      <c r="A372" s="43" t="s">
        <v>79</v>
      </c>
      <c r="B372" s="19">
        <f t="shared" si="86" ref="B372:G372">B368/B34</f>
        <v>0.096762604287254</v>
      </c>
      <c r="C372" s="19">
        <f t="shared" si="86"/>
        <v>0.09707626822971183</v>
      </c>
      <c r="D372" s="19">
        <f t="shared" si="86"/>
        <v>0.10656850007218134</v>
      </c>
      <c r="E372" s="19">
        <f t="shared" si="86"/>
        <v>0.10802475538498774</v>
      </c>
      <c r="F372" s="19">
        <f t="shared" si="86"/>
        <v>0.0988603733842042</v>
      </c>
      <c r="G372" s="47">
        <f t="shared" si="86"/>
        <v>0.10830718819662333</v>
      </c>
      <c r="H372" s="2"/>
      <c r="I372" s="2"/>
      <c r="J372" s="2"/>
    </row>
    <row r="373" ht="15" customHeight="1">
      <c r="A373" s="43" t="s">
        <v>80</v>
      </c>
      <c r="B373" s="48">
        <v>0</v>
      </c>
      <c r="C373" s="48">
        <v>0</v>
      </c>
      <c r="D373" s="19" t="s">
        <v>81</v>
      </c>
      <c r="E373" s="19" t="s">
        <v>81</v>
      </c>
      <c r="F373" s="48">
        <v>0</v>
      </c>
      <c r="G373" s="47" t="s">
        <v>81</v>
      </c>
      <c r="H373" s="2"/>
      <c r="I373" s="2"/>
      <c r="J373" s="2"/>
    </row>
    <row r="374" ht="15" customHeight="1">
      <c r="A374" s="43" t="s">
        <v>82</v>
      </c>
      <c r="B374" s="19" t="s">
        <v>81</v>
      </c>
      <c r="C374" s="19" t="s">
        <v>81</v>
      </c>
      <c r="D374" s="19" t="s">
        <v>81</v>
      </c>
      <c r="E374" s="19" t="s">
        <v>81</v>
      </c>
      <c r="F374" s="19" t="s">
        <v>81</v>
      </c>
      <c r="G374" s="47" t="s">
        <v>81</v>
      </c>
      <c r="H374" s="2"/>
      <c r="I374" s="2"/>
      <c r="J374" s="2"/>
    </row>
    <row r="375" ht="15" customHeight="1">
      <c r="A375" s="43" t="s">
        <v>83</v>
      </c>
      <c r="B375" s="46" t="str">
        <f t="shared" si="5"/>
        <v>n.d.</v>
      </c>
      <c r="C375" s="46" t="str">
        <f t="shared" si="5"/>
        <v>n.d.</v>
      </c>
      <c r="D375" s="46" t="str">
        <f t="shared" si="5"/>
        <v>n.d.</v>
      </c>
      <c r="E375" s="46" t="str">
        <f t="shared" si="5"/>
        <v>n.d.</v>
      </c>
      <c r="F375" s="46" t="str">
        <f t="shared" si="5"/>
        <v>n.d.</v>
      </c>
      <c r="G375" s="45" t="str">
        <f t="shared" si="5"/>
        <v>n.d.</v>
      </c>
      <c r="H375" s="2"/>
      <c r="I375" s="2"/>
      <c r="J375" s="2"/>
    </row>
    <row r="376" ht="15" customHeight="1">
      <c r="A376" s="43" t="s">
        <v>84</v>
      </c>
      <c r="B376" s="46">
        <f t="shared" si="6"/>
        <v>0.3579071200492967</v>
      </c>
      <c r="C376" s="46">
        <f t="shared" si="6"/>
        <v>0.44532751545374283</v>
      </c>
      <c r="D376" s="46">
        <f t="shared" si="6"/>
        <v>0.33598769342140966</v>
      </c>
      <c r="E376" s="46">
        <f t="shared" si="6"/>
        <v>0.2618739903069467</v>
      </c>
      <c r="F376" s="46">
        <f t="shared" si="6"/>
        <v>0.36788562001649705</v>
      </c>
      <c r="G376" s="45">
        <f t="shared" si="6"/>
        <v>0.3147227722772281</v>
      </c>
      <c r="H376" s="2"/>
      <c r="I376" s="2"/>
      <c r="J376" s="2"/>
    </row>
    <row r="377" ht="15" customHeight="1">
      <c r="A377" s="28" t="s">
        <v>237</v>
      </c>
      <c r="B377" s="49">
        <f t="shared" si="87" ref="B377:F377">B413-B405</f>
        <v>556</v>
      </c>
      <c r="C377" s="49">
        <f t="shared" si="87"/>
        <v>752</v>
      </c>
      <c r="D377" s="49">
        <f t="shared" si="87"/>
        <v>622.4000000000001</v>
      </c>
      <c r="E377" s="49">
        <f t="shared" si="87"/>
        <v>652.7</v>
      </c>
      <c r="F377" s="49">
        <f t="shared" si="87"/>
        <v>2353.4</v>
      </c>
      <c r="G377" s="50">
        <f t="shared" si="96" ref="G377:G405">G360+G368</f>
        <v>658.8888000000001</v>
      </c>
      <c r="H377" s="2"/>
      <c r="I377" s="2"/>
      <c r="J377" s="2"/>
    </row>
    <row r="378" ht="15" customHeight="1">
      <c r="A378" s="43" t="s">
        <v>34</v>
      </c>
      <c r="B378" s="44">
        <f>_xlfn.IFERROR(B377/Inputs!B52-1,"n.a.")</f>
        <v>0.32823698041089333</v>
      </c>
      <c r="C378" s="44">
        <f>_xlfn.IFERROR(C377/Inputs!C52-1,"n.a.")</f>
        <v>0.20628809752967592</v>
      </c>
      <c r="D378" s="44">
        <f>_xlfn.IFERROR(D377/Inputs!D52-1,"n.a.")</f>
        <v>0.25788197251414724</v>
      </c>
      <c r="E378" s="44">
        <f>_xlfn.IFERROR(E377/Inputs!E52-1,"n.a.")</f>
        <v>0.18543407192154016</v>
      </c>
      <c r="F378" s="44">
        <f>_xlfn.IFERROR(F377/Inputs!F52-1,"n.a.")</f>
        <v>0.2704599438566184</v>
      </c>
      <c r="G378" s="45">
        <f t="shared" si="8"/>
        <v>0.18505179856115128</v>
      </c>
      <c r="H378" s="2"/>
      <c r="I378" s="2"/>
      <c r="J378" s="2"/>
    </row>
    <row r="379" ht="15" customHeight="1">
      <c r="A379" s="51" t="s">
        <v>101</v>
      </c>
      <c r="B379" s="55">
        <f>_xlfn.IFERROR(B377-Inputs!E52,"n.a.")</f>
        <v>5.399999999999977</v>
      </c>
      <c r="C379" s="56">
        <f t="shared" si="24"/>
        <v>196</v>
      </c>
      <c r="D379" s="56">
        <f t="shared" si="24"/>
        <v>-129.5999999999999</v>
      </c>
      <c r="E379" s="56">
        <f t="shared" si="24"/>
        <v>30.299999999999955</v>
      </c>
      <c r="F379" s="56" t="s">
        <v>78</v>
      </c>
      <c r="G379" s="57">
        <f t="shared" si="26"/>
        <v>6.188800000000015</v>
      </c>
      <c r="H379" s="2"/>
      <c r="I379" s="2"/>
      <c r="J379" s="2"/>
    </row>
    <row r="380" ht="15" customHeight="1">
      <c r="A380" s="43" t="s">
        <v>79</v>
      </c>
      <c r="B380" s="19">
        <f t="shared" si="88" ref="B380:G380">B377/B34</f>
        <v>0.2219472276555826</v>
      </c>
      <c r="C380" s="19">
        <f t="shared" si="88"/>
        <v>0.26236829251273464</v>
      </c>
      <c r="D380" s="19">
        <f t="shared" si="88"/>
        <v>0.22462826620470625</v>
      </c>
      <c r="E380" s="19">
        <f t="shared" si="88"/>
        <v>0.22566815337274834</v>
      </c>
      <c r="F380" s="19">
        <f t="shared" si="88"/>
        <v>0.23382713841445846</v>
      </c>
      <c r="G380" s="47">
        <f t="shared" si="88"/>
        <v>0.22392501167988113</v>
      </c>
      <c r="H380" s="2"/>
      <c r="I380" s="2"/>
      <c r="J380" s="2"/>
    </row>
    <row r="381" ht="15" customHeight="1">
      <c r="A381" s="43" t="s">
        <v>80</v>
      </c>
      <c r="B381" s="48">
        <v>0</v>
      </c>
      <c r="C381" s="48">
        <v>0</v>
      </c>
      <c r="D381" s="19" t="s">
        <v>81</v>
      </c>
      <c r="E381" s="19" t="s">
        <v>81</v>
      </c>
      <c r="F381" s="48">
        <v>0</v>
      </c>
      <c r="G381" s="47" t="s">
        <v>81</v>
      </c>
      <c r="H381" s="2"/>
      <c r="I381" s="2"/>
      <c r="J381" s="2"/>
    </row>
    <row r="382" ht="15" customHeight="1">
      <c r="A382" s="43" t="s">
        <v>82</v>
      </c>
      <c r="B382" s="19" t="s">
        <v>81</v>
      </c>
      <c r="C382" s="19" t="s">
        <v>81</v>
      </c>
      <c r="D382" s="19" t="s">
        <v>81</v>
      </c>
      <c r="E382" s="19" t="s">
        <v>81</v>
      </c>
      <c r="F382" s="19" t="s">
        <v>81</v>
      </c>
      <c r="G382" s="47" t="s">
        <v>81</v>
      </c>
      <c r="H382" s="2"/>
      <c r="I382" s="2"/>
      <c r="J382" s="2"/>
    </row>
    <row r="383" ht="15" customHeight="1">
      <c r="A383" s="43" t="s">
        <v>83</v>
      </c>
      <c r="B383" s="46" t="str">
        <f t="shared" si="5"/>
        <v>n.d.</v>
      </c>
      <c r="C383" s="46" t="str">
        <f t="shared" si="5"/>
        <v>n.d.</v>
      </c>
      <c r="D383" s="46" t="str">
        <f t="shared" si="5"/>
        <v>n.d.</v>
      </c>
      <c r="E383" s="46" t="str">
        <f t="shared" si="5"/>
        <v>n.d.</v>
      </c>
      <c r="F383" s="46" t="str">
        <f t="shared" si="5"/>
        <v>n.d.</v>
      </c>
      <c r="G383" s="45" t="str">
        <f t="shared" si="5"/>
        <v>n.d.</v>
      </c>
      <c r="H383" s="2"/>
      <c r="I383" s="2"/>
      <c r="J383" s="2"/>
    </row>
    <row r="384" ht="15" customHeight="1">
      <c r="A384" s="43" t="s">
        <v>84</v>
      </c>
      <c r="B384" s="46">
        <f t="shared" si="6"/>
        <v>0.32823698041089333</v>
      </c>
      <c r="C384" s="46">
        <f t="shared" si="6"/>
        <v>0.20628809752967592</v>
      </c>
      <c r="D384" s="46">
        <f t="shared" si="6"/>
        <v>0.25788197251414724</v>
      </c>
      <c r="E384" s="46">
        <f t="shared" si="6"/>
        <v>0.18543407192154016</v>
      </c>
      <c r="F384" s="46">
        <f t="shared" si="6"/>
        <v>0.2704599438566184</v>
      </c>
      <c r="G384" s="45">
        <f t="shared" si="6"/>
        <v>0.18505179856115128</v>
      </c>
      <c r="H384" s="2"/>
      <c r="I384" s="2"/>
      <c r="J384" s="2"/>
    </row>
    <row r="385" ht="15" customHeight="1">
      <c r="A385" s="51" t="s">
        <v>238</v>
      </c>
      <c r="B385" s="70">
        <f t="shared" si="89" ref="B385:G385">B264-B303</f>
        <v>33</v>
      </c>
      <c r="C385" s="70">
        <f t="shared" si="89"/>
        <v>26</v>
      </c>
      <c r="D385" s="70">
        <f t="shared" si="89"/>
        <v>16</v>
      </c>
      <c r="E385" s="70">
        <f t="shared" si="89"/>
        <v>24</v>
      </c>
      <c r="F385" s="70">
        <f t="shared" si="89"/>
        <v>99</v>
      </c>
      <c r="G385" s="69">
        <f t="shared" si="89"/>
        <v>25</v>
      </c>
      <c r="H385" s="2"/>
      <c r="I385" s="2"/>
      <c r="J385" s="2"/>
    </row>
    <row r="386" ht="15" customHeight="1">
      <c r="A386" s="43" t="s">
        <v>34</v>
      </c>
      <c r="B386" s="44">
        <f>_xlfn.IFERROR(B385/Inputs!B156-1,"n.a.")</f>
        <v>0.5</v>
      </c>
      <c r="C386" s="44">
        <f>_xlfn.IFERROR(C385/Inputs!C156-1,"n.a.")</f>
        <v>-0.16129032258064513</v>
      </c>
      <c r="D386" s="44">
        <f>_xlfn.IFERROR(D385/Inputs!D156-1,"n.a.")</f>
        <v>-0.19999999999999996</v>
      </c>
      <c r="E386" s="44">
        <f>_xlfn.IFERROR(E385/Inputs!E156-1,"n.a.")</f>
        <v>0.19999999999999996</v>
      </c>
      <c r="F386" s="44">
        <f>_xlfn.IFERROR(F385/Inputs!F156-1,"n.a.")</f>
        <v>-0.1610169491525424</v>
      </c>
      <c r="G386" s="45">
        <f t="shared" si="8"/>
        <v>-0.24242424242424243</v>
      </c>
      <c r="H386" s="2"/>
      <c r="I386" s="2"/>
      <c r="J386" s="2"/>
    </row>
    <row r="387" ht="15" customHeight="1">
      <c r="A387" s="51" t="s">
        <v>101</v>
      </c>
      <c r="B387" s="64">
        <f>_xlfn.IFERROR(B385-Inputs!E156,"n.a.")</f>
        <v>13</v>
      </c>
      <c r="C387" s="65">
        <f t="shared" si="24"/>
        <v>-7</v>
      </c>
      <c r="D387" s="65">
        <f t="shared" si="24"/>
        <v>-10</v>
      </c>
      <c r="E387" s="65">
        <f t="shared" si="24"/>
        <v>8</v>
      </c>
      <c r="F387" s="65" t="s">
        <v>78</v>
      </c>
      <c r="G387" s="66">
        <f t="shared" si="26"/>
        <v>1</v>
      </c>
      <c r="H387" s="2"/>
      <c r="I387" s="2"/>
      <c r="J387" s="2"/>
    </row>
    <row r="388" ht="15" customHeight="1">
      <c r="A388" s="51" t="s">
        <v>239</v>
      </c>
      <c r="B388" s="18">
        <f t="shared" si="90" ref="B388:G388">B385*B320/1000</f>
        <v>19.14</v>
      </c>
      <c r="C388" s="18">
        <f t="shared" si="90"/>
        <v>15.34</v>
      </c>
      <c r="D388" s="18">
        <f t="shared" si="90"/>
        <v>10.08</v>
      </c>
      <c r="E388" s="18">
        <f t="shared" si="90"/>
        <v>15.6</v>
      </c>
      <c r="F388" s="18">
        <f t="shared" si="90"/>
        <v>57.42</v>
      </c>
      <c r="G388" s="42">
        <f t="shared" si="90"/>
        <v>16</v>
      </c>
      <c r="H388" s="2"/>
      <c r="I388" s="2"/>
      <c r="J388" s="2"/>
    </row>
    <row r="389" ht="15" customHeight="1">
      <c r="A389" s="43" t="s">
        <v>34</v>
      </c>
      <c r="B389" s="44">
        <f>_xlfn.IFERROR(B388/Inputs!B157-1,"n.a.")</f>
        <v>0.47457627118644075</v>
      </c>
      <c r="C389" s="44">
        <f>_xlfn.IFERROR(C388/Inputs!C157-1,"n.a.")</f>
        <v>-0.1468298109010011</v>
      </c>
      <c r="D389" s="44">
        <f>_xlfn.IFERROR(D388/Inputs!D157-1,"n.a.")</f>
        <v>-0.08363636363636362</v>
      </c>
      <c r="E389" s="44">
        <f>_xlfn.IFERROR(E388/Inputs!E157-1,"n.a.")</f>
        <v>0.278688524590164</v>
      </c>
      <c r="F389" s="44">
        <f>_xlfn.IFERROR(F388/Inputs!F157-1,"n.a.")</f>
        <v>-0.1462979482604817</v>
      </c>
      <c r="G389" s="45">
        <f t="shared" si="8"/>
        <v>-0.1640543364681296</v>
      </c>
      <c r="H389" s="2"/>
      <c r="I389" s="2"/>
      <c r="J389" s="2"/>
    </row>
    <row r="390" ht="15" customHeight="1">
      <c r="A390" s="51" t="s">
        <v>101</v>
      </c>
      <c r="B390" s="55">
        <f>_xlfn.IFERROR(B388-Inputs!E157,"n.a.")</f>
        <v>6.940000000000001</v>
      </c>
      <c r="C390" s="56">
        <f t="shared" si="24"/>
        <v>-3.8000000000000007</v>
      </c>
      <c r="D390" s="56">
        <f t="shared" si="24"/>
        <v>-5.26</v>
      </c>
      <c r="E390" s="56">
        <f t="shared" si="24"/>
        <v>5.52</v>
      </c>
      <c r="F390" s="56" t="s">
        <v>78</v>
      </c>
      <c r="G390" s="57">
        <f t="shared" si="26"/>
        <v>0.40000000000000036</v>
      </c>
      <c r="H390" s="2"/>
      <c r="I390" s="2"/>
      <c r="J390" s="2"/>
    </row>
    <row r="391" ht="15" customHeight="1">
      <c r="A391" s="43" t="s">
        <v>79</v>
      </c>
      <c r="B391" s="19">
        <f t="shared" si="91" ref="B391:G391">B388/B34</f>
        <v>0.007640413556345056</v>
      </c>
      <c r="C391" s="19">
        <f t="shared" si="91"/>
        <v>0.005352034052054986</v>
      </c>
      <c r="D391" s="19">
        <f t="shared" si="91"/>
        <v>0.0036379385015158075</v>
      </c>
      <c r="E391" s="19">
        <f t="shared" si="91"/>
        <v>0.005393631366040866</v>
      </c>
      <c r="F391" s="19">
        <f t="shared" si="91"/>
        <v>0.005705088080121613</v>
      </c>
      <c r="G391" s="47">
        <f t="shared" si="91"/>
        <v>0.005437640140306069</v>
      </c>
      <c r="H391" s="2"/>
      <c r="I391" s="2"/>
      <c r="J391" s="2"/>
    </row>
    <row r="392" ht="15" customHeight="1">
      <c r="A392" s="43" t="s">
        <v>80</v>
      </c>
      <c r="B392" s="48">
        <v>0</v>
      </c>
      <c r="C392" s="48">
        <v>0</v>
      </c>
      <c r="D392" s="19" t="s">
        <v>81</v>
      </c>
      <c r="E392" s="19" t="s">
        <v>81</v>
      </c>
      <c r="F392" s="48">
        <v>0</v>
      </c>
      <c r="G392" s="47" t="s">
        <v>81</v>
      </c>
      <c r="H392" s="2"/>
      <c r="I392" s="2"/>
      <c r="J392" s="2"/>
    </row>
    <row r="393" ht="15" customHeight="1">
      <c r="A393" s="43" t="s">
        <v>82</v>
      </c>
      <c r="B393" s="19" t="s">
        <v>81</v>
      </c>
      <c r="C393" s="19" t="s">
        <v>81</v>
      </c>
      <c r="D393" s="19" t="s">
        <v>81</v>
      </c>
      <c r="E393" s="19" t="s">
        <v>81</v>
      </c>
      <c r="F393" s="19" t="s">
        <v>81</v>
      </c>
      <c r="G393" s="47" t="s">
        <v>81</v>
      </c>
      <c r="H393" s="2"/>
      <c r="I393" s="2"/>
      <c r="J393" s="2"/>
    </row>
    <row r="394" ht="15" customHeight="1">
      <c r="A394" s="43" t="s">
        <v>83</v>
      </c>
      <c r="B394" s="46" t="str">
        <f t="shared" si="5"/>
        <v>n.d.</v>
      </c>
      <c r="C394" s="46" t="str">
        <f t="shared" si="5"/>
        <v>n.d.</v>
      </c>
      <c r="D394" s="46" t="str">
        <f t="shared" si="5"/>
        <v>n.d.</v>
      </c>
      <c r="E394" s="46" t="str">
        <f t="shared" si="5"/>
        <v>n.d.</v>
      </c>
      <c r="F394" s="46" t="str">
        <f t="shared" si="5"/>
        <v>n.d.</v>
      </c>
      <c r="G394" s="45" t="str">
        <f t="shared" si="5"/>
        <v>n.d.</v>
      </c>
      <c r="H394" s="2"/>
      <c r="I394" s="2"/>
      <c r="J394" s="2"/>
    </row>
    <row r="395" ht="15" customHeight="1">
      <c r="A395" s="43" t="s">
        <v>84</v>
      </c>
      <c r="B395" s="46">
        <f t="shared" si="6"/>
        <v>0.47457627118644075</v>
      </c>
      <c r="C395" s="46">
        <f t="shared" si="6"/>
        <v>-0.1468298109010011</v>
      </c>
      <c r="D395" s="46">
        <f t="shared" si="6"/>
        <v>-0.08363636363636362</v>
      </c>
      <c r="E395" s="46">
        <f t="shared" si="6"/>
        <v>0.278688524590164</v>
      </c>
      <c r="F395" s="46">
        <f t="shared" si="6"/>
        <v>-0.1462979482604817</v>
      </c>
      <c r="G395" s="45">
        <f t="shared" si="6"/>
        <v>-0.1640543364681296</v>
      </c>
      <c r="H395" s="2"/>
      <c r="I395" s="2"/>
      <c r="J395" s="2"/>
    </row>
    <row r="396" ht="15" customHeight="1">
      <c r="A396" s="51" t="s">
        <v>240</v>
      </c>
      <c r="B396" s="18">
        <f t="shared" si="83"/>
        <v>15.259999999999998</v>
      </c>
      <c r="C396" s="18">
        <f t="shared" si="83"/>
        <v>18.56</v>
      </c>
      <c r="D396" s="18">
        <f t="shared" si="83"/>
        <v>18.22</v>
      </c>
      <c r="E396" s="18">
        <f t="shared" si="83"/>
        <v>16.699999999999996</v>
      </c>
      <c r="F396" s="18">
        <f t="shared" si="83"/>
        <v>62.88000000000001</v>
      </c>
      <c r="G396" s="42">
        <f t="shared" si="92"/>
        <v>17.367999999999995</v>
      </c>
      <c r="H396" s="2"/>
      <c r="I396" s="2"/>
      <c r="J396" s="2"/>
    </row>
    <row r="397" ht="15" customHeight="1">
      <c r="A397" s="83" t="s">
        <v>241</v>
      </c>
      <c r="B397" s="44">
        <f>_xlfn.IFERROR(B396/Inputs!E158-1,"n.a.")</f>
        <v>0.28235294117647025</v>
      </c>
      <c r="C397" s="46">
        <f t="shared" si="84"/>
        <v>0.21625163826998706</v>
      </c>
      <c r="D397" s="46">
        <f t="shared" si="84"/>
        <v>-0.018318965517241326</v>
      </c>
      <c r="E397" s="46">
        <f t="shared" si="84"/>
        <v>-0.08342480790340301</v>
      </c>
      <c r="F397" s="46" t="s">
        <v>78</v>
      </c>
      <c r="G397" s="54">
        <v>0.04</v>
      </c>
      <c r="H397" s="2"/>
      <c r="I397" s="2"/>
      <c r="J397" s="2"/>
    </row>
    <row r="398" ht="15" customHeight="1">
      <c r="A398" s="43" t="s">
        <v>34</v>
      </c>
      <c r="B398" s="44">
        <f>_xlfn.IFERROR(B396/Inputs!B158-1,"n.a.")</f>
        <v>0.1371087928464978</v>
      </c>
      <c r="C398" s="44">
        <f>_xlfn.IFERROR(C396/Inputs!C158-1,"n.a.")</f>
        <v>0.4039334341906202</v>
      </c>
      <c r="D398" s="44">
        <f>_xlfn.IFERROR(D396/Inputs!D158-1,"n.a.")</f>
        <v>0.07810650887573978</v>
      </c>
      <c r="E398" s="44">
        <f>_xlfn.IFERROR(E396/Inputs!E158-1,"n.a.")</f>
        <v>0.4033613445378146</v>
      </c>
      <c r="F398" s="44">
        <f>_xlfn.IFERROR(F396/Inputs!F158-1,"n.a.")</f>
        <v>0.35692706085455383</v>
      </c>
      <c r="G398" s="45">
        <f t="shared" si="93"/>
        <v>0.13813892529488836</v>
      </c>
      <c r="H398" s="2"/>
      <c r="I398" s="2"/>
      <c r="J398" s="2"/>
    </row>
    <row r="399" ht="15" customHeight="1">
      <c r="A399" s="51" t="s">
        <v>101</v>
      </c>
      <c r="B399" s="55">
        <f>_xlfn.IFERROR(B396-Inputs!E158,"n.a.")</f>
        <v>3.359999999999996</v>
      </c>
      <c r="C399" s="56">
        <f t="shared" si="85"/>
        <v>3.3000000000000007</v>
      </c>
      <c r="D399" s="56">
        <f t="shared" si="85"/>
        <v>-0.33999999999999986</v>
      </c>
      <c r="E399" s="56">
        <f t="shared" si="85"/>
        <v>-1.5200000000000031</v>
      </c>
      <c r="F399" s="56" t="s">
        <v>78</v>
      </c>
      <c r="G399" s="57">
        <f t="shared" si="94"/>
        <v>0.6679999999999993</v>
      </c>
      <c r="H399" s="2"/>
      <c r="I399" s="2"/>
      <c r="J399" s="2"/>
    </row>
    <row r="400" ht="15" customHeight="1">
      <c r="A400" s="43" t="s">
        <v>79</v>
      </c>
      <c r="B400" s="19">
        <f t="shared" si="95" ref="B400:G400">B396/B34</f>
        <v>0.00609157319069099</v>
      </c>
      <c r="C400" s="19">
        <f t="shared" si="95"/>
        <v>0.006475472751378131</v>
      </c>
      <c r="D400" s="19">
        <f t="shared" si="95"/>
        <v>0.006575718204128771</v>
      </c>
      <c r="E400" s="19">
        <f t="shared" si="95"/>
        <v>0.0057739515264668235</v>
      </c>
      <c r="F400" s="19">
        <f t="shared" si="95"/>
        <v>0.006247578169244985</v>
      </c>
      <c r="G400" s="47">
        <f t="shared" si="95"/>
        <v>0.005902558372302236</v>
      </c>
      <c r="H400" s="2"/>
      <c r="I400" s="2"/>
      <c r="J400" s="2"/>
    </row>
    <row r="401" ht="15" customHeight="1">
      <c r="A401" s="43" t="s">
        <v>80</v>
      </c>
      <c r="B401" s="48">
        <v>0</v>
      </c>
      <c r="C401" s="48">
        <v>0</v>
      </c>
      <c r="D401" s="19" t="s">
        <v>81</v>
      </c>
      <c r="E401" s="19" t="s">
        <v>81</v>
      </c>
      <c r="F401" s="48">
        <v>0</v>
      </c>
      <c r="G401" s="47" t="s">
        <v>81</v>
      </c>
      <c r="H401" s="2"/>
      <c r="I401" s="2"/>
      <c r="J401" s="2"/>
    </row>
    <row r="402" ht="15" customHeight="1">
      <c r="A402" s="43" t="s">
        <v>82</v>
      </c>
      <c r="B402" s="19" t="s">
        <v>81</v>
      </c>
      <c r="C402" s="19" t="s">
        <v>81</v>
      </c>
      <c r="D402" s="19" t="s">
        <v>81</v>
      </c>
      <c r="E402" s="19" t="s">
        <v>81</v>
      </c>
      <c r="F402" s="19" t="s">
        <v>81</v>
      </c>
      <c r="G402" s="47" t="s">
        <v>81</v>
      </c>
      <c r="H402" s="2"/>
      <c r="I402" s="2"/>
      <c r="J402" s="2"/>
    </row>
    <row r="403" ht="15" customHeight="1">
      <c r="A403" s="43" t="s">
        <v>83</v>
      </c>
      <c r="B403" s="46" t="str">
        <f t="shared" si="5"/>
        <v>n.d.</v>
      </c>
      <c r="C403" s="46" t="str">
        <f t="shared" si="5"/>
        <v>n.d.</v>
      </c>
      <c r="D403" s="46" t="str">
        <f t="shared" si="5"/>
        <v>n.d.</v>
      </c>
      <c r="E403" s="46" t="str">
        <f t="shared" si="5"/>
        <v>n.d.</v>
      </c>
      <c r="F403" s="46" t="str">
        <f t="shared" si="5"/>
        <v>n.d.</v>
      </c>
      <c r="G403" s="45" t="str">
        <f t="shared" si="5"/>
        <v>n.d.</v>
      </c>
      <c r="H403" s="2"/>
      <c r="I403" s="2"/>
      <c r="J403" s="2"/>
    </row>
    <row r="404" ht="15" customHeight="1">
      <c r="A404" s="43" t="s">
        <v>84</v>
      </c>
      <c r="B404" s="46">
        <f t="shared" si="6"/>
        <v>0.1371087928464978</v>
      </c>
      <c r="C404" s="46">
        <f t="shared" si="6"/>
        <v>0.4039334341906202</v>
      </c>
      <c r="D404" s="46">
        <f t="shared" si="6"/>
        <v>0.07810650887573978</v>
      </c>
      <c r="E404" s="46">
        <f t="shared" si="6"/>
        <v>0.4033613445378146</v>
      </c>
      <c r="F404" s="46">
        <f t="shared" si="6"/>
        <v>0.35692706085455383</v>
      </c>
      <c r="G404" s="45">
        <f t="shared" si="6"/>
        <v>0.13813892529488836</v>
      </c>
      <c r="H404" s="2"/>
      <c r="I404" s="2"/>
      <c r="J404" s="2"/>
    </row>
    <row r="405" ht="15" customHeight="1">
      <c r="A405" s="28" t="s">
        <v>242</v>
      </c>
      <c r="B405" s="81">
        <v>34.4</v>
      </c>
      <c r="C405" s="81">
        <v>33.9</v>
      </c>
      <c r="D405" s="81">
        <v>28.3</v>
      </c>
      <c r="E405" s="81">
        <v>32.3</v>
      </c>
      <c r="F405" s="82">
        <f>Inputs!D51+Inputs!E51+B405+C405</f>
        <v>120.30000000000001</v>
      </c>
      <c r="G405" s="50">
        <f t="shared" si="96"/>
        <v>33.367999999999995</v>
      </c>
      <c r="H405" s="2" t="s">
        <v>76</v>
      </c>
      <c r="I405" s="2"/>
      <c r="J405" s="2"/>
    </row>
    <row r="406" ht="15" customHeight="1">
      <c r="A406" s="43" t="s">
        <v>34</v>
      </c>
      <c r="B406" s="44">
        <f>_xlfn.IFERROR(B405/Inputs!B51-1,"n.a.")</f>
        <v>0.303030303030303</v>
      </c>
      <c r="C406" s="44">
        <f>_xlfn.IFERROR(C405/Inputs!C51-1,"n.a.")</f>
        <v>0.08653846153846145</v>
      </c>
      <c r="D406" s="44">
        <f>_xlfn.IFERROR(D405/Inputs!D51-1,"n.a.")</f>
        <v>0.01433691756272415</v>
      </c>
      <c r="E406" s="44">
        <f>_xlfn.IFERROR(E405/Inputs!E51-1,"n.a.")</f>
        <v>0.34024896265560156</v>
      </c>
      <c r="F406" s="44">
        <f>_xlfn.IFERROR(F405/Inputs!F51-1,"n.a.")</f>
        <v>0.058978873239436735</v>
      </c>
      <c r="G406" s="45">
        <f t="shared" si="8"/>
        <v>-0.030000000000000138</v>
      </c>
      <c r="H406" s="2"/>
      <c r="I406" s="2"/>
      <c r="J406" s="2"/>
    </row>
    <row r="407" ht="15" customHeight="1">
      <c r="A407" s="51" t="s">
        <v>101</v>
      </c>
      <c r="B407" s="55">
        <f>_xlfn.IFERROR(B405-Inputs!E51,"n.a.")</f>
        <v>10.299999999999997</v>
      </c>
      <c r="C407" s="56">
        <f t="shared" si="24"/>
        <v>-0.5</v>
      </c>
      <c r="D407" s="56">
        <f t="shared" si="24"/>
        <v>-5.599999999999998</v>
      </c>
      <c r="E407" s="56">
        <f t="shared" si="24"/>
        <v>3.9999999999999964</v>
      </c>
      <c r="F407" s="56" t="s">
        <v>78</v>
      </c>
      <c r="G407" s="57">
        <f t="shared" si="26"/>
        <v>1.0679999999999978</v>
      </c>
      <c r="H407" s="2"/>
      <c r="I407" s="2"/>
      <c r="J407" s="2"/>
    </row>
    <row r="408" ht="15" customHeight="1">
      <c r="A408" s="43" t="s">
        <v>79</v>
      </c>
      <c r="B408" s="19">
        <f t="shared" si="97" ref="B408:G408">B405/B34</f>
        <v>0.013731986747036046</v>
      </c>
      <c r="C408" s="19">
        <f t="shared" si="97"/>
        <v>0.011827506803433117</v>
      </c>
      <c r="D408" s="19">
        <f t="shared" si="97"/>
        <v>0.010213656705644579</v>
      </c>
      <c r="E408" s="19">
        <f t="shared" si="97"/>
        <v>0.011167582892507692</v>
      </c>
      <c r="F408" s="19">
        <f t="shared" si="97"/>
        <v>0.0119526662493666</v>
      </c>
      <c r="G408" s="47">
        <f t="shared" si="97"/>
        <v>0.011340198512608306</v>
      </c>
      <c r="H408" s="2"/>
      <c r="I408" s="2"/>
      <c r="J408" s="2"/>
    </row>
    <row r="409" ht="15" customHeight="1">
      <c r="A409" s="43" t="s">
        <v>80</v>
      </c>
      <c r="B409" s="48">
        <v>0</v>
      </c>
      <c r="C409" s="48">
        <v>0</v>
      </c>
      <c r="D409" s="19" t="s">
        <v>81</v>
      </c>
      <c r="E409" s="19" t="s">
        <v>81</v>
      </c>
      <c r="F409" s="48">
        <v>0</v>
      </c>
      <c r="G409" s="47" t="s">
        <v>81</v>
      </c>
      <c r="H409" s="2"/>
      <c r="I409" s="2"/>
      <c r="J409" s="2"/>
    </row>
    <row r="410" ht="15" customHeight="1">
      <c r="A410" s="43" t="s">
        <v>82</v>
      </c>
      <c r="B410" s="19" t="s">
        <v>81</v>
      </c>
      <c r="C410" s="19" t="s">
        <v>81</v>
      </c>
      <c r="D410" s="19" t="s">
        <v>81</v>
      </c>
      <c r="E410" s="19" t="s">
        <v>81</v>
      </c>
      <c r="F410" s="19" t="s">
        <v>81</v>
      </c>
      <c r="G410" s="47" t="s">
        <v>81</v>
      </c>
      <c r="H410" s="2"/>
      <c r="I410" s="2"/>
      <c r="J410" s="2"/>
    </row>
    <row r="411" ht="15" customHeight="1">
      <c r="A411" s="43" t="s">
        <v>83</v>
      </c>
      <c r="B411" s="46" t="str">
        <f t="shared" si="5"/>
        <v>n.d.</v>
      </c>
      <c r="C411" s="46" t="str">
        <f t="shared" si="5"/>
        <v>n.d.</v>
      </c>
      <c r="D411" s="46" t="str">
        <f t="shared" si="5"/>
        <v>n.d.</v>
      </c>
      <c r="E411" s="46" t="str">
        <f t="shared" si="5"/>
        <v>n.d.</v>
      </c>
      <c r="F411" s="46" t="str">
        <f t="shared" si="5"/>
        <v>n.d.</v>
      </c>
      <c r="G411" s="45" t="str">
        <f t="shared" si="5"/>
        <v>n.d.</v>
      </c>
      <c r="H411" s="2"/>
      <c r="I411" s="2"/>
      <c r="J411" s="2"/>
    </row>
    <row r="412" ht="15" customHeight="1">
      <c r="A412" s="43" t="s">
        <v>84</v>
      </c>
      <c r="B412" s="46">
        <f t="shared" si="6"/>
        <v>0.303030303030303</v>
      </c>
      <c r="C412" s="46">
        <f t="shared" si="6"/>
        <v>0.08653846153846145</v>
      </c>
      <c r="D412" s="46">
        <f t="shared" si="6"/>
        <v>0.01433691756272415</v>
      </c>
      <c r="E412" s="46">
        <f t="shared" si="6"/>
        <v>0.34024896265560156</v>
      </c>
      <c r="F412" s="46">
        <f t="shared" si="6"/>
        <v>0.058978873239436735</v>
      </c>
      <c r="G412" s="45">
        <f t="shared" si="6"/>
        <v>-0.030000000000000138</v>
      </c>
      <c r="H412" s="2"/>
      <c r="I412" s="2"/>
      <c r="J412" s="2"/>
    </row>
    <row r="413" ht="15" customHeight="1">
      <c r="A413" s="28" t="s">
        <v>243</v>
      </c>
      <c r="B413" s="81">
        <v>590.4</v>
      </c>
      <c r="C413" s="81">
        <v>785.9</v>
      </c>
      <c r="D413" s="81">
        <v>650.7</v>
      </c>
      <c r="E413" s="81">
        <v>685</v>
      </c>
      <c r="F413" s="82">
        <f>Inputs!D50+Inputs!E50+B413+C413</f>
        <v>2473.7000000000003</v>
      </c>
      <c r="G413" s="50">
        <f>G377+G405</f>
        <v>692.2568000000001</v>
      </c>
      <c r="H413" s="2" t="s">
        <v>76</v>
      </c>
      <c r="I413" s="2"/>
      <c r="J413" s="2"/>
    </row>
    <row r="414" ht="15" customHeight="1">
      <c r="A414" s="43" t="s">
        <v>34</v>
      </c>
      <c r="B414" s="44">
        <f>_xlfn.IFERROR(B413/Inputs!B50-1,"n.a.")</f>
        <v>0.32674157303370777</v>
      </c>
      <c r="C414" s="44">
        <f>_xlfn.IFERROR(C413/Inputs!C50-1,"n.a.")</f>
        <v>0.20058050717995712</v>
      </c>
      <c r="D414" s="44">
        <f>_xlfn.IFERROR(D413/Inputs!D50-1,"n.a.")</f>
        <v>0.24488234168739242</v>
      </c>
      <c r="E414" s="44">
        <f>_xlfn.IFERROR(E413/Inputs!E50-1,"n.a.")</f>
        <v>0.19192622237689227</v>
      </c>
      <c r="F414" s="44">
        <f>_xlfn.IFERROR(F413/Inputs!F50-1,"n.a.")</f>
        <v>0.25824008138351995</v>
      </c>
      <c r="G414" s="45">
        <f t="shared" si="8"/>
        <v>0.17252168021680236</v>
      </c>
      <c r="H414" s="2"/>
      <c r="I414" s="2"/>
      <c r="J414" s="2"/>
    </row>
    <row r="415" ht="15" customHeight="1">
      <c r="A415" s="51" t="s">
        <v>101</v>
      </c>
      <c r="B415" s="55">
        <f>_xlfn.IFERROR(B413-Inputs!E50,"n.a.")</f>
        <v>15.699999999999932</v>
      </c>
      <c r="C415" s="56">
        <f t="shared" si="24"/>
        <v>195.5</v>
      </c>
      <c r="D415" s="56">
        <f t="shared" si="24"/>
        <v>-135.19999999999993</v>
      </c>
      <c r="E415" s="56">
        <f t="shared" si="24"/>
        <v>34.299999999999955</v>
      </c>
      <c r="F415" s="56" t="s">
        <v>78</v>
      </c>
      <c r="G415" s="57">
        <f t="shared" si="26"/>
        <v>7.256800000000112</v>
      </c>
      <c r="H415" s="2"/>
      <c r="I415" s="2"/>
      <c r="J415" s="2"/>
    </row>
    <row r="416" ht="15" customHeight="1">
      <c r="A416" s="43" t="s">
        <v>80</v>
      </c>
      <c r="B416" s="48">
        <v>0</v>
      </c>
      <c r="C416" s="48">
        <v>0</v>
      </c>
      <c r="D416" s="19" t="s">
        <v>81</v>
      </c>
      <c r="E416" s="19" t="s">
        <v>81</v>
      </c>
      <c r="F416" s="48">
        <v>0</v>
      </c>
      <c r="G416" s="47" t="s">
        <v>81</v>
      </c>
      <c r="H416" s="2"/>
      <c r="I416" s="2"/>
      <c r="J416" s="2"/>
    </row>
    <row r="417" ht="15" customHeight="1">
      <c r="A417" s="43" t="s">
        <v>82</v>
      </c>
      <c r="B417" s="19" t="s">
        <v>81</v>
      </c>
      <c r="C417" s="19" t="s">
        <v>81</v>
      </c>
      <c r="D417" s="19" t="s">
        <v>81</v>
      </c>
      <c r="E417" s="19" t="s">
        <v>81</v>
      </c>
      <c r="F417" s="19" t="s">
        <v>81</v>
      </c>
      <c r="G417" s="47" t="s">
        <v>81</v>
      </c>
      <c r="H417" s="2"/>
      <c r="I417" s="2"/>
      <c r="J417" s="2"/>
    </row>
    <row r="418" ht="15" customHeight="1">
      <c r="A418" s="43" t="s">
        <v>83</v>
      </c>
      <c r="B418" s="46" t="str">
        <f t="shared" si="79"/>
        <v>n.d.</v>
      </c>
      <c r="C418" s="46" t="str">
        <f t="shared" si="79"/>
        <v>n.d.</v>
      </c>
      <c r="D418" s="46" t="str">
        <f t="shared" si="79"/>
        <v>n.d.</v>
      </c>
      <c r="E418" s="46" t="str">
        <f t="shared" si="79"/>
        <v>n.d.</v>
      </c>
      <c r="F418" s="46" t="str">
        <f t="shared" si="79"/>
        <v>n.d.</v>
      </c>
      <c r="G418" s="45" t="str">
        <f t="shared" si="79"/>
        <v>n.d.</v>
      </c>
      <c r="H418" s="2"/>
      <c r="I418" s="2"/>
      <c r="J418" s="2"/>
    </row>
    <row r="419" ht="15" customHeight="1">
      <c r="A419" s="43" t="s">
        <v>84</v>
      </c>
      <c r="B419" s="46">
        <f t="shared" si="80"/>
        <v>0.32674157303370777</v>
      </c>
      <c r="C419" s="46">
        <f t="shared" si="80"/>
        <v>0.20058050717995712</v>
      </c>
      <c r="D419" s="46">
        <f t="shared" si="80"/>
        <v>0.24488234168739242</v>
      </c>
      <c r="E419" s="46">
        <f t="shared" si="80"/>
        <v>0.19192622237689227</v>
      </c>
      <c r="F419" s="46">
        <f t="shared" si="80"/>
        <v>0.25824008138351995</v>
      </c>
      <c r="G419" s="45">
        <f t="shared" si="80"/>
        <v>0.17252168021680236</v>
      </c>
      <c r="H419" s="2"/>
      <c r="I419" s="2"/>
      <c r="J419" s="2"/>
    </row>
    <row r="420" ht="15" customHeight="1">
      <c r="A420" s="2" t="s">
        <v>244</v>
      </c>
      <c r="B420" s="52">
        <v>223</v>
      </c>
      <c r="C420" s="52">
        <v>242.3</v>
      </c>
      <c r="D420" s="52">
        <v>250.2</v>
      </c>
      <c r="E420" s="52">
        <v>261.8</v>
      </c>
      <c r="F420" s="17">
        <f>Inputs!D55+Inputs!E55+B420+C420</f>
        <v>874.3</v>
      </c>
      <c r="G420" s="42">
        <f t="shared" si="92"/>
        <v>270.96299999999997</v>
      </c>
      <c r="H420" s="2" t="s">
        <v>76</v>
      </c>
      <c r="I420" s="2"/>
      <c r="J420" s="2"/>
    </row>
    <row r="421" ht="15" customHeight="1">
      <c r="A421" s="43" t="s">
        <v>236</v>
      </c>
      <c r="B421" s="44">
        <f>_xlfn.IFERROR(B420/Inputs!E55-1,"n.a.")</f>
        <v>0.04303086997193639</v>
      </c>
      <c r="C421" s="46">
        <f t="shared" si="84"/>
        <v>0.08654708520179377</v>
      </c>
      <c r="D421" s="46">
        <f t="shared" si="84"/>
        <v>0.03260420965744926</v>
      </c>
      <c r="E421" s="46">
        <f t="shared" si="84"/>
        <v>0.0463629096722622</v>
      </c>
      <c r="F421" s="46" t="s">
        <v>78</v>
      </c>
      <c r="G421" s="54">
        <v>0.035</v>
      </c>
      <c r="H421" s="2"/>
      <c r="I421" s="2"/>
      <c r="J421" s="2"/>
    </row>
    <row r="422" ht="15" customHeight="1">
      <c r="A422" s="43" t="s">
        <v>34</v>
      </c>
      <c r="B422" s="44">
        <f>_xlfn.IFERROR(B420/Inputs!B55-1,"n.a.")</f>
        <v>0.32896305125148984</v>
      </c>
      <c r="C422" s="44">
        <f>_xlfn.IFERROR(C420/Inputs!C55-1,"n.a.")</f>
        <v>0.3349862258953169</v>
      </c>
      <c r="D422" s="44">
        <f>_xlfn.IFERROR(D420/Inputs!D55-1,"n.a.")</f>
        <v>0.28176229508196715</v>
      </c>
      <c r="E422" s="44">
        <f>_xlfn.IFERROR(E420/Inputs!E55-1,"n.a.")</f>
        <v>0.22450888681010284</v>
      </c>
      <c r="F422" s="44">
        <f>_xlfn.IFERROR(F420/Inputs!F55-1,"n.a.")</f>
        <v>0.33644145521247304</v>
      </c>
      <c r="G422" s="45">
        <f t="shared" si="93"/>
        <v>0.21508071748878899</v>
      </c>
      <c r="H422" s="2"/>
      <c r="I422" s="2"/>
      <c r="J422" s="2"/>
    </row>
    <row r="423" ht="15" customHeight="1">
      <c r="A423" s="51" t="s">
        <v>101</v>
      </c>
      <c r="B423" s="55">
        <f>_xlfn.IFERROR(B420-Inputs!E55,"n.a.")</f>
        <v>9.199999999999989</v>
      </c>
      <c r="C423" s="56">
        <f t="shared" si="85"/>
        <v>19.30000000000001</v>
      </c>
      <c r="D423" s="56">
        <f t="shared" si="85"/>
        <v>7.899999999999977</v>
      </c>
      <c r="E423" s="56">
        <f t="shared" si="85"/>
        <v>11.600000000000023</v>
      </c>
      <c r="F423" s="56" t="s">
        <v>78</v>
      </c>
      <c r="G423" s="57">
        <f t="shared" si="94"/>
        <v>9.162999999999954</v>
      </c>
      <c r="H423" s="2"/>
      <c r="I423" s="2"/>
      <c r="J423" s="2"/>
    </row>
    <row r="424" ht="15" customHeight="1">
      <c r="A424" s="43" t="s">
        <v>80</v>
      </c>
      <c r="B424" s="48">
        <v>0</v>
      </c>
      <c r="C424" s="48">
        <v>0</v>
      </c>
      <c r="D424" s="19" t="s">
        <v>81</v>
      </c>
      <c r="E424" s="19" t="s">
        <v>81</v>
      </c>
      <c r="F424" s="48">
        <v>0</v>
      </c>
      <c r="G424" s="47" t="s">
        <v>81</v>
      </c>
      <c r="H424" s="2"/>
      <c r="I424" s="2"/>
      <c r="J424" s="2"/>
    </row>
    <row r="425" ht="15" customHeight="1">
      <c r="A425" s="43" t="s">
        <v>82</v>
      </c>
      <c r="B425" s="19" t="s">
        <v>81</v>
      </c>
      <c r="C425" s="19" t="s">
        <v>81</v>
      </c>
      <c r="D425" s="19" t="s">
        <v>81</v>
      </c>
      <c r="E425" s="19" t="s">
        <v>81</v>
      </c>
      <c r="F425" s="19" t="s">
        <v>81</v>
      </c>
      <c r="G425" s="47" t="s">
        <v>81</v>
      </c>
      <c r="H425" s="2"/>
      <c r="I425" s="2"/>
      <c r="J425" s="2"/>
    </row>
    <row r="426" ht="15" customHeight="1">
      <c r="A426" s="43" t="s">
        <v>83</v>
      </c>
      <c r="B426" s="46" t="str">
        <f t="shared" si="79"/>
        <v>n.d.</v>
      </c>
      <c r="C426" s="46" t="str">
        <f t="shared" si="79"/>
        <v>n.d.</v>
      </c>
      <c r="D426" s="46" t="str">
        <f t="shared" si="79"/>
        <v>n.d.</v>
      </c>
      <c r="E426" s="46" t="str">
        <f t="shared" si="79"/>
        <v>n.d.</v>
      </c>
      <c r="F426" s="46" t="str">
        <f t="shared" si="79"/>
        <v>n.d.</v>
      </c>
      <c r="G426" s="45" t="str">
        <f t="shared" si="79"/>
        <v>n.d.</v>
      </c>
      <c r="H426" s="2"/>
      <c r="I426" s="2"/>
      <c r="J426" s="2"/>
    </row>
    <row r="427" ht="15" customHeight="1">
      <c r="A427" s="43" t="s">
        <v>84</v>
      </c>
      <c r="B427" s="46">
        <f t="shared" si="80"/>
        <v>0.32896305125148984</v>
      </c>
      <c r="C427" s="46">
        <f t="shared" si="80"/>
        <v>0.3349862258953169</v>
      </c>
      <c r="D427" s="46">
        <f t="shared" si="80"/>
        <v>0.28176229508196715</v>
      </c>
      <c r="E427" s="46">
        <f t="shared" si="80"/>
        <v>0.22450888681010284</v>
      </c>
      <c r="F427" s="46">
        <f t="shared" si="80"/>
        <v>0.33644145521247304</v>
      </c>
      <c r="G427" s="45">
        <f t="shared" si="80"/>
        <v>0.21508071748878899</v>
      </c>
      <c r="H427" s="2"/>
      <c r="I427" s="2"/>
      <c r="J427" s="2"/>
    </row>
    <row r="428" ht="15" customHeight="1">
      <c r="A428" s="51" t="s">
        <v>245</v>
      </c>
      <c r="B428" s="52">
        <v>22</v>
      </c>
      <c r="C428" s="52">
        <v>39</v>
      </c>
      <c r="D428" s="52">
        <v>51</v>
      </c>
      <c r="E428" s="52">
        <v>56</v>
      </c>
      <c r="F428" s="17">
        <f>Inputs!D152+Inputs!E152+B428+C428</f>
        <v>130</v>
      </c>
      <c r="G428" s="42" t="s">
        <v>134</v>
      </c>
      <c r="H428" s="2" t="s">
        <v>246</v>
      </c>
      <c r="I428" s="2"/>
      <c r="J428" s="2"/>
    </row>
    <row r="429" ht="15" customHeight="1">
      <c r="A429" s="43" t="s">
        <v>34</v>
      </c>
      <c r="B429" s="44">
        <f>_xlfn.IFERROR(B428/Inputs!B152-1,"n.a.")</f>
        <v>-0.08333333333333337</v>
      </c>
      <c r="C429" s="44">
        <f>_xlfn.IFERROR(C428/Inputs!C152-1,"n.a.")</f>
        <v>0.3928571428571428</v>
      </c>
      <c r="D429" s="44">
        <f>_xlfn.IFERROR(D428/Inputs!D152-1,"n.a.")</f>
        <v>0.3076923076923077</v>
      </c>
      <c r="E429" s="44">
        <f>_xlfn.IFERROR(E428/Inputs!E152-1,"n.a.")</f>
        <v>0.8666666666666667</v>
      </c>
      <c r="F429" s="44" t="str">
        <f>_xlfn.IFERROR(F428/Inputs!F152-1,"n.a.")</f>
        <v>n.a.</v>
      </c>
      <c r="G429" s="45" t="str">
        <f t="shared" si="8"/>
        <v>n.a.</v>
      </c>
      <c r="H429" s="2"/>
      <c r="I429" s="2"/>
      <c r="J429" s="2"/>
    </row>
    <row r="430" ht="15" customHeight="1">
      <c r="A430" s="51" t="s">
        <v>101</v>
      </c>
      <c r="B430" s="55">
        <f>_xlfn.IFERROR(B428-Inputs!E152,"n.a.")</f>
        <v>-8</v>
      </c>
      <c r="C430" s="56">
        <f t="shared" si="24"/>
        <v>17</v>
      </c>
      <c r="D430" s="56">
        <f t="shared" si="24"/>
        <v>12</v>
      </c>
      <c r="E430" s="56">
        <f t="shared" si="24"/>
        <v>5</v>
      </c>
      <c r="F430" s="56" t="s">
        <v>78</v>
      </c>
      <c r="G430" s="57" t="str">
        <f t="shared" si="26"/>
        <v>n.a.</v>
      </c>
      <c r="H430" s="2"/>
      <c r="I430" s="2"/>
      <c r="J430" s="2"/>
    </row>
    <row r="431" ht="15" customHeight="1">
      <c r="A431" s="43" t="s">
        <v>80</v>
      </c>
      <c r="B431" s="48">
        <v>0</v>
      </c>
      <c r="C431" s="48">
        <v>0</v>
      </c>
      <c r="D431" s="19" t="s">
        <v>81</v>
      </c>
      <c r="E431" s="19" t="s">
        <v>81</v>
      </c>
      <c r="F431" s="48">
        <v>0</v>
      </c>
      <c r="G431" s="47" t="s">
        <v>81</v>
      </c>
      <c r="H431" s="2"/>
      <c r="I431" s="2"/>
      <c r="J431" s="2"/>
    </row>
    <row r="432" ht="15" customHeight="1">
      <c r="A432" s="43" t="s">
        <v>82</v>
      </c>
      <c r="B432" s="19" t="s">
        <v>81</v>
      </c>
      <c r="C432" s="19" t="s">
        <v>81</v>
      </c>
      <c r="D432" s="19" t="s">
        <v>81</v>
      </c>
      <c r="E432" s="19" t="s">
        <v>81</v>
      </c>
      <c r="F432" s="19" t="s">
        <v>81</v>
      </c>
      <c r="G432" s="47" t="s">
        <v>81</v>
      </c>
      <c r="H432" s="2"/>
      <c r="I432" s="2"/>
      <c r="J432" s="2"/>
    </row>
    <row r="433" ht="15" customHeight="1">
      <c r="A433" s="43" t="s">
        <v>83</v>
      </c>
      <c r="B433" s="46" t="str">
        <f t="shared" si="79"/>
        <v>n.d.</v>
      </c>
      <c r="C433" s="46" t="str">
        <f t="shared" si="79"/>
        <v>n.d.</v>
      </c>
      <c r="D433" s="46" t="str">
        <f t="shared" si="79"/>
        <v>n.d.</v>
      </c>
      <c r="E433" s="46" t="str">
        <f t="shared" si="79"/>
        <v>n.d.</v>
      </c>
      <c r="F433" s="46" t="str">
        <f t="shared" si="79"/>
        <v>n.d.</v>
      </c>
      <c r="G433" s="45" t="str">
        <f t="shared" si="79"/>
        <v>n.d.</v>
      </c>
      <c r="H433" s="2"/>
      <c r="I433" s="2"/>
      <c r="J433" s="2"/>
    </row>
    <row r="434" ht="15" customHeight="1">
      <c r="A434" s="43" t="s">
        <v>84</v>
      </c>
      <c r="B434" s="46">
        <f t="shared" si="80"/>
        <v>-0.08333333333333337</v>
      </c>
      <c r="C434" s="46">
        <f t="shared" si="80"/>
        <v>0.3928571428571428</v>
      </c>
      <c r="D434" s="46">
        <f t="shared" si="80"/>
        <v>0.3076923076923077</v>
      </c>
      <c r="E434" s="46">
        <f t="shared" si="80"/>
        <v>0.8666666666666667</v>
      </c>
      <c r="F434" s="46" t="str">
        <f t="shared" si="80"/>
        <v>n.a.</v>
      </c>
      <c r="G434" s="45" t="str">
        <f t="shared" si="80"/>
        <v>n.a.</v>
      </c>
      <c r="H434" s="2"/>
      <c r="I434" s="2"/>
      <c r="J434" s="2"/>
    </row>
    <row r="435" ht="15" customHeight="1">
      <c r="A435" s="51" t="s">
        <v>247</v>
      </c>
      <c r="B435" s="52">
        <v>138</v>
      </c>
      <c r="C435" s="18" t="s">
        <v>81</v>
      </c>
      <c r="D435" s="52">
        <v>157</v>
      </c>
      <c r="E435" s="52">
        <v>169</v>
      </c>
      <c r="F435" s="18" t="s">
        <v>81</v>
      </c>
      <c r="G435" s="42" t="s">
        <v>134</v>
      </c>
      <c r="H435" s="2" t="s">
        <v>135</v>
      </c>
      <c r="I435" s="2"/>
      <c r="J435" s="2"/>
    </row>
    <row r="436" ht="15" customHeight="1">
      <c r="A436" s="43" t="s">
        <v>34</v>
      </c>
      <c r="B436" s="44">
        <f>_xlfn.IFERROR(B435/Inputs!B153-1,"n.a.")</f>
        <v>0.5862068965517242</v>
      </c>
      <c r="C436" s="44" t="str">
        <f>_xlfn.IFERROR(C435/Inputs!C153-1,"n.a.")</f>
        <v>n.a.</v>
      </c>
      <c r="D436" s="44">
        <f>_xlfn.IFERROR(D435/Inputs!D153-1,"n.a.")</f>
        <v>0.4017857142857142</v>
      </c>
      <c r="E436" s="44">
        <f>_xlfn.IFERROR(E435/Inputs!E153-1,"n.a.")</f>
        <v>0.30000000000000004</v>
      </c>
      <c r="F436" s="44" t="str">
        <f>_xlfn.IFERROR(F435/Inputs!F153-1,"n.a.")</f>
        <v>n.a.</v>
      </c>
      <c r="G436" s="45" t="str">
        <f t="shared" si="8"/>
        <v>n.a.</v>
      </c>
      <c r="H436" s="2"/>
      <c r="I436" s="2"/>
      <c r="J436" s="2"/>
    </row>
    <row r="437" ht="15" customHeight="1">
      <c r="A437" s="51" t="s">
        <v>101</v>
      </c>
      <c r="B437" s="55">
        <f>_xlfn.IFERROR(B435-Inputs!E153,"n.a.")</f>
        <v>8</v>
      </c>
      <c r="C437" s="56" t="str">
        <f t="shared" si="24"/>
        <v>n.a.</v>
      </c>
      <c r="D437" s="56" t="str">
        <f t="shared" si="24"/>
        <v>n.a.</v>
      </c>
      <c r="E437" s="56">
        <f t="shared" si="24"/>
        <v>12</v>
      </c>
      <c r="F437" s="56" t="s">
        <v>78</v>
      </c>
      <c r="G437" s="57" t="str">
        <f t="shared" si="26"/>
        <v>n.a.</v>
      </c>
      <c r="H437" s="2"/>
      <c r="I437" s="2"/>
      <c r="J437" s="2"/>
    </row>
    <row r="438" ht="15" customHeight="1">
      <c r="A438" s="43" t="s">
        <v>80</v>
      </c>
      <c r="B438" s="48">
        <v>0</v>
      </c>
      <c r="C438" s="48">
        <v>0</v>
      </c>
      <c r="D438" s="19" t="s">
        <v>81</v>
      </c>
      <c r="E438" s="19" t="s">
        <v>81</v>
      </c>
      <c r="F438" s="48">
        <v>0</v>
      </c>
      <c r="G438" s="47" t="s">
        <v>81</v>
      </c>
      <c r="H438" s="2"/>
      <c r="I438" s="2"/>
      <c r="J438" s="2"/>
    </row>
    <row r="439" ht="15" customHeight="1">
      <c r="A439" s="43" t="s">
        <v>82</v>
      </c>
      <c r="B439" s="19" t="s">
        <v>81</v>
      </c>
      <c r="C439" s="19" t="s">
        <v>81</v>
      </c>
      <c r="D439" s="19" t="s">
        <v>81</v>
      </c>
      <c r="E439" s="19" t="s">
        <v>81</v>
      </c>
      <c r="F439" s="19" t="s">
        <v>81</v>
      </c>
      <c r="G439" s="47" t="s">
        <v>81</v>
      </c>
      <c r="H439" s="2"/>
      <c r="I439" s="2"/>
      <c r="J439" s="2"/>
    </row>
    <row r="440" ht="15" customHeight="1">
      <c r="A440" s="43" t="s">
        <v>83</v>
      </c>
      <c r="B440" s="46" t="str">
        <f t="shared" si="79"/>
        <v>n.d.</v>
      </c>
      <c r="C440" s="46" t="str">
        <f t="shared" si="79"/>
        <v>n.d.</v>
      </c>
      <c r="D440" s="46" t="str">
        <f t="shared" si="79"/>
        <v>n.d.</v>
      </c>
      <c r="E440" s="46" t="str">
        <f t="shared" si="79"/>
        <v>n.d.</v>
      </c>
      <c r="F440" s="46" t="str">
        <f t="shared" si="79"/>
        <v>n.d.</v>
      </c>
      <c r="G440" s="45" t="str">
        <f t="shared" si="79"/>
        <v>n.d.</v>
      </c>
      <c r="H440" s="2"/>
      <c r="I440" s="2"/>
      <c r="J440" s="2"/>
    </row>
    <row r="441" ht="15" customHeight="1">
      <c r="A441" s="43" t="s">
        <v>84</v>
      </c>
      <c r="B441" s="46">
        <f t="shared" si="80"/>
        <v>0.5862068965517242</v>
      </c>
      <c r="C441" s="46" t="str">
        <f t="shared" si="80"/>
        <v>n.a.</v>
      </c>
      <c r="D441" s="46">
        <f t="shared" si="80"/>
        <v>0.4017857142857142</v>
      </c>
      <c r="E441" s="46">
        <f t="shared" si="80"/>
        <v>0.30000000000000004</v>
      </c>
      <c r="F441" s="46" t="str">
        <f t="shared" si="80"/>
        <v>n.a.</v>
      </c>
      <c r="G441" s="45" t="str">
        <f t="shared" si="80"/>
        <v>n.a.</v>
      </c>
      <c r="H441" s="2"/>
      <c r="I441" s="2"/>
      <c r="J441" s="2"/>
    </row>
    <row r="442" ht="15" customHeight="1">
      <c r="A442" s="2"/>
      <c r="B442" s="2"/>
      <c r="C442" s="2"/>
      <c r="D442" s="2"/>
      <c r="E442" s="2"/>
      <c r="F442" s="2"/>
      <c r="G442" s="40"/>
      <c r="H442" s="2"/>
      <c r="I442" s="2"/>
      <c r="J442" s="2"/>
    </row>
    <row r="443" ht="15" customHeight="1">
      <c r="A443" s="30" t="s">
        <v>248</v>
      </c>
      <c r="B443" s="30"/>
      <c r="C443" s="30"/>
      <c r="D443" s="30"/>
      <c r="E443" s="30"/>
      <c r="F443" s="30"/>
      <c r="G443" s="41"/>
      <c r="H443" s="30"/>
      <c r="I443" s="2"/>
      <c r="J443" s="2"/>
    </row>
    <row r="444" ht="15" customHeight="1">
      <c r="A444" s="2" t="s">
        <v>249</v>
      </c>
      <c r="B444" s="18">
        <f t="shared" si="98" ref="B444:F444">B466-B458</f>
        <v>382.79999999999995</v>
      </c>
      <c r="C444" s="18">
        <f t="shared" si="98"/>
        <v>408.2</v>
      </c>
      <c r="D444" s="18">
        <f t="shared" si="98"/>
        <v>419.3</v>
      </c>
      <c r="E444" s="18">
        <f t="shared" si="98"/>
        <v>455.5</v>
      </c>
      <c r="F444" s="18">
        <f t="shared" si="98"/>
        <v>1521.5</v>
      </c>
      <c r="G444" s="42">
        <f>G188*G452/1000</f>
        <v>461.64575</v>
      </c>
      <c r="H444" s="2"/>
      <c r="I444" s="2"/>
      <c r="J444" s="2"/>
    </row>
    <row r="445" ht="15" customHeight="1">
      <c r="A445" s="43" t="s">
        <v>34</v>
      </c>
      <c r="B445" s="44">
        <f>_xlfn.IFERROR(B444/Inputs!B58-1,"n.a.")</f>
        <v>0.20037629350893682</v>
      </c>
      <c r="C445" s="44">
        <f>_xlfn.IFERROR(C444/Inputs!C58-1,"n.a.")</f>
        <v>0.21271538918597743</v>
      </c>
      <c r="D445" s="44">
        <f>_xlfn.IFERROR(D444/Inputs!D58-1,"n.a.")</f>
        <v>0.1918703808982376</v>
      </c>
      <c r="E445" s="44">
        <f>_xlfn.IFERROR(E444/Inputs!E58-1,"n.a.")</f>
        <v>0.20279904937945603</v>
      </c>
      <c r="F445" s="44">
        <f>_xlfn.IFERROR(F444/Inputs!F58-1,"n.a.")</f>
        <v>0.19746576420588702</v>
      </c>
      <c r="G445" s="45">
        <f t="shared" si="8"/>
        <v>0.20597113375130638</v>
      </c>
      <c r="H445" s="2"/>
      <c r="I445" s="2"/>
      <c r="J445" s="2"/>
    </row>
    <row r="446" ht="15" customHeight="1">
      <c r="A446" s="51" t="s">
        <v>101</v>
      </c>
      <c r="B446" s="55">
        <f>_xlfn.IFERROR(B444-Inputs!E58,"n.a.")</f>
        <v>4.099999999999966</v>
      </c>
      <c r="C446" s="56">
        <f t="shared" si="24"/>
        <v>25.400000000000034</v>
      </c>
      <c r="D446" s="56">
        <f t="shared" si="24"/>
        <v>11.100000000000023</v>
      </c>
      <c r="E446" s="56">
        <f t="shared" si="24"/>
        <v>36.19999999999999</v>
      </c>
      <c r="F446" s="56" t="s">
        <v>78</v>
      </c>
      <c r="G446" s="57">
        <f t="shared" si="26"/>
        <v>6.145750000000021</v>
      </c>
      <c r="H446" s="2"/>
      <c r="I446" s="2"/>
      <c r="J446" s="2"/>
    </row>
    <row r="447" ht="15" customHeight="1">
      <c r="A447" s="43" t="s">
        <v>79</v>
      </c>
      <c r="B447" s="19">
        <f t="shared" si="99" ref="B447:G447">B444/B34</f>
        <v>0.1528082711269011</v>
      </c>
      <c r="C447" s="19">
        <f t="shared" si="99"/>
        <v>0.14241853324959877</v>
      </c>
      <c r="D447" s="19">
        <f t="shared" si="99"/>
        <v>0.15132813627833117</v>
      </c>
      <c r="E447" s="19">
        <f t="shared" si="99"/>
        <v>0.15748712097638556</v>
      </c>
      <c r="F447" s="19">
        <f t="shared" si="99"/>
        <v>0.15117191769252933</v>
      </c>
      <c r="G447" s="47">
        <f t="shared" si="99"/>
        <v>0.1568914663001063</v>
      </c>
      <c r="H447" s="2"/>
      <c r="I447" s="2"/>
      <c r="J447" s="2"/>
    </row>
    <row r="448" ht="15" customHeight="1">
      <c r="A448" s="43" t="s">
        <v>80</v>
      </c>
      <c r="B448" s="48">
        <v>0</v>
      </c>
      <c r="C448" s="48">
        <v>0</v>
      </c>
      <c r="D448" s="19" t="s">
        <v>81</v>
      </c>
      <c r="E448" s="19" t="s">
        <v>81</v>
      </c>
      <c r="F448" s="48">
        <v>0</v>
      </c>
      <c r="G448" s="47" t="s">
        <v>81</v>
      </c>
      <c r="H448" s="2"/>
      <c r="I448" s="2"/>
      <c r="J448" s="2"/>
    </row>
    <row r="449" ht="15" customHeight="1">
      <c r="A449" s="43" t="s">
        <v>82</v>
      </c>
      <c r="B449" s="19" t="s">
        <v>81</v>
      </c>
      <c r="C449" s="19" t="s">
        <v>81</v>
      </c>
      <c r="D449" s="19" t="s">
        <v>81</v>
      </c>
      <c r="E449" s="19" t="s">
        <v>81</v>
      </c>
      <c r="F449" s="19" t="s">
        <v>81</v>
      </c>
      <c r="G449" s="47" t="s">
        <v>81</v>
      </c>
      <c r="H449" s="2"/>
      <c r="I449" s="2"/>
      <c r="J449" s="2"/>
    </row>
    <row r="450" ht="15" customHeight="1">
      <c r="A450" s="43" t="s">
        <v>83</v>
      </c>
      <c r="B450" s="46" t="str">
        <f t="shared" si="5"/>
        <v>n.d.</v>
      </c>
      <c r="C450" s="46" t="str">
        <f t="shared" si="5"/>
        <v>n.d.</v>
      </c>
      <c r="D450" s="46" t="str">
        <f t="shared" si="5"/>
        <v>n.d.</v>
      </c>
      <c r="E450" s="46" t="str">
        <f t="shared" si="5"/>
        <v>n.d.</v>
      </c>
      <c r="F450" s="46" t="str">
        <f t="shared" si="5"/>
        <v>n.d.</v>
      </c>
      <c r="G450" s="45" t="str">
        <f t="shared" si="5"/>
        <v>n.d.</v>
      </c>
      <c r="H450" s="2"/>
      <c r="I450" s="2"/>
      <c r="J450" s="2"/>
    </row>
    <row r="451" ht="15" customHeight="1">
      <c r="A451" s="43" t="s">
        <v>84</v>
      </c>
      <c r="B451" s="46">
        <f t="shared" si="6"/>
        <v>0.20037629350893682</v>
      </c>
      <c r="C451" s="46">
        <f t="shared" si="6"/>
        <v>0.21271538918597743</v>
      </c>
      <c r="D451" s="46">
        <f t="shared" si="6"/>
        <v>0.1918703808982376</v>
      </c>
      <c r="E451" s="46">
        <f t="shared" si="6"/>
        <v>0.20279904937945603</v>
      </c>
      <c r="F451" s="46">
        <f t="shared" si="6"/>
        <v>0.19746576420588702</v>
      </c>
      <c r="G451" s="45">
        <f t="shared" si="6"/>
        <v>0.20597113375130638</v>
      </c>
      <c r="H451" s="2"/>
      <c r="I451" s="2"/>
      <c r="J451" s="2"/>
    </row>
    <row r="452" ht="15" customHeight="1">
      <c r="A452" s="2" t="s">
        <v>250</v>
      </c>
      <c r="B452" s="18">
        <f t="shared" si="100" ref="B452:F452">B444*1000/B188</f>
        <v>36.026539927532816</v>
      </c>
      <c r="C452" s="18">
        <f t="shared" si="100"/>
        <v>37.331382322008324</v>
      </c>
      <c r="D452" s="18">
        <f t="shared" si="100"/>
        <v>37.26945469090263</v>
      </c>
      <c r="E452" s="18">
        <f t="shared" si="100"/>
        <v>39.42869508764337</v>
      </c>
      <c r="F452" s="18">
        <f t="shared" si="100"/>
        <v>144.84958111195735</v>
      </c>
      <c r="G452" s="53">
        <v>38.9</v>
      </c>
      <c r="H452" s="2"/>
      <c r="I452" s="2"/>
      <c r="J452" s="2"/>
    </row>
    <row r="453" ht="15" customHeight="1">
      <c r="A453" s="43" t="s">
        <v>34</v>
      </c>
      <c r="B453" s="44">
        <f>_xlfn.IFERROR(B452/Inputs!B59-1,"n.a.")</f>
        <v>0.058653827723142093</v>
      </c>
      <c r="C453" s="44">
        <f>_xlfn.IFERROR(C452/Inputs!C59-1,"n.a.")</f>
        <v>0.07807398057362436</v>
      </c>
      <c r="D453" s="44">
        <f>_xlfn.IFERROR(D452/Inputs!D59-1,"n.a.")</f>
        <v>0.06421349373923357</v>
      </c>
      <c r="E453" s="44">
        <f>_xlfn.IFERROR(E452/Inputs!E59-1,"n.a.")</f>
        <v>0.07640233473356473</v>
      </c>
      <c r="F453" s="44">
        <f>_xlfn.IFERROR(F452/Inputs!F59-1,"n.a.")</f>
        <v>0.054964602243076754</v>
      </c>
      <c r="G453" s="45">
        <f t="shared" si="8"/>
        <v>0.0797595350052247</v>
      </c>
      <c r="H453" s="2"/>
      <c r="I453" s="2"/>
      <c r="J453" s="2"/>
    </row>
    <row r="454" ht="15" customHeight="1">
      <c r="A454" s="51" t="s">
        <v>101</v>
      </c>
      <c r="B454" s="55">
        <f>_xlfn.IFERROR(B452-Inputs!E59,"n.a.")</f>
        <v>-0.6035321332110044</v>
      </c>
      <c r="C454" s="56">
        <f t="shared" si="24"/>
        <v>1.3048423944755072</v>
      </c>
      <c r="D454" s="56">
        <f t="shared" si="24"/>
        <v>-0.061927631105696435</v>
      </c>
      <c r="E454" s="56">
        <f t="shared" si="24"/>
        <v>2.159240396740742</v>
      </c>
      <c r="F454" s="56" t="s">
        <v>78</v>
      </c>
      <c r="G454" s="57">
        <f t="shared" si="26"/>
        <v>-0.5286950876433707</v>
      </c>
      <c r="H454" s="2"/>
      <c r="I454" s="2"/>
      <c r="J454" s="2"/>
    </row>
    <row r="455" ht="15" customHeight="1">
      <c r="A455" s="2" t="s">
        <v>251</v>
      </c>
      <c r="B455" s="18">
        <f t="shared" si="101" ref="B455:F455">B458*1000/B291</f>
        <v>14.093598708983324</v>
      </c>
      <c r="C455" s="18">
        <f t="shared" si="101"/>
        <v>14.161108260646486</v>
      </c>
      <c r="D455" s="18">
        <f t="shared" si="101"/>
        <v>14.145383104125736</v>
      </c>
      <c r="E455" s="18">
        <f t="shared" si="101"/>
        <v>15.816565278427703</v>
      </c>
      <c r="F455" s="18">
        <f t="shared" si="101"/>
        <v>56.222222222222214</v>
      </c>
      <c r="G455" s="53">
        <v>15.6</v>
      </c>
      <c r="H455" s="2"/>
      <c r="I455" s="2"/>
      <c r="J455" s="2"/>
    </row>
    <row r="456" ht="15" customHeight="1">
      <c r="A456" s="43" t="s">
        <v>34</v>
      </c>
      <c r="B456" s="44">
        <f>_xlfn.IFERROR(B455/Inputs!B159-1,"n.a.")</f>
        <v>-0.003582571274879043</v>
      </c>
      <c r="C456" s="44">
        <f>_xlfn.IFERROR(C455/Inputs!C159-1,"n.a.")</f>
        <v>0.010290177298899694</v>
      </c>
      <c r="D456" s="44">
        <f>_xlfn.IFERROR(D455/Inputs!D159-1,"n.a.")</f>
        <v>0.04701094583216392</v>
      </c>
      <c r="E456" s="44">
        <f>_xlfn.IFERROR(E455/Inputs!E159-1,"n.a.")</f>
        <v>0.11222087037903594</v>
      </c>
      <c r="F456" s="44">
        <f>_xlfn.IFERROR(F455/Inputs!F159-1,"n.a.")</f>
        <v>0.03125418569254168</v>
      </c>
      <c r="G456" s="45">
        <f t="shared" si="8"/>
        <v>0.1068854961832062</v>
      </c>
      <c r="H456" s="2"/>
      <c r="I456" s="2"/>
      <c r="J456" s="2"/>
    </row>
    <row r="457" ht="15" customHeight="1">
      <c r="A457" s="51" t="s">
        <v>101</v>
      </c>
      <c r="B457" s="55">
        <f>_xlfn.IFERROR(B455-Inputs!E159,"n.a.")</f>
        <v>-0.12710663800188726</v>
      </c>
      <c r="C457" s="56">
        <f t="shared" si="24"/>
        <v>0.06750955166316253</v>
      </c>
      <c r="D457" s="56">
        <f t="shared" si="24"/>
        <v>-0.015725156520749906</v>
      </c>
      <c r="E457" s="56">
        <f t="shared" si="24"/>
        <v>1.6711821743019666</v>
      </c>
      <c r="F457" s="56" t="s">
        <v>78</v>
      </c>
      <c r="G457" s="57">
        <f t="shared" si="26"/>
        <v>-0.21656527842770323</v>
      </c>
      <c r="H457" s="2"/>
      <c r="I457" s="2"/>
      <c r="J457" s="2"/>
    </row>
    <row r="458" ht="15" customHeight="1">
      <c r="A458" s="2" t="s">
        <v>252</v>
      </c>
      <c r="B458" s="52">
        <v>13.1</v>
      </c>
      <c r="C458" s="52">
        <v>13.8</v>
      </c>
      <c r="D458" s="52">
        <v>14.4</v>
      </c>
      <c r="E458" s="52">
        <v>16.9</v>
      </c>
      <c r="F458" s="17">
        <f>Inputs!D57+Inputs!E57+B458+C458</f>
        <v>50.599999999999994</v>
      </c>
      <c r="G458" s="42">
        <f>G291*G455/1000</f>
        <v>17.5188</v>
      </c>
      <c r="H458" s="2" t="s">
        <v>76</v>
      </c>
      <c r="I458" s="2"/>
      <c r="J458" s="2"/>
    </row>
    <row r="459" ht="15" customHeight="1">
      <c r="A459" s="43" t="s">
        <v>34</v>
      </c>
      <c r="B459" s="44">
        <f>_xlfn.IFERROR(B458/Inputs!B57-1,"n.a.")</f>
        <v>0.31000000000000005</v>
      </c>
      <c r="C459" s="44">
        <f>_xlfn.IFERROR(C458/Inputs!C57-1,"n.a.")</f>
        <v>0.2777777777777777</v>
      </c>
      <c r="D459" s="44">
        <f>_xlfn.IFERROR(D458/Inputs!D57-1,"n.a.")</f>
        <v>0.2857142857142858</v>
      </c>
      <c r="E459" s="44">
        <f>_xlfn.IFERROR(E458/Inputs!E57-1,"n.a.")</f>
        <v>0.35199999999999987</v>
      </c>
      <c r="F459" s="44">
        <f>_xlfn.IFERROR(F458/Inputs!F57-1,"n.a.")</f>
        <v>0.38630136986301356</v>
      </c>
      <c r="G459" s="45">
        <f t="shared" si="8"/>
        <v>0.3373129770992367</v>
      </c>
      <c r="H459" s="2"/>
      <c r="I459" s="2"/>
      <c r="J459" s="2"/>
    </row>
    <row r="460" ht="15" customHeight="1">
      <c r="A460" s="43" t="s">
        <v>77</v>
      </c>
      <c r="B460" s="44">
        <f>_xlfn.IFERROR(B458/Inputs!E57-1,"n.a.")</f>
        <v>0.04800000000000004</v>
      </c>
      <c r="C460" s="46">
        <f t="shared" si="3"/>
        <v>0.05343511450381677</v>
      </c>
      <c r="D460" s="46">
        <f t="shared" si="3"/>
        <v>0.04347826086956519</v>
      </c>
      <c r="E460" s="46">
        <f t="shared" si="3"/>
        <v>0.17361111111111094</v>
      </c>
      <c r="F460" s="46" t="s">
        <v>78</v>
      </c>
      <c r="G460" s="45">
        <f t="shared" si="9"/>
        <v>0.036615384615384716</v>
      </c>
      <c r="H460" s="2"/>
      <c r="I460" s="2"/>
      <c r="J460" s="2"/>
    </row>
    <row r="461" ht="15" customHeight="1">
      <c r="A461" s="43" t="s">
        <v>79</v>
      </c>
      <c r="B461" s="19">
        <f t="shared" si="102" ref="B461:G461">B458/B34</f>
        <v>0.005229332162388727</v>
      </c>
      <c r="C461" s="19">
        <f t="shared" si="102"/>
        <v>0.004814737282813482</v>
      </c>
      <c r="D461" s="19">
        <f t="shared" si="102"/>
        <v>0.00519705500216544</v>
      </c>
      <c r="E461" s="19">
        <f t="shared" si="102"/>
        <v>0.005843100646544272</v>
      </c>
      <c r="F461" s="19">
        <f t="shared" si="102"/>
        <v>0.005027472254513298</v>
      </c>
      <c r="G461" s="47">
        <f t="shared" si="102"/>
        <v>0.005953808130624623</v>
      </c>
      <c r="H461" s="2"/>
      <c r="I461" s="2"/>
      <c r="J461" s="2"/>
    </row>
    <row r="462" ht="15" customHeight="1">
      <c r="A462" s="43" t="s">
        <v>80</v>
      </c>
      <c r="B462" s="48">
        <v>0</v>
      </c>
      <c r="C462" s="48">
        <v>0</v>
      </c>
      <c r="D462" s="19" t="s">
        <v>81</v>
      </c>
      <c r="E462" s="19" t="s">
        <v>81</v>
      </c>
      <c r="F462" s="48">
        <v>0</v>
      </c>
      <c r="G462" s="47" t="s">
        <v>81</v>
      </c>
      <c r="H462" s="2"/>
      <c r="I462" s="2"/>
      <c r="J462" s="2"/>
    </row>
    <row r="463" ht="15" customHeight="1">
      <c r="A463" s="43" t="s">
        <v>82</v>
      </c>
      <c r="B463" s="19" t="s">
        <v>81</v>
      </c>
      <c r="C463" s="19" t="s">
        <v>81</v>
      </c>
      <c r="D463" s="19" t="s">
        <v>81</v>
      </c>
      <c r="E463" s="19" t="s">
        <v>81</v>
      </c>
      <c r="F463" s="19" t="s">
        <v>81</v>
      </c>
      <c r="G463" s="47" t="s">
        <v>81</v>
      </c>
      <c r="H463" s="2"/>
      <c r="I463" s="2"/>
      <c r="J463" s="2"/>
    </row>
    <row r="464" ht="15" customHeight="1">
      <c r="A464" s="43" t="s">
        <v>83</v>
      </c>
      <c r="B464" s="46" t="str">
        <f t="shared" si="5"/>
        <v>n.d.</v>
      </c>
      <c r="C464" s="46" t="str">
        <f t="shared" si="5"/>
        <v>n.d.</v>
      </c>
      <c r="D464" s="46" t="str">
        <f t="shared" si="5"/>
        <v>n.d.</v>
      </c>
      <c r="E464" s="46" t="str">
        <f t="shared" si="5"/>
        <v>n.d.</v>
      </c>
      <c r="F464" s="46" t="str">
        <f t="shared" si="5"/>
        <v>n.d.</v>
      </c>
      <c r="G464" s="45" t="str">
        <f t="shared" si="5"/>
        <v>n.d.</v>
      </c>
      <c r="H464" s="2"/>
      <c r="I464" s="2"/>
      <c r="J464" s="2"/>
    </row>
    <row r="465" ht="15" customHeight="1">
      <c r="A465" s="43" t="s">
        <v>84</v>
      </c>
      <c r="B465" s="46">
        <f t="shared" si="6"/>
        <v>0.31000000000000005</v>
      </c>
      <c r="C465" s="46">
        <f t="shared" si="6"/>
        <v>0.2777777777777777</v>
      </c>
      <c r="D465" s="46">
        <f t="shared" si="6"/>
        <v>0.2857142857142858</v>
      </c>
      <c r="E465" s="46">
        <f t="shared" si="6"/>
        <v>0.35199999999999987</v>
      </c>
      <c r="F465" s="46">
        <f t="shared" si="6"/>
        <v>0.38630136986301356</v>
      </c>
      <c r="G465" s="45">
        <f t="shared" si="6"/>
        <v>0.3373129770992367</v>
      </c>
      <c r="H465" s="2"/>
      <c r="I465" s="2"/>
      <c r="J465" s="2"/>
    </row>
    <row r="466" ht="15" customHeight="1">
      <c r="A466" s="28" t="s">
        <v>253</v>
      </c>
      <c r="B466" s="81">
        <v>395.9</v>
      </c>
      <c r="C466" s="81">
        <v>422</v>
      </c>
      <c r="D466" s="81">
        <v>433.7</v>
      </c>
      <c r="E466" s="81">
        <v>472.4</v>
      </c>
      <c r="F466" s="82">
        <f>Inputs!D56+Inputs!E56+B466+C466</f>
        <v>1572.1</v>
      </c>
      <c r="G466" s="50">
        <f>G444+G458</f>
        <v>479.16455</v>
      </c>
      <c r="H466" s="2" t="s">
        <v>76</v>
      </c>
      <c r="I466" s="2"/>
      <c r="J466" s="2"/>
    </row>
    <row r="467" ht="15" customHeight="1">
      <c r="A467" s="43" t="s">
        <v>34</v>
      </c>
      <c r="B467" s="44">
        <f>_xlfn.IFERROR(B466/Inputs!B56-1,"n.a.")</f>
        <v>0.20370933414411674</v>
      </c>
      <c r="C467" s="44">
        <f>_xlfn.IFERROR(C466/Inputs!C56-1,"n.a.")</f>
        <v>0.21473805411629243</v>
      </c>
      <c r="D467" s="44">
        <f>_xlfn.IFERROR(D466/Inputs!D56-1,"n.a.")</f>
        <v>0.19476584022038557</v>
      </c>
      <c r="E467" s="44">
        <f>_xlfn.IFERROR(E466/Inputs!E56-1,"n.a.")</f>
        <v>0.20756646216768915</v>
      </c>
      <c r="F467" s="44">
        <f>_xlfn.IFERROR(F466/Inputs!F56-1,"n.a.")</f>
        <v>0.20273888761380165</v>
      </c>
      <c r="G467" s="45">
        <f t="shared" si="8"/>
        <v>0.21031712553675175</v>
      </c>
      <c r="H467" s="2"/>
      <c r="I467" s="2"/>
      <c r="J467" s="2"/>
    </row>
    <row r="468" ht="15" customHeight="1">
      <c r="A468" s="51" t="s">
        <v>101</v>
      </c>
      <c r="B468" s="55">
        <f>_xlfn.IFERROR(B466-Inputs!E56,"n.a.")</f>
        <v>4.699999999999989</v>
      </c>
      <c r="C468" s="56">
        <f t="shared" si="24"/>
        <v>26.100000000000023</v>
      </c>
      <c r="D468" s="56">
        <f t="shared" si="24"/>
        <v>11.699999999999989</v>
      </c>
      <c r="E468" s="56">
        <f t="shared" si="24"/>
        <v>38.69999999999999</v>
      </c>
      <c r="F468" s="56" t="s">
        <v>78</v>
      </c>
      <c r="G468" s="57">
        <f t="shared" si="26"/>
        <v>6.7645500000000425</v>
      </c>
      <c r="H468" s="2"/>
      <c r="I468" s="2"/>
      <c r="J468" s="2"/>
    </row>
    <row r="469" ht="15" customHeight="1">
      <c r="A469" s="43" t="s">
        <v>80</v>
      </c>
      <c r="B469" s="48">
        <v>0</v>
      </c>
      <c r="C469" s="48">
        <v>0</v>
      </c>
      <c r="D469" s="19" t="s">
        <v>81</v>
      </c>
      <c r="E469" s="19" t="s">
        <v>81</v>
      </c>
      <c r="F469" s="48">
        <v>0</v>
      </c>
      <c r="G469" s="47" t="s">
        <v>81</v>
      </c>
      <c r="H469" s="2"/>
      <c r="I469" s="2"/>
      <c r="J469" s="2"/>
    </row>
    <row r="470" ht="15" customHeight="1">
      <c r="A470" s="43" t="s">
        <v>82</v>
      </c>
      <c r="B470" s="19" t="s">
        <v>81</v>
      </c>
      <c r="C470" s="19" t="s">
        <v>81</v>
      </c>
      <c r="D470" s="19" t="s">
        <v>81</v>
      </c>
      <c r="E470" s="19" t="s">
        <v>81</v>
      </c>
      <c r="F470" s="19" t="s">
        <v>81</v>
      </c>
      <c r="G470" s="47" t="s">
        <v>81</v>
      </c>
      <c r="H470" s="2"/>
      <c r="I470" s="2"/>
      <c r="J470" s="2"/>
    </row>
    <row r="471" ht="15" customHeight="1">
      <c r="A471" s="43" t="s">
        <v>83</v>
      </c>
      <c r="B471" s="46" t="str">
        <f t="shared" si="79"/>
        <v>n.d.</v>
      </c>
      <c r="C471" s="46" t="str">
        <f t="shared" si="79"/>
        <v>n.d.</v>
      </c>
      <c r="D471" s="46" t="str">
        <f t="shared" si="79"/>
        <v>n.d.</v>
      </c>
      <c r="E471" s="46" t="str">
        <f t="shared" si="79"/>
        <v>n.d.</v>
      </c>
      <c r="F471" s="46" t="str">
        <f t="shared" si="79"/>
        <v>n.d.</v>
      </c>
      <c r="G471" s="45" t="str">
        <f t="shared" si="79"/>
        <v>n.d.</v>
      </c>
      <c r="H471" s="2"/>
      <c r="I471" s="2"/>
      <c r="J471" s="2"/>
    </row>
    <row r="472" ht="15" customHeight="1">
      <c r="A472" s="43" t="s">
        <v>84</v>
      </c>
      <c r="B472" s="46">
        <f t="shared" si="80"/>
        <v>0.20370933414411674</v>
      </c>
      <c r="C472" s="46">
        <f t="shared" si="80"/>
        <v>0.21473805411629243</v>
      </c>
      <c r="D472" s="46">
        <f t="shared" si="80"/>
        <v>0.19476584022038557</v>
      </c>
      <c r="E472" s="46">
        <f t="shared" si="80"/>
        <v>0.20756646216768915</v>
      </c>
      <c r="F472" s="46">
        <f t="shared" si="80"/>
        <v>0.20273888761380165</v>
      </c>
      <c r="G472" s="45">
        <f t="shared" si="80"/>
        <v>0.21031712553675175</v>
      </c>
      <c r="H472" s="2"/>
      <c r="I472" s="2"/>
      <c r="J472" s="2"/>
    </row>
    <row r="473" ht="15" customHeight="1">
      <c r="A473" s="2"/>
      <c r="B473" s="2"/>
      <c r="C473" s="2"/>
      <c r="D473" s="2"/>
      <c r="E473" s="2"/>
      <c r="F473" s="2"/>
      <c r="G473" s="40"/>
      <c r="H473" s="2"/>
      <c r="I473" s="2"/>
      <c r="J473" s="2"/>
    </row>
    <row r="474" ht="15" customHeight="1">
      <c r="A474" s="30" t="s">
        <v>254</v>
      </c>
      <c r="B474" s="30"/>
      <c r="C474" s="30"/>
      <c r="D474" s="30"/>
      <c r="E474" s="30"/>
      <c r="F474" s="30"/>
      <c r="G474" s="41"/>
      <c r="H474" s="30"/>
      <c r="I474" s="2"/>
      <c r="J474" s="2"/>
    </row>
    <row r="475" ht="15" customHeight="1">
      <c r="A475" s="33" t="s">
        <v>255</v>
      </c>
      <c r="B475" s="18">
        <f t="shared" si="103" ref="B475:G475">ROUND(B328+B340-B351,6)</f>
        <v>0</v>
      </c>
      <c r="C475" s="18">
        <f t="shared" si="103"/>
        <v>0</v>
      </c>
      <c r="D475" s="18">
        <f t="shared" si="103"/>
        <v>0</v>
      </c>
      <c r="E475" s="18">
        <f t="shared" si="103"/>
        <v>0</v>
      </c>
      <c r="F475" s="18">
        <f t="shared" si="103"/>
        <v>0</v>
      </c>
      <c r="G475" s="42">
        <f t="shared" si="103"/>
        <v>0</v>
      </c>
      <c r="H475" s="2"/>
      <c r="I475" s="2"/>
      <c r="J475" s="2"/>
    </row>
    <row r="476" ht="15" customHeight="1">
      <c r="A476" s="33" t="s">
        <v>256</v>
      </c>
      <c r="B476" s="18">
        <f t="shared" si="104" ref="B476:G476">ROUND(B377+B405-B413,6)</f>
        <v>0</v>
      </c>
      <c r="C476" s="18">
        <f t="shared" si="104"/>
        <v>0</v>
      </c>
      <c r="D476" s="18">
        <f t="shared" si="104"/>
        <v>0</v>
      </c>
      <c r="E476" s="18">
        <f t="shared" si="104"/>
        <v>0</v>
      </c>
      <c r="F476" s="18">
        <f t="shared" si="104"/>
        <v>0</v>
      </c>
      <c r="G476" s="42">
        <f t="shared" si="104"/>
        <v>0</v>
      </c>
      <c r="H476" s="2"/>
      <c r="I476" s="2"/>
      <c r="J476" s="2"/>
    </row>
    <row r="477" ht="15" customHeight="1">
      <c r="A477" s="33" t="s">
        <v>257</v>
      </c>
      <c r="B477" s="18">
        <f t="shared" si="105" ref="B477:G477">ROUND(B351+B413+B466-B34,6)</f>
        <v>0</v>
      </c>
      <c r="C477" s="18">
        <f t="shared" si="105"/>
        <v>0</v>
      </c>
      <c r="D477" s="18">
        <f t="shared" si="105"/>
        <v>0</v>
      </c>
      <c r="E477" s="18">
        <f t="shared" si="105"/>
        <v>0</v>
      </c>
      <c r="F477" s="18">
        <f t="shared" si="105"/>
        <v>0</v>
      </c>
      <c r="G477" s="42">
        <f t="shared" si="105"/>
        <v>0</v>
      </c>
      <c r="H477" s="2"/>
      <c r="I477" s="2"/>
      <c r="J477" s="2"/>
    </row>
    <row r="478" ht="1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ht="1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5397D28-68F4-41B3-AE78-1CB237387FCC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4.00390625" customWidth="1"/>
    <col min="2" max="7" width="12.00390625" customWidth="1"/>
    <col min="8" max="8" width="30.00390625" customWidth="1"/>
    <col min="9" max="10" width="12.00390625" customWidth="1"/>
  </cols>
  <sheetData>
    <row r="1" ht="15" customHeight="1">
      <c r="A1" s="35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" customHeight="1">
      <c r="A2" s="28" t="s">
        <v>258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>
      <c r="A3" s="31" t="s">
        <v>2</v>
      </c>
      <c r="B3" s="2"/>
      <c r="C3" s="2"/>
      <c r="D3" s="2"/>
      <c r="E3" s="2"/>
      <c r="F3" s="2"/>
      <c r="G3" s="2"/>
      <c r="H3" s="2"/>
      <c r="I3" s="2"/>
      <c r="J3" s="2"/>
    </row>
    <row r="4" ht="15" customHeight="1">
      <c r="A4" s="5" t="s">
        <v>3</v>
      </c>
      <c r="B4" s="6" t="s">
        <v>33</v>
      </c>
      <c r="C4" s="6" t="s">
        <v>68</v>
      </c>
      <c r="D4" s="6" t="s">
        <v>69</v>
      </c>
      <c r="E4" s="6" t="s">
        <v>70</v>
      </c>
      <c r="F4" s="6" t="s">
        <v>71</v>
      </c>
      <c r="G4" s="36" t="s">
        <v>4</v>
      </c>
      <c r="H4" s="37" t="s">
        <v>72</v>
      </c>
      <c r="I4" s="2"/>
      <c r="J4" s="2"/>
    </row>
    <row r="5" ht="15" customHeight="1">
      <c r="A5" s="7" t="s">
        <v>5</v>
      </c>
      <c r="B5" s="8">
        <f>DATE(2025,9,30)</f>
        <v>45930</v>
      </c>
      <c r="C5" s="8">
        <f t="shared" si="0" ref="C5:F5">DATE(2025,12,31)</f>
        <v>46022</v>
      </c>
      <c r="D5" s="8">
        <f>DATE(2026,3,31)</f>
        <v>46112</v>
      </c>
      <c r="E5" s="8">
        <f>DATE(2026,6,30)</f>
        <v>46203</v>
      </c>
      <c r="F5" s="8">
        <f t="shared" si="0"/>
        <v>46022</v>
      </c>
      <c r="G5" s="38">
        <f>DATE(2026,9,30)</f>
        <v>46295</v>
      </c>
      <c r="H5" s="9"/>
      <c r="I5" s="2"/>
      <c r="J5" s="2"/>
    </row>
    <row r="6" ht="15" customHeight="1">
      <c r="A6" s="10" t="s">
        <v>6</v>
      </c>
      <c r="B6" s="11">
        <f t="shared" si="1" ref="B6:G6">B5-EOMONTH(B5,-3)</f>
        <v>92</v>
      </c>
      <c r="C6" s="11">
        <f t="shared" si="1"/>
        <v>92</v>
      </c>
      <c r="D6" s="11">
        <f t="shared" si="1"/>
        <v>90</v>
      </c>
      <c r="E6" s="11">
        <f t="shared" si="1"/>
        <v>91</v>
      </c>
      <c r="F6" s="11">
        <f>F5-DATE(YEAR(F5)-1,12,31)</f>
        <v>365</v>
      </c>
      <c r="G6" s="39">
        <f t="shared" si="1"/>
        <v>92</v>
      </c>
      <c r="H6" s="12"/>
      <c r="I6" s="2"/>
      <c r="J6" s="2"/>
    </row>
    <row r="7" ht="15" customHeight="1">
      <c r="A7" s="2"/>
      <c r="B7" s="2"/>
      <c r="C7" s="2"/>
      <c r="D7" s="2"/>
      <c r="E7" s="2"/>
      <c r="F7" s="2"/>
      <c r="G7" s="40"/>
      <c r="H7" s="2"/>
      <c r="I7" s="2"/>
      <c r="J7" s="2"/>
    </row>
    <row r="8" ht="15" customHeight="1">
      <c r="A8" s="30" t="s">
        <v>259</v>
      </c>
      <c r="B8" s="30"/>
      <c r="C8" s="30"/>
      <c r="D8" s="30"/>
      <c r="E8" s="30"/>
      <c r="F8" s="30"/>
      <c r="G8" s="41"/>
      <c r="H8" s="30"/>
      <c r="I8" s="2"/>
      <c r="J8" s="2"/>
    </row>
    <row r="9" ht="15" customHeight="1">
      <c r="A9" s="2" t="s">
        <v>75</v>
      </c>
      <c r="B9" s="17">
        <f>'Revenue summary'!B351</f>
        <v>1518.8</v>
      </c>
      <c r="C9" s="17">
        <f>'Revenue summary'!C351</f>
        <v>1658.3</v>
      </c>
      <c r="D9" s="17">
        <f>'Revenue summary'!D351</f>
        <v>1686.4</v>
      </c>
      <c r="E9" s="17">
        <f>'Revenue summary'!E351</f>
        <v>1734.9</v>
      </c>
      <c r="F9" s="17">
        <f>'Revenue summary'!F351</f>
        <v>6018.900000000001</v>
      </c>
      <c r="G9" s="84">
        <f>'Revenue summary'!G351</f>
        <v>1771.03155</v>
      </c>
      <c r="H9" s="2" t="s">
        <v>76</v>
      </c>
      <c r="I9" s="2"/>
      <c r="J9" s="2"/>
    </row>
    <row r="10" ht="15" customHeight="1">
      <c r="A10" s="2" t="s">
        <v>85</v>
      </c>
      <c r="B10" s="17">
        <f>'Revenue summary'!B413</f>
        <v>590.4</v>
      </c>
      <c r="C10" s="17">
        <f>'Revenue summary'!C413</f>
        <v>785.9</v>
      </c>
      <c r="D10" s="17">
        <f>'Revenue summary'!D413</f>
        <v>650.7</v>
      </c>
      <c r="E10" s="17">
        <f>'Revenue summary'!E413</f>
        <v>685</v>
      </c>
      <c r="F10" s="17">
        <f>'Revenue summary'!F413</f>
        <v>2473.7000000000003</v>
      </c>
      <c r="G10" s="84">
        <f>'Revenue summary'!G413</f>
        <v>692.2568000000001</v>
      </c>
      <c r="H10" s="2" t="s">
        <v>76</v>
      </c>
      <c r="I10" s="2"/>
      <c r="J10" s="2"/>
    </row>
    <row r="11" ht="15" customHeight="1">
      <c r="A11" s="28" t="s">
        <v>260</v>
      </c>
      <c r="B11" s="49">
        <f t="shared" si="2" ref="B11:G13">B9+B10</f>
        <v>2109.2</v>
      </c>
      <c r="C11" s="49">
        <f t="shared" si="2"/>
        <v>2444.2</v>
      </c>
      <c r="D11" s="49">
        <f t="shared" si="2"/>
        <v>2337.1000000000004</v>
      </c>
      <c r="E11" s="49">
        <f t="shared" si="2"/>
        <v>2419.9</v>
      </c>
      <c r="F11" s="49">
        <f t="shared" si="2"/>
        <v>8492.6</v>
      </c>
      <c r="G11" s="50">
        <f t="shared" si="2"/>
        <v>2463.28835</v>
      </c>
      <c r="H11" s="2"/>
      <c r="I11" s="2"/>
      <c r="J11" s="2"/>
    </row>
    <row r="12" ht="15" customHeight="1">
      <c r="A12" s="2" t="s">
        <v>86</v>
      </c>
      <c r="B12" s="17">
        <f>'Revenue summary'!B466</f>
        <v>395.9</v>
      </c>
      <c r="C12" s="17">
        <f>'Revenue summary'!C466</f>
        <v>422</v>
      </c>
      <c r="D12" s="17">
        <f>'Revenue summary'!D466</f>
        <v>433.7</v>
      </c>
      <c r="E12" s="17">
        <f>'Revenue summary'!E466</f>
        <v>472.4</v>
      </c>
      <c r="F12" s="17">
        <f>'Revenue summary'!F466</f>
        <v>1572.1</v>
      </c>
      <c r="G12" s="84">
        <f>'Revenue summary'!G466</f>
        <v>479.16455</v>
      </c>
      <c r="H12" s="2" t="s">
        <v>76</v>
      </c>
      <c r="I12" s="2"/>
      <c r="J12" s="2"/>
    </row>
    <row r="13" ht="15" customHeight="1">
      <c r="A13" s="28" t="s">
        <v>87</v>
      </c>
      <c r="B13" s="49">
        <f t="shared" si="2"/>
        <v>2505.1</v>
      </c>
      <c r="C13" s="49">
        <f t="shared" si="2"/>
        <v>2866.2</v>
      </c>
      <c r="D13" s="49">
        <f t="shared" si="2"/>
        <v>2770.8</v>
      </c>
      <c r="E13" s="49">
        <f t="shared" si="2"/>
        <v>2892.3</v>
      </c>
      <c r="F13" s="49">
        <f t="shared" si="2"/>
        <v>10064.7</v>
      </c>
      <c r="G13" s="50">
        <f t="shared" si="2"/>
        <v>2942.4528999999998</v>
      </c>
      <c r="H13" s="2"/>
      <c r="I13" s="2"/>
      <c r="J13" s="2"/>
    </row>
    <row r="14" ht="15" customHeight="1">
      <c r="A14" s="43" t="s">
        <v>34</v>
      </c>
      <c r="B14" s="44">
        <f>_xlfn.IFERROR(B13/Inputs!B60-1,"n.a.")</f>
        <v>0.22913497865659194</v>
      </c>
      <c r="C14" s="44">
        <f>_xlfn.IFERROR(C13/Inputs!C60-1,"n.a.")</f>
        <v>0.18756991920447486</v>
      </c>
      <c r="D14" s="44">
        <f>_xlfn.IFERROR(D13/Inputs!D60-1,"n.a.")</f>
        <v>0.22960859146179113</v>
      </c>
      <c r="E14" s="44">
        <f>_xlfn.IFERROR(E13/Inputs!E60-1,"n.a.")</f>
        <v>0.18536885245901646</v>
      </c>
      <c r="F14" s="44">
        <f>_xlfn.IFERROR(F13/Inputs!F60-1,"n.a.")</f>
        <v>0.20505022688904595</v>
      </c>
      <c r="G14" s="45">
        <f t="shared" si="6" ref="G14:G160">_xlfn.IFERROR(G13/B13-1,"n.a.")</f>
        <v>0.17458500658656328</v>
      </c>
      <c r="H14" s="2"/>
      <c r="I14" s="2"/>
      <c r="J14" s="2"/>
    </row>
    <row r="15" ht="15" customHeight="1">
      <c r="A15" s="43" t="s">
        <v>77</v>
      </c>
      <c r="B15" s="44">
        <f>_xlfn.IFERROR(B13/Inputs!E60-1,"n.a.")</f>
        <v>0.026680327868852327</v>
      </c>
      <c r="C15" s="46">
        <f t="shared" si="3" ref="C15:E94">_xlfn.IFERROR(C13/B13-1,"n.a.")</f>
        <v>0.14414594227775335</v>
      </c>
      <c r="D15" s="46">
        <f t="shared" si="3"/>
        <v>-0.033284488172493076</v>
      </c>
      <c r="E15" s="46">
        <f t="shared" si="3"/>
        <v>0.04385015158077099</v>
      </c>
      <c r="F15" s="46" t="s">
        <v>78</v>
      </c>
      <c r="G15" s="45">
        <f t="shared" si="24" ref="G15:G94">_xlfn.IFERROR(G13/E13-1,"n.a.")</f>
        <v>0.017340144521660772</v>
      </c>
      <c r="H15" s="2"/>
      <c r="I15" s="2"/>
      <c r="J15" s="2"/>
    </row>
    <row r="16" ht="15" customHeight="1">
      <c r="A16" s="30" t="s">
        <v>261</v>
      </c>
      <c r="B16" s="30"/>
      <c r="C16" s="30"/>
      <c r="D16" s="30"/>
      <c r="E16" s="30"/>
      <c r="F16" s="30"/>
      <c r="G16" s="41"/>
      <c r="H16" s="30"/>
      <c r="I16" s="2"/>
      <c r="J16" s="2"/>
    </row>
    <row r="17" ht="15" customHeight="1">
      <c r="A17" s="2" t="s">
        <v>262</v>
      </c>
      <c r="B17" s="52">
        <v>143.3</v>
      </c>
      <c r="C17" s="52">
        <v>152.1</v>
      </c>
      <c r="D17" s="52">
        <v>160.3</v>
      </c>
      <c r="E17" s="52">
        <v>154.9</v>
      </c>
      <c r="F17" s="17">
        <f>Inputs!D73+Inputs!E73+B17+C17</f>
        <v>556.3</v>
      </c>
      <c r="G17" s="42">
        <f>G12*(1-G28)</f>
        <v>162.915947</v>
      </c>
      <c r="H17" s="2" t="s">
        <v>263</v>
      </c>
      <c r="I17" s="2"/>
      <c r="J17" s="2"/>
    </row>
    <row r="18" ht="15" customHeight="1">
      <c r="A18" s="2" t="s">
        <v>264</v>
      </c>
      <c r="B18" s="52">
        <v>699.4</v>
      </c>
      <c r="C18" s="52">
        <v>809.8</v>
      </c>
      <c r="D18" s="52">
        <v>780</v>
      </c>
      <c r="E18" s="52">
        <v>777</v>
      </c>
      <c r="F18" s="17">
        <f>Inputs!D72+Inputs!E72+B18+C18</f>
        <v>2866.1000000000004</v>
      </c>
      <c r="G18" s="42">
        <f>G19-G17</f>
        <v>828.7567164999998</v>
      </c>
      <c r="H18" s="2" t="s">
        <v>263</v>
      </c>
      <c r="I18" s="2"/>
      <c r="J18" s="2"/>
    </row>
    <row r="19" ht="15" customHeight="1">
      <c r="A19" s="28" t="s">
        <v>265</v>
      </c>
      <c r="B19" s="49">
        <f t="shared" si="4" ref="B19:F19">B18+B17</f>
        <v>842.7</v>
      </c>
      <c r="C19" s="49">
        <f t="shared" si="4"/>
        <v>961.9</v>
      </c>
      <c r="D19" s="49">
        <f t="shared" si="4"/>
        <v>940.3</v>
      </c>
      <c r="E19" s="49">
        <f t="shared" si="4"/>
        <v>931.9</v>
      </c>
      <c r="F19" s="49">
        <f t="shared" si="4"/>
        <v>3422.4000000000005</v>
      </c>
      <c r="G19" s="50">
        <f>G13-G20</f>
        <v>991.6726634999998</v>
      </c>
      <c r="H19" s="2"/>
      <c r="I19" s="2"/>
      <c r="J19" s="2"/>
    </row>
    <row r="20" ht="15" customHeight="1">
      <c r="A20" s="28" t="s">
        <v>266</v>
      </c>
      <c r="B20" s="49">
        <f t="shared" si="5" ref="B20:F20">B13-B19</f>
        <v>1662.3999999999999</v>
      </c>
      <c r="C20" s="49">
        <f t="shared" si="5"/>
        <v>1904.2999999999997</v>
      </c>
      <c r="D20" s="49">
        <f t="shared" si="5"/>
        <v>1830.5000000000002</v>
      </c>
      <c r="E20" s="49">
        <f t="shared" si="5"/>
        <v>1960.4</v>
      </c>
      <c r="F20" s="49">
        <f t="shared" si="5"/>
        <v>6642.3</v>
      </c>
      <c r="G20" s="50">
        <f>G107-(G144+G145+G146+G147)</f>
        <v>1950.7802365</v>
      </c>
      <c r="H20" s="2"/>
      <c r="I20" s="2"/>
      <c r="J20" s="2"/>
    </row>
    <row r="21" ht="15" customHeight="1">
      <c r="A21" s="43" t="s">
        <v>34</v>
      </c>
      <c r="B21" s="44">
        <f>_xlfn.IFERROR(B20/Inputs!B75-1,"n.a.")</f>
        <v>0.20998617075478543</v>
      </c>
      <c r="C21" s="44">
        <f>_xlfn.IFERROR(C20/Inputs!C75-1,"n.a.")</f>
        <v>0.15960297162343173</v>
      </c>
      <c r="D21" s="44">
        <f>_xlfn.IFERROR(D20/Inputs!D75-1,"n.a.")</f>
        <v>0.2557453522672706</v>
      </c>
      <c r="E21" s="44">
        <f>_xlfn.IFERROR(E20/Inputs!E75-1,"n.a.")</f>
        <v>0.21169417145682679</v>
      </c>
      <c r="F21" s="44">
        <f>_xlfn.IFERROR(F20/Inputs!F75-1,"n.a.")</f>
        <v>0.17892513577792757</v>
      </c>
      <c r="G21" s="45">
        <f t="shared" si="6"/>
        <v>0.17347223081087604</v>
      </c>
      <c r="H21" s="2"/>
      <c r="I21" s="2"/>
      <c r="J21" s="2"/>
    </row>
    <row r="22" ht="15" customHeight="1">
      <c r="A22" s="31" t="s">
        <v>267</v>
      </c>
      <c r="B22" s="19">
        <f t="shared" si="7" ref="B22:G22">B20/B13</f>
        <v>0.663606243263742</v>
      </c>
      <c r="C22" s="19">
        <f t="shared" si="7"/>
        <v>0.6643988556276602</v>
      </c>
      <c r="D22" s="19">
        <f t="shared" si="7"/>
        <v>0.6606395264905442</v>
      </c>
      <c r="E22" s="19">
        <f t="shared" si="7"/>
        <v>0.6777996749991356</v>
      </c>
      <c r="F22" s="19">
        <f t="shared" si="7"/>
        <v>0.6599600584220096</v>
      </c>
      <c r="G22" s="47">
        <f t="shared" si="7"/>
        <v>0.6629775574317605</v>
      </c>
      <c r="H22" s="2"/>
      <c r="I22" s="2"/>
      <c r="J22" s="2"/>
    </row>
    <row r="23" ht="15" customHeight="1">
      <c r="A23" s="43" t="s">
        <v>107</v>
      </c>
      <c r="B23" s="58">
        <f>_xlfn.IFERROR((B22-Inputs!B137)*10000,"n.a.")</f>
        <v>-105.01994801122461</v>
      </c>
      <c r="C23" s="58">
        <f>_xlfn.IFERROR((C22-Inputs!C137)*10000,"n.a.")</f>
        <v>-160.23767119387688</v>
      </c>
      <c r="D23" s="58">
        <f>_xlfn.IFERROR((D22-Inputs!D137)*10000,"n.a.")</f>
        <v>137.50381198984863</v>
      </c>
      <c r="E23" s="58">
        <f>_xlfn.IFERROR((E22-Inputs!E137)*10000,"n.a.")</f>
        <v>147.25904507332353</v>
      </c>
      <c r="F23" s="58">
        <f>_xlfn.IFERROR((F22-Inputs!F137)*10000,"n.a.")</f>
        <v>-146.24776529679306</v>
      </c>
      <c r="G23" s="59">
        <f t="shared" si="10" ref="G23:G164">_xlfn.IFERROR((G22-B22)*10000,"n.a.")</f>
        <v>-6.286858319815014</v>
      </c>
      <c r="H23" s="2"/>
      <c r="I23" s="2"/>
      <c r="J23" s="2"/>
    </row>
    <row r="24" ht="15" customHeight="1">
      <c r="A24" s="43" t="s">
        <v>108</v>
      </c>
      <c r="B24" s="58">
        <f>_xlfn.IFERROR((B22-Inputs!E137)*10000,"n.a.")</f>
        <v>5.324727719386857</v>
      </c>
      <c r="C24" s="60">
        <f t="shared" si="8" ref="C24:E165">_xlfn.IFERROR((C22-B22)*10000,"n.a.")</f>
        <v>7.926123639182547</v>
      </c>
      <c r="D24" s="60">
        <f t="shared" si="8"/>
        <v>-37.59329137115963</v>
      </c>
      <c r="E24" s="60">
        <f t="shared" si="8"/>
        <v>171.60148508591377</v>
      </c>
      <c r="F24" s="60" t="s">
        <v>78</v>
      </c>
      <c r="G24" s="59">
        <f t="shared" si="11" ref="G24:G165">_xlfn.IFERROR((G22-E22)*10000,"n.a.")</f>
        <v>-148.2211756737517</v>
      </c>
      <c r="H24" s="2"/>
      <c r="I24" s="2"/>
      <c r="J24" s="2"/>
    </row>
    <row r="25" ht="15" customHeight="1">
      <c r="A25" s="31" t="s">
        <v>268</v>
      </c>
      <c r="B25" s="19">
        <f t="shared" si="9" ref="B25:G25">1-B18/B11</f>
        <v>0.6684050824957329</v>
      </c>
      <c r="C25" s="19">
        <f t="shared" si="9"/>
        <v>0.6686850503232141</v>
      </c>
      <c r="D25" s="19">
        <f t="shared" si="9"/>
        <v>0.6662530486500364</v>
      </c>
      <c r="E25" s="19">
        <f t="shared" si="9"/>
        <v>0.6789123517500724</v>
      </c>
      <c r="F25" s="19">
        <f t="shared" si="9"/>
        <v>0.6625179568094577</v>
      </c>
      <c r="G25" s="47">
        <f t="shared" si="9"/>
        <v>0.6635567587935859</v>
      </c>
      <c r="H25" s="2"/>
      <c r="I25" s="2"/>
      <c r="J25" s="2"/>
    </row>
    <row r="26" ht="15" customHeight="1">
      <c r="A26" s="43" t="s">
        <v>107</v>
      </c>
      <c r="B26" s="58">
        <f>_xlfn.IFERROR((B25-Inputs!B163)*10000,"n.a.")</f>
        <v>-66.47573717700195</v>
      </c>
      <c r="C26" s="58">
        <f>_xlfn.IFERROR((C25-Inputs!C163)*10000,"n.a.")</f>
        <v>-99.84907568465817</v>
      </c>
      <c r="D26" s="58">
        <f>_xlfn.IFERROR((D25-Inputs!D163)*10000,"n.a.")</f>
        <v>210.45685129088554</v>
      </c>
      <c r="E26" s="58">
        <f>_xlfn.IFERROR((E25-Inputs!E163)*10000,"n.a.")</f>
        <v>138.40114342809517</v>
      </c>
      <c r="F26" s="58">
        <f>_xlfn.IFERROR((F25-Inputs!F163)*10000,"n.a.")</f>
        <v>-91.49892729222175</v>
      </c>
      <c r="G26" s="59">
        <f t="shared" si="10"/>
        <v>-48.4832370214705</v>
      </c>
      <c r="H26" s="2"/>
      <c r="I26" s="2"/>
      <c r="J26" s="2"/>
    </row>
    <row r="27" ht="15" customHeight="1">
      <c r="A27" s="43" t="s">
        <v>108</v>
      </c>
      <c r="B27" s="58">
        <f>_xlfn.IFERROR((B25-Inputs!E163)*10000,"n.a.")</f>
        <v>33.328450884700935</v>
      </c>
      <c r="C27" s="60">
        <f t="shared" si="8"/>
        <v>2.7996782748118676</v>
      </c>
      <c r="D27" s="60">
        <f t="shared" si="8"/>
        <v>-24.320016731776974</v>
      </c>
      <c r="E27" s="60">
        <f t="shared" si="8"/>
        <v>126.59303100035935</v>
      </c>
      <c r="F27" s="60" t="s">
        <v>78</v>
      </c>
      <c r="G27" s="59">
        <f t="shared" si="11"/>
        <v>-153.55592956486475</v>
      </c>
      <c r="H27" s="2"/>
      <c r="I27" s="2"/>
      <c r="J27" s="2"/>
    </row>
    <row r="28" ht="15" customHeight="1">
      <c r="A28" s="31" t="s">
        <v>269</v>
      </c>
      <c r="B28" s="19">
        <f t="shared" si="12" ref="B28:F28">1-B17/B12</f>
        <v>0.6380399090679464</v>
      </c>
      <c r="C28" s="19">
        <f t="shared" si="12"/>
        <v>0.6395734597156398</v>
      </c>
      <c r="D28" s="19">
        <f t="shared" si="12"/>
        <v>0.6303896702789946</v>
      </c>
      <c r="E28" s="19">
        <f t="shared" si="12"/>
        <v>0.6720999153259949</v>
      </c>
      <c r="F28" s="19">
        <f t="shared" si="12"/>
        <v>0.6461421029196617</v>
      </c>
      <c r="G28" s="85">
        <v>0.66</v>
      </c>
      <c r="H28" s="2"/>
      <c r="I28" s="2"/>
      <c r="J28" s="2"/>
    </row>
    <row r="29" ht="15" customHeight="1">
      <c r="A29" s="43" t="s">
        <v>107</v>
      </c>
      <c r="B29" s="58">
        <f>_xlfn.IFERROR((B28-Inputs!B164)*10000,"n.a.")</f>
        <v>-311.6045578459237</v>
      </c>
      <c r="C29" s="58">
        <f>_xlfn.IFERROR((C28-Inputs!C164)*10000,"n.a.")</f>
        <v>-512.7282698556912</v>
      </c>
      <c r="D29" s="58">
        <f>_xlfn.IFERROR((D28-Inputs!D164)*10000,"n.a.")</f>
        <v>-252.57712641115538</v>
      </c>
      <c r="E29" s="58">
        <f>_xlfn.IFERROR((E28-Inputs!E164)*10000,"n.a.")</f>
        <v>194.92553362804753</v>
      </c>
      <c r="F29" s="58">
        <f>_xlfn.IFERROR((F28-Inputs!F164)*10000,"n.a.")</f>
        <v>-441.6468309518029</v>
      </c>
      <c r="G29" s="59">
        <f t="shared" si="10"/>
        <v>219.60090932053643</v>
      </c>
      <c r="H29" s="2"/>
      <c r="I29" s="2"/>
      <c r="J29" s="2"/>
    </row>
    <row r="30" ht="15" customHeight="1">
      <c r="A30" s="43" t="s">
        <v>108</v>
      </c>
      <c r="B30" s="58">
        <f>_xlfn.IFERROR((B28-Inputs!E164)*10000,"n.a.")</f>
        <v>-145.6745289524375</v>
      </c>
      <c r="C30" s="60">
        <f t="shared" si="8"/>
        <v>15.33550647693449</v>
      </c>
      <c r="D30" s="60">
        <f t="shared" si="8"/>
        <v>-91.83789436645218</v>
      </c>
      <c r="E30" s="60">
        <f t="shared" si="8"/>
        <v>417.10245047000274</v>
      </c>
      <c r="F30" s="60" t="s">
        <v>78</v>
      </c>
      <c r="G30" s="59">
        <f t="shared" si="11"/>
        <v>-120.99915325994859</v>
      </c>
      <c r="H30" s="2"/>
      <c r="I30" s="2"/>
      <c r="J30" s="2"/>
    </row>
    <row r="31" ht="15" customHeight="1">
      <c r="A31" s="30" t="s">
        <v>270</v>
      </c>
      <c r="B31" s="30"/>
      <c r="C31" s="30"/>
      <c r="D31" s="30"/>
      <c r="E31" s="30"/>
      <c r="F31" s="30"/>
      <c r="G31" s="41"/>
      <c r="H31" s="30"/>
      <c r="I31" s="2"/>
      <c r="J31" s="2"/>
    </row>
    <row r="32" ht="15" customHeight="1">
      <c r="A32" s="2" t="s">
        <v>271</v>
      </c>
      <c r="B32" s="52">
        <v>573.3</v>
      </c>
      <c r="C32" s="52">
        <v>687.1</v>
      </c>
      <c r="D32" s="52">
        <v>613.3</v>
      </c>
      <c r="E32" s="52">
        <v>617.9</v>
      </c>
      <c r="F32" s="17">
        <f>Inputs!D76+Inputs!E76+B32+C32</f>
        <v>2385</v>
      </c>
      <c r="G32" s="42">
        <f>G112+G148+G149+G150+G151+G152+G153+G154</f>
        <v>621.37</v>
      </c>
      <c r="H32" s="2" t="s">
        <v>76</v>
      </c>
      <c r="I32" s="2"/>
      <c r="J32" s="2"/>
    </row>
    <row r="33" ht="15" customHeight="1">
      <c r="A33" s="43" t="s">
        <v>34</v>
      </c>
      <c r="B33" s="44">
        <f>_xlfn.IFERROR(B32/Inputs!B76-1,"n.a.")</f>
        <v>0.12279670975323143</v>
      </c>
      <c r="C33" s="44">
        <f>_xlfn.IFERROR(C32/Inputs!C76-1,"n.a.")</f>
        <v>0.12161279791054525</v>
      </c>
      <c r="D33" s="44">
        <f>_xlfn.IFERROR(D32/Inputs!D76-1,"n.a.")</f>
        <v>0.08856940007099756</v>
      </c>
      <c r="E33" s="44">
        <f>_xlfn.IFERROR(E32/Inputs!E76-1,"n.a.")</f>
        <v>0.10103349964362063</v>
      </c>
      <c r="F33" s="44">
        <f>_xlfn.IFERROR(F32/Inputs!F76-1,"n.a.")</f>
        <v>0.11448598130841114</v>
      </c>
      <c r="G33" s="45">
        <f t="shared" si="6"/>
        <v>0.0838478981336126</v>
      </c>
      <c r="H33" s="2"/>
      <c r="I33" s="2"/>
      <c r="J33" s="2"/>
    </row>
    <row r="34" ht="15" customHeight="1">
      <c r="A34" s="51" t="s">
        <v>101</v>
      </c>
      <c r="B34" s="55">
        <f>_xlfn.IFERROR(B32-Inputs!E76,"n.a.")</f>
        <v>12.099999999999909</v>
      </c>
      <c r="C34" s="56">
        <f t="shared" si="13" ref="C34:E135">_xlfn.IFERROR(C32-B32,"n.a.")</f>
        <v>113.80000000000007</v>
      </c>
      <c r="D34" s="56">
        <f t="shared" si="13"/>
        <v>-73.80000000000007</v>
      </c>
      <c r="E34" s="56">
        <f t="shared" si="13"/>
        <v>4.600000000000023</v>
      </c>
      <c r="F34" s="56" t="s">
        <v>78</v>
      </c>
      <c r="G34" s="57">
        <f t="shared" si="15" ref="G34:G135">_xlfn.IFERROR(G32-E32,"n.a.")</f>
        <v>3.4700000000000273</v>
      </c>
      <c r="H34" s="2"/>
      <c r="I34" s="2"/>
      <c r="J34" s="2"/>
    </row>
    <row r="35" ht="15" customHeight="1">
      <c r="A35" s="31" t="s">
        <v>272</v>
      </c>
      <c r="B35" s="19">
        <f t="shared" si="14" ref="B35:G35">B32/B13</f>
        <v>0.22885313959522574</v>
      </c>
      <c r="C35" s="19">
        <f t="shared" si="14"/>
        <v>0.23972507152327124</v>
      </c>
      <c r="D35" s="19">
        <f t="shared" si="14"/>
        <v>0.22134401616861554</v>
      </c>
      <c r="E35" s="19">
        <f t="shared" si="14"/>
        <v>0.21363620647927253</v>
      </c>
      <c r="F35" s="19">
        <f t="shared" si="14"/>
        <v>0.23696682464454974</v>
      </c>
      <c r="G35" s="47">
        <f t="shared" si="14"/>
        <v>0.2111741533738739</v>
      </c>
      <c r="H35" s="2"/>
      <c r="I35" s="2"/>
      <c r="J35" s="2"/>
    </row>
    <row r="36" ht="15" customHeight="1">
      <c r="A36" s="43" t="s">
        <v>107</v>
      </c>
      <c r="B36" s="58">
        <f>_xlfn.IFERROR((B35-Inputs!B165)*10000,"n.a.")</f>
        <v>-216.7431244343776</v>
      </c>
      <c r="C36" s="58">
        <f>_xlfn.IFERROR((C35-Inputs!C165)*10000,"n.a.")</f>
        <v>-140.97178321352737</v>
      </c>
      <c r="D36" s="58">
        <f>_xlfn.IFERROR((D35-Inputs!D165)*10000,"n.a.")</f>
        <v>-286.78172524026655</v>
      </c>
      <c r="E36" s="58">
        <f>_xlfn.IFERROR((E35-Inputs!E165)*10000,"n.a.")</f>
        <v>-163.63793520727478</v>
      </c>
      <c r="F36" s="58">
        <f>_xlfn.IFERROR((F35-Inputs!F165)*10000,"n.a.")</f>
        <v>-192.56161191347792</v>
      </c>
      <c r="G36" s="59">
        <f t="shared" si="10"/>
        <v>-176.78986221351835</v>
      </c>
      <c r="H36" s="2"/>
      <c r="I36" s="2"/>
      <c r="J36" s="2"/>
    </row>
    <row r="37" ht="15" customHeight="1">
      <c r="A37" s="43" t="s">
        <v>108</v>
      </c>
      <c r="B37" s="58">
        <f>_xlfn.IFERROR((B35-Inputs!E165)*10000,"n.a.")</f>
        <v>-11.468604047742692</v>
      </c>
      <c r="C37" s="60">
        <f t="shared" si="8"/>
        <v>108.71931928045503</v>
      </c>
      <c r="D37" s="60">
        <f t="shared" si="8"/>
        <v>-183.810553546557</v>
      </c>
      <c r="E37" s="60">
        <f t="shared" si="8"/>
        <v>-77.07809689343009</v>
      </c>
      <c r="F37" s="60" t="s">
        <v>78</v>
      </c>
      <c r="G37" s="59">
        <f t="shared" si="11"/>
        <v>-24.620531053986262</v>
      </c>
      <c r="H37" s="2"/>
      <c r="I37" s="2"/>
      <c r="J37" s="2"/>
    </row>
    <row r="38" ht="15" customHeight="1">
      <c r="A38" s="2" t="s">
        <v>273</v>
      </c>
      <c r="B38" s="52">
        <v>329.4</v>
      </c>
      <c r="C38" s="52">
        <v>352.9</v>
      </c>
      <c r="D38" s="52">
        <v>361.9</v>
      </c>
      <c r="E38" s="52">
        <v>370.6</v>
      </c>
      <c r="F38" s="17">
        <f>Inputs!D77+Inputs!E77+B38+C38</f>
        <v>1311.8</v>
      </c>
      <c r="G38" s="42">
        <f>G115+G155+G156</f>
        <v>391.36</v>
      </c>
      <c r="H38" s="2" t="s">
        <v>76</v>
      </c>
      <c r="I38" s="2"/>
      <c r="J38" s="2"/>
    </row>
    <row r="39" ht="15" customHeight="1">
      <c r="A39" s="43" t="s">
        <v>34</v>
      </c>
      <c r="B39" s="44">
        <f>_xlfn.IFERROR(B38/Inputs!B77-1,"n.a.")</f>
        <v>0.15174825174825157</v>
      </c>
      <c r="C39" s="44">
        <f>_xlfn.IFERROR(C38/Inputs!C77-1,"n.a.")</f>
        <v>0.19748897183576508</v>
      </c>
      <c r="D39" s="44">
        <f>_xlfn.IFERROR(D38/Inputs!D77-1,"n.a.")</f>
        <v>0.14452877925363694</v>
      </c>
      <c r="E39" s="44">
        <f>_xlfn.IFERROR(E38/Inputs!E77-1,"n.a.")</f>
        <v>0.18289179699968083</v>
      </c>
      <c r="F39" s="44">
        <f>_xlfn.IFERROR(F38/Inputs!F77-1,"n.a.")</f>
        <v>0.14537675718152454</v>
      </c>
      <c r="G39" s="45">
        <f t="shared" si="6"/>
        <v>0.1880995749848211</v>
      </c>
      <c r="H39" s="2"/>
      <c r="I39" s="2"/>
      <c r="J39" s="2"/>
    </row>
    <row r="40" ht="15" customHeight="1">
      <c r="A40" s="51" t="s">
        <v>101</v>
      </c>
      <c r="B40" s="55">
        <f>_xlfn.IFERROR(B38-Inputs!E77,"n.a.")</f>
        <v>16.099999999999966</v>
      </c>
      <c r="C40" s="56">
        <f t="shared" si="13"/>
        <v>23.5</v>
      </c>
      <c r="D40" s="56">
        <f t="shared" si="13"/>
        <v>9</v>
      </c>
      <c r="E40" s="56">
        <f t="shared" si="13"/>
        <v>8.700000000000045</v>
      </c>
      <c r="F40" s="56" t="s">
        <v>78</v>
      </c>
      <c r="G40" s="57">
        <f t="shared" si="15"/>
        <v>20.75999999999999</v>
      </c>
      <c r="H40" s="2"/>
      <c r="I40" s="2"/>
      <c r="J40" s="2"/>
    </row>
    <row r="41" ht="15" customHeight="1">
      <c r="A41" s="31" t="s">
        <v>274</v>
      </c>
      <c r="B41" s="19">
        <f t="shared" si="16" ref="B41:G41">B38/B13</f>
        <v>0.13149175681609515</v>
      </c>
      <c r="C41" s="19">
        <f t="shared" si="16"/>
        <v>0.12312469471774475</v>
      </c>
      <c r="D41" s="19">
        <f t="shared" si="16"/>
        <v>0.1306120975891439</v>
      </c>
      <c r="E41" s="19">
        <f t="shared" si="16"/>
        <v>0.1281333195035093</v>
      </c>
      <c r="F41" s="19">
        <f t="shared" si="16"/>
        <v>0.13033672141246136</v>
      </c>
      <c r="G41" s="47">
        <f t="shared" si="16"/>
        <v>0.13300467783188646</v>
      </c>
      <c r="H41" s="2"/>
      <c r="I41" s="2"/>
      <c r="J41" s="2"/>
    </row>
    <row r="42" ht="15" customHeight="1">
      <c r="A42" s="43" t="s">
        <v>107</v>
      </c>
      <c r="B42" s="58">
        <f>_xlfn.IFERROR((B41-Inputs!B166)*10000,"n.a.")</f>
        <v>-88.350181213466</v>
      </c>
      <c r="C42" s="58">
        <f>_xlfn.IFERROR((C41-Inputs!C166)*10000,"n.a.")</f>
        <v>10.198677030358178</v>
      </c>
      <c r="D42" s="58">
        <f>_xlfn.IFERROR((D41-Inputs!D166)*10000,"n.a.")</f>
        <v>-97.09194680315558</v>
      </c>
      <c r="E42" s="58">
        <f>_xlfn.IFERROR((E41-Inputs!E166)*10000,"n.a.")</f>
        <v>-2.683198407529841</v>
      </c>
      <c r="F42" s="58">
        <f>_xlfn.IFERROR((F41-Inputs!F166)*10000,"n.a.")</f>
        <v>-67.90468156629036</v>
      </c>
      <c r="G42" s="59">
        <f t="shared" si="10"/>
        <v>15.129210157913132</v>
      </c>
      <c r="H42" s="2"/>
      <c r="I42" s="2"/>
      <c r="J42" s="2"/>
    </row>
    <row r="43" ht="15" customHeight="1">
      <c r="A43" s="43" t="s">
        <v>108</v>
      </c>
      <c r="B43" s="58">
        <f>_xlfn.IFERROR((B41-Inputs!E166)*10000,"n.a.")</f>
        <v>30.90117471832854</v>
      </c>
      <c r="C43" s="60">
        <f t="shared" si="8"/>
        <v>-83.67062098350405</v>
      </c>
      <c r="D43" s="60">
        <f t="shared" si="8"/>
        <v>74.87402871399165</v>
      </c>
      <c r="E43" s="60">
        <f t="shared" si="8"/>
        <v>-24.787780856345975</v>
      </c>
      <c r="F43" s="60" t="s">
        <v>78</v>
      </c>
      <c r="G43" s="59">
        <f t="shared" si="11"/>
        <v>48.71358328377151</v>
      </c>
      <c r="H43" s="2"/>
      <c r="I43" s="2"/>
      <c r="J43" s="2"/>
    </row>
    <row r="44" ht="15" customHeight="1">
      <c r="A44" s="28" t="s">
        <v>275</v>
      </c>
      <c r="B44" s="49">
        <f t="shared" si="17" ref="B44:G44">B32+B38</f>
        <v>902.6999999999999</v>
      </c>
      <c r="C44" s="49">
        <f t="shared" si="17"/>
        <v>1040</v>
      </c>
      <c r="D44" s="49">
        <f t="shared" si="17"/>
        <v>975.1999999999999</v>
      </c>
      <c r="E44" s="49">
        <f t="shared" si="17"/>
        <v>988.5</v>
      </c>
      <c r="F44" s="49">
        <f t="shared" si="17"/>
        <v>3696.8</v>
      </c>
      <c r="G44" s="50">
        <f t="shared" si="17"/>
        <v>1012.73</v>
      </c>
      <c r="H44" s="2"/>
      <c r="I44" s="2"/>
      <c r="J44" s="2"/>
    </row>
    <row r="45" ht="15" customHeight="1">
      <c r="A45" s="43" t="s">
        <v>34</v>
      </c>
      <c r="B45" s="44">
        <f>_xlfn.IFERROR(B44/Inputs!B78-1,"n.a.")</f>
        <v>0.13319106201355746</v>
      </c>
      <c r="C45" s="44">
        <f>_xlfn.IFERROR(C44/Inputs!C78-1,"n.a.")</f>
        <v>0.146258128513171</v>
      </c>
      <c r="D45" s="44">
        <f>_xlfn.IFERROR(D44/Inputs!D78-1,"n.a.")</f>
        <v>0.10868576625738968</v>
      </c>
      <c r="E45" s="44">
        <f>_xlfn.IFERROR(E44/Inputs!E78-1,"n.a.")</f>
        <v>0.130360205831904</v>
      </c>
      <c r="F45" s="44">
        <f>_xlfn.IFERROR(F44/Inputs!F78-1,"n.a.")</f>
        <v>0.1252549234468694</v>
      </c>
      <c r="G45" s="45">
        <f t="shared" si="6"/>
        <v>0.1218898858978621</v>
      </c>
      <c r="H45" s="2"/>
      <c r="I45" s="2"/>
      <c r="J45" s="2"/>
    </row>
    <row r="46" ht="15" customHeight="1">
      <c r="A46" s="28" t="s">
        <v>276</v>
      </c>
      <c r="B46" s="49">
        <f t="shared" si="18" ref="B46:G46">B20-B44</f>
        <v>759.6999999999999</v>
      </c>
      <c r="C46" s="49">
        <f t="shared" si="18"/>
        <v>864.2999999999997</v>
      </c>
      <c r="D46" s="49">
        <f t="shared" si="18"/>
        <v>855.3000000000003</v>
      </c>
      <c r="E46" s="49">
        <f t="shared" si="18"/>
        <v>971.9000000000001</v>
      </c>
      <c r="F46" s="49">
        <f t="shared" si="18"/>
        <v>2945.5</v>
      </c>
      <c r="G46" s="50">
        <f t="shared" si="18"/>
        <v>938.0502365</v>
      </c>
      <c r="H46" s="2"/>
      <c r="I46" s="2"/>
      <c r="J46" s="2"/>
    </row>
    <row r="47" ht="15" customHeight="1">
      <c r="A47" s="43" t="s">
        <v>34</v>
      </c>
      <c r="B47" s="44">
        <f>_xlfn.IFERROR(B46/Inputs!B79-1,"n.a.")</f>
        <v>0.3159535769963622</v>
      </c>
      <c r="C47" s="44">
        <f>_xlfn.IFERROR(C46/Inputs!C79-1,"n.a.")</f>
        <v>0.1760783780106132</v>
      </c>
      <c r="D47" s="44">
        <f>_xlfn.IFERROR(D46/Inputs!D79-1,"n.a.")</f>
        <v>0.47950181629475885</v>
      </c>
      <c r="E47" s="44">
        <f>_xlfn.IFERROR(E46/Inputs!E79-1,"n.a.")</f>
        <v>0.3073715361850955</v>
      </c>
      <c r="F47" s="44">
        <f>_xlfn.IFERROR(F46/Inputs!F79-1,"n.a.")</f>
        <v>0.2539912299374172</v>
      </c>
      <c r="G47" s="45">
        <f t="shared" si="6"/>
        <v>0.23476403382914324</v>
      </c>
      <c r="H47" s="2"/>
      <c r="I47" s="2"/>
      <c r="J47" s="2"/>
    </row>
    <row r="48" ht="15" customHeight="1">
      <c r="A48" s="31" t="s">
        <v>277</v>
      </c>
      <c r="B48" s="19">
        <f t="shared" si="19" ref="B48:G48">B46/B13</f>
        <v>0.30326134685242107</v>
      </c>
      <c r="C48" s="19">
        <f t="shared" si="19"/>
        <v>0.30154908938664426</v>
      </c>
      <c r="D48" s="19">
        <f t="shared" si="19"/>
        <v>0.3086834127327848</v>
      </c>
      <c r="E48" s="19">
        <f t="shared" si="19"/>
        <v>0.33603014901635375</v>
      </c>
      <c r="F48" s="19">
        <f t="shared" si="19"/>
        <v>0.29265651236499846</v>
      </c>
      <c r="G48" s="47">
        <f t="shared" si="19"/>
        <v>0.3187987262260001</v>
      </c>
      <c r="H48" s="2"/>
      <c r="I48" s="2"/>
      <c r="J48" s="2"/>
    </row>
    <row r="49" ht="15" customHeight="1">
      <c r="A49" s="43" t="s">
        <v>107</v>
      </c>
      <c r="B49" s="58">
        <f>_xlfn.IFERROR((B48-Inputs!B138)*10000,"n.a.")</f>
        <v>200.0733576366187</v>
      </c>
      <c r="C49" s="58">
        <f>_xlfn.IFERROR((C48-Inputs!C138)*10000,"n.a.")</f>
        <v>-29.46456501070727</v>
      </c>
      <c r="D49" s="58">
        <f>_xlfn.IFERROR((D48-Inputs!D138)*10000,"n.a.")</f>
        <v>521.3774840332708</v>
      </c>
      <c r="E49" s="58">
        <f>_xlfn.IFERROR((E48-Inputs!E138)*10000,"n.a.")</f>
        <v>313.58017868812703</v>
      </c>
      <c r="F49" s="58">
        <f>_xlfn.IFERROR((F48-Inputs!F138)*10000,"n.a.")</f>
        <v>114.2185281829755</v>
      </c>
      <c r="G49" s="59">
        <f t="shared" si="10"/>
        <v>155.3737937357902</v>
      </c>
      <c r="H49" s="2"/>
      <c r="I49" s="2"/>
      <c r="J49" s="2"/>
    </row>
    <row r="50" ht="15" customHeight="1">
      <c r="A50" s="43" t="s">
        <v>108</v>
      </c>
      <c r="B50" s="58">
        <f>_xlfn.IFERROR((B48-Inputs!E138)*10000,"n.a.")</f>
        <v>-14.107842951199823</v>
      </c>
      <c r="C50" s="60">
        <f t="shared" si="8"/>
        <v>-17.12257465776801</v>
      </c>
      <c r="D50" s="60">
        <f t="shared" si="8"/>
        <v>71.34323346140559</v>
      </c>
      <c r="E50" s="60">
        <f t="shared" si="8"/>
        <v>273.4673628356893</v>
      </c>
      <c r="F50" s="60" t="s">
        <v>78</v>
      </c>
      <c r="G50" s="59">
        <f t="shared" si="11"/>
        <v>-172.31422790353668</v>
      </c>
      <c r="H50" s="2"/>
      <c r="I50" s="2"/>
      <c r="J50" s="2"/>
    </row>
    <row r="51" ht="15" customHeight="1">
      <c r="A51" s="2" t="s">
        <v>278</v>
      </c>
      <c r="B51" s="52">
        <v>95.5</v>
      </c>
      <c r="C51" s="52">
        <v>91.3</v>
      </c>
      <c r="D51" s="52">
        <v>85.1</v>
      </c>
      <c r="E51" s="52">
        <v>82.7</v>
      </c>
      <c r="F51" s="17">
        <f>Inputs!D80+Inputs!E80+B51+C51</f>
        <v>365.90000000000003</v>
      </c>
      <c r="G51" s="42">
        <f>G125-G157</f>
        <v>80</v>
      </c>
      <c r="H51" s="2" t="s">
        <v>76</v>
      </c>
      <c r="I51" s="2"/>
      <c r="J51" s="2"/>
    </row>
    <row r="52" ht="15" customHeight="1">
      <c r="A52" s="43" t="s">
        <v>34</v>
      </c>
      <c r="B52" s="44">
        <f>_xlfn.IFERROR(B51/Inputs!B80-1,"n.a.")</f>
        <v>0.019210245464247544</v>
      </c>
      <c r="C52" s="44">
        <f>_xlfn.IFERROR(C51/Inputs!C80-1,"n.a.")</f>
        <v>0.21895861148197593</v>
      </c>
      <c r="D52" s="44">
        <f>_xlfn.IFERROR(D51/Inputs!D80-1,"n.a.")</f>
        <v>-0.058628318584070915</v>
      </c>
      <c r="E52" s="44">
        <f>_xlfn.IFERROR(E51/Inputs!E80-1,"n.a.")</f>
        <v>-0.06764374295377673</v>
      </c>
      <c r="F52" s="44">
        <f>_xlfn.IFERROR(F51/Inputs!F80-1,"n.a.")</f>
        <v>0.1261926746691291</v>
      </c>
      <c r="G52" s="45">
        <f t="shared" si="6"/>
        <v>-0.16230366492146597</v>
      </c>
      <c r="H52" s="2"/>
      <c r="I52" s="2"/>
      <c r="J52" s="2"/>
    </row>
    <row r="53" ht="15" customHeight="1">
      <c r="A53" s="51" t="s">
        <v>101</v>
      </c>
      <c r="B53" s="55">
        <f>_xlfn.IFERROR(B51-Inputs!E80,"n.a.")</f>
        <v>6.799999999999997</v>
      </c>
      <c r="C53" s="56">
        <f t="shared" si="13"/>
        <v>-4.200000000000003</v>
      </c>
      <c r="D53" s="56">
        <f t="shared" si="13"/>
        <v>-6.200000000000003</v>
      </c>
      <c r="E53" s="56">
        <f t="shared" si="13"/>
        <v>-2.3999999999999915</v>
      </c>
      <c r="F53" s="56" t="s">
        <v>78</v>
      </c>
      <c r="G53" s="57">
        <f t="shared" si="15"/>
        <v>-2.700000000000003</v>
      </c>
      <c r="H53" s="2"/>
      <c r="I53" s="2"/>
      <c r="J53" s="2"/>
    </row>
    <row r="54" ht="15" customHeight="1">
      <c r="A54" s="28" t="s">
        <v>279</v>
      </c>
      <c r="B54" s="49">
        <f t="shared" si="20" ref="B54:G128">B46+B51</f>
        <v>855.1999999999999</v>
      </c>
      <c r="C54" s="49">
        <f t="shared" si="20"/>
        <v>955.5999999999997</v>
      </c>
      <c r="D54" s="49">
        <f t="shared" si="20"/>
        <v>940.4000000000003</v>
      </c>
      <c r="E54" s="49">
        <f t="shared" si="20"/>
        <v>1054.6000000000001</v>
      </c>
      <c r="F54" s="49">
        <f t="shared" si="20"/>
        <v>3311.4</v>
      </c>
      <c r="G54" s="50">
        <f t="shared" si="20"/>
        <v>1018.0502365</v>
      </c>
      <c r="H54" s="2"/>
      <c r="I54" s="2"/>
      <c r="J54" s="2"/>
    </row>
    <row r="55" ht="15" customHeight="1">
      <c r="A55" s="43" t="s">
        <v>34</v>
      </c>
      <c r="B55" s="44">
        <f>_xlfn.IFERROR(B54/Inputs!B81-1,"n.a.")</f>
        <v>0.2745156482861397</v>
      </c>
      <c r="C55" s="44">
        <f>_xlfn.IFERROR(C54/Inputs!C81-1,"n.a.")</f>
        <v>0.18004445542109115</v>
      </c>
      <c r="D55" s="44">
        <f>_xlfn.IFERROR(D54/Inputs!D81-1,"n.a.")</f>
        <v>0.40673148840688134</v>
      </c>
      <c r="E55" s="44">
        <f>_xlfn.IFERROR(E54/Inputs!E81-1,"n.a.")</f>
        <v>0.26739574570364133</v>
      </c>
      <c r="F55" s="44">
        <f>_xlfn.IFERROR(F54/Inputs!F81-1,"n.a.")</f>
        <v>0.23846211384546323</v>
      </c>
      <c r="G55" s="45">
        <f t="shared" si="6"/>
        <v>0.1904235693405052</v>
      </c>
      <c r="H55" s="2"/>
      <c r="I55" s="2"/>
      <c r="J55" s="2"/>
    </row>
    <row r="56" ht="15" customHeight="1">
      <c r="A56" s="2" t="s">
        <v>280</v>
      </c>
      <c r="B56" s="52">
        <v>146</v>
      </c>
      <c r="C56" s="52">
        <v>156.1</v>
      </c>
      <c r="D56" s="52">
        <v>114.4</v>
      </c>
      <c r="E56" s="52">
        <v>231.4</v>
      </c>
      <c r="F56" s="17">
        <f>Inputs!D82+Inputs!E82+B56+C56</f>
        <v>434.79999999999995</v>
      </c>
      <c r="G56" s="42">
        <f>G129+G90</f>
        <v>222.3413032125</v>
      </c>
      <c r="H56" s="2" t="s">
        <v>76</v>
      </c>
      <c r="I56" s="2"/>
      <c r="J56" s="2"/>
    </row>
    <row r="57" ht="15" customHeight="1">
      <c r="A57" s="31" t="s">
        <v>281</v>
      </c>
      <c r="B57" s="19">
        <f t="shared" si="21" ref="B57:G57">B56/B54</f>
        <v>0.17072029934518243</v>
      </c>
      <c r="C57" s="19">
        <f t="shared" si="21"/>
        <v>0.16335286730849732</v>
      </c>
      <c r="D57" s="19">
        <f t="shared" si="21"/>
        <v>0.1216503615482773</v>
      </c>
      <c r="E57" s="19">
        <f t="shared" si="21"/>
        <v>0.21941968518869712</v>
      </c>
      <c r="F57" s="19">
        <f t="shared" si="21"/>
        <v>0.13130398018964787</v>
      </c>
      <c r="G57" s="47">
        <f t="shared" si="21"/>
        <v>0.21839914695850082</v>
      </c>
      <c r="H57" s="2"/>
      <c r="I57" s="2"/>
      <c r="J57" s="2"/>
    </row>
    <row r="58" ht="15" customHeight="1">
      <c r="A58" s="43" t="s">
        <v>107</v>
      </c>
      <c r="B58" s="58">
        <f>_xlfn.IFERROR((B57-Inputs!B139)*10000,"n.a.")</f>
        <v>210.92877586613156</v>
      </c>
      <c r="C58" s="58">
        <f>_xlfn.IFERROR((C57-Inputs!C139)*10000,"n.a.")</f>
        <v>129.45359281824082</v>
      </c>
      <c r="D58" s="58">
        <f>_xlfn.IFERROR((D57-Inputs!D139)*10000,"n.a.")</f>
        <v>1743.0555975321372</v>
      </c>
      <c r="E58" s="58">
        <f>_xlfn.IFERROR((E57-Inputs!E139)*10000,"n.a.")</f>
        <v>176.41052812780777</v>
      </c>
      <c r="F58" s="58">
        <f>_xlfn.IFERROR((F57-Inputs!F139)*10000,"n.a.")</f>
        <v>55.27931120906771</v>
      </c>
      <c r="G58" s="59">
        <f t="shared" si="10"/>
        <v>476.7884761331839</v>
      </c>
      <c r="H58" s="2"/>
      <c r="I58" s="2"/>
      <c r="J58" s="2"/>
    </row>
    <row r="59" ht="15" customHeight="1">
      <c r="A59" s="43" t="s">
        <v>108</v>
      </c>
      <c r="B59" s="58">
        <f>_xlfn.IFERROR((B57-Inputs!E139)*10000,"n.a.")</f>
        <v>-310.5833303073391</v>
      </c>
      <c r="C59" s="60">
        <f t="shared" si="8"/>
        <v>-73.67432036685106</v>
      </c>
      <c r="D59" s="60">
        <f t="shared" si="8"/>
        <v>-417.02505760220026</v>
      </c>
      <c r="E59" s="60">
        <f t="shared" si="8"/>
        <v>977.6932364041982</v>
      </c>
      <c r="F59" s="60" t="s">
        <v>78</v>
      </c>
      <c r="G59" s="59">
        <f t="shared" si="11"/>
        <v>-10.20538230196294</v>
      </c>
      <c r="H59" s="2"/>
      <c r="I59" s="2"/>
      <c r="J59" s="2"/>
    </row>
    <row r="60" ht="15" customHeight="1">
      <c r="A60" s="28" t="s">
        <v>282</v>
      </c>
      <c r="B60" s="49">
        <f t="shared" si="22" ref="B60:G60">B54-B56</f>
        <v>709.1999999999999</v>
      </c>
      <c r="C60" s="49">
        <f t="shared" si="22"/>
        <v>799.4999999999997</v>
      </c>
      <c r="D60" s="49">
        <f t="shared" si="22"/>
        <v>826.0000000000003</v>
      </c>
      <c r="E60" s="49">
        <f t="shared" si="22"/>
        <v>823.2000000000002</v>
      </c>
      <c r="F60" s="49">
        <f t="shared" si="22"/>
        <v>2876.6000000000004</v>
      </c>
      <c r="G60" s="50">
        <f t="shared" si="22"/>
        <v>795.7089332875</v>
      </c>
      <c r="H60" s="2"/>
      <c r="I60" s="2"/>
      <c r="J60" s="2"/>
    </row>
    <row r="61" ht="15" customHeight="1">
      <c r="A61" s="2" t="s">
        <v>283</v>
      </c>
      <c r="B61" s="52">
        <v>4.8</v>
      </c>
      <c r="C61" s="52">
        <v>4.7</v>
      </c>
      <c r="D61" s="52">
        <v>4.5</v>
      </c>
      <c r="E61" s="52">
        <v>5.1</v>
      </c>
      <c r="F61" s="17">
        <f>Inputs!D84+Inputs!E84+B61+C61</f>
        <v>20.599999999999998</v>
      </c>
      <c r="G61" s="42">
        <f>G133+G158</f>
        <v>5</v>
      </c>
      <c r="H61" s="2" t="s">
        <v>76</v>
      </c>
      <c r="I61" s="2"/>
      <c r="J61" s="2"/>
    </row>
    <row r="62" ht="15" customHeight="1">
      <c r="A62" s="28" t="s">
        <v>284</v>
      </c>
      <c r="B62" s="49">
        <f t="shared" si="23" ref="B62:G62">B60-B61</f>
        <v>704.4</v>
      </c>
      <c r="C62" s="49">
        <f t="shared" si="23"/>
        <v>794.7999999999996</v>
      </c>
      <c r="D62" s="49">
        <f t="shared" si="23"/>
        <v>821.5000000000003</v>
      </c>
      <c r="E62" s="49">
        <f t="shared" si="23"/>
        <v>818.1000000000001</v>
      </c>
      <c r="F62" s="49">
        <f t="shared" si="23"/>
        <v>2856.0000000000005</v>
      </c>
      <c r="G62" s="50">
        <f t="shared" si="23"/>
        <v>790.7089332875</v>
      </c>
      <c r="H62" s="2"/>
      <c r="I62" s="2"/>
      <c r="J62" s="2"/>
    </row>
    <row r="63" ht="15" customHeight="1">
      <c r="A63" s="43" t="s">
        <v>34</v>
      </c>
      <c r="B63" s="44">
        <f>_xlfn.IFERROR(B62/Inputs!B85-1,"n.a.")</f>
        <v>0.2465050433551581</v>
      </c>
      <c r="C63" s="44">
        <f>_xlfn.IFERROR(C62/Inputs!C85-1,"n.a.")</f>
        <v>0.15910748140586173</v>
      </c>
      <c r="D63" s="44">
        <f>_xlfn.IFERROR(D62/Inputs!D85-1,"n.a.")</f>
        <v>0.17626002290950749</v>
      </c>
      <c r="E63" s="44">
        <f>_xlfn.IFERROR(E62/Inputs!E85-1,"n.a.")</f>
        <v>0.2425577156743619</v>
      </c>
      <c r="F63" s="44">
        <f>_xlfn.IFERROR(F62/Inputs!F85-1,"n.a.")</f>
        <v>0.22965641952983717</v>
      </c>
      <c r="G63" s="45">
        <f t="shared" si="6"/>
        <v>0.122528298250284</v>
      </c>
      <c r="H63" s="2"/>
      <c r="I63" s="2"/>
      <c r="J63" s="2"/>
    </row>
    <row r="64" ht="15" customHeight="1">
      <c r="A64" s="43" t="s">
        <v>77</v>
      </c>
      <c r="B64" s="44">
        <f>_xlfn.IFERROR(B62/Inputs!E85-1,"n.a.")</f>
        <v>0.06986634264884528</v>
      </c>
      <c r="C64" s="46">
        <f t="shared" si="3"/>
        <v>0.1283361726291874</v>
      </c>
      <c r="D64" s="46">
        <f t="shared" si="3"/>
        <v>0.033593356819326514</v>
      </c>
      <c r="E64" s="46">
        <f t="shared" si="3"/>
        <v>-0.004138770541692316</v>
      </c>
      <c r="F64" s="46" t="s">
        <v>78</v>
      </c>
      <c r="G64" s="45">
        <f t="shared" si="24"/>
        <v>-0.03348131855824488</v>
      </c>
      <c r="H64" s="2"/>
      <c r="I64" s="2"/>
      <c r="J64" s="2"/>
    </row>
    <row r="65" ht="15" customHeight="1">
      <c r="A65" s="31" t="s">
        <v>285</v>
      </c>
      <c r="B65" s="19">
        <f t="shared" si="25" ref="B65:G65">B62/B13</f>
        <v>0.28118637978523814</v>
      </c>
      <c r="C65" s="19">
        <f t="shared" si="25"/>
        <v>0.2773009559695763</v>
      </c>
      <c r="D65" s="19">
        <f t="shared" si="25"/>
        <v>0.296484769741591</v>
      </c>
      <c r="E65" s="19">
        <f t="shared" si="25"/>
        <v>0.28285447567679706</v>
      </c>
      <c r="F65" s="19">
        <f t="shared" si="25"/>
        <v>0.2837640466183791</v>
      </c>
      <c r="G65" s="47">
        <f t="shared" si="25"/>
        <v>0.268724414683919</v>
      </c>
      <c r="H65" s="2"/>
      <c r="I65" s="2"/>
      <c r="J65" s="2"/>
    </row>
    <row r="66" ht="15" customHeight="1">
      <c r="A66" s="43" t="s">
        <v>107</v>
      </c>
      <c r="B66" s="58">
        <f>_xlfn.IFERROR((B65-Inputs!B167)*10000,"n.a.")</f>
        <v>39.18336018985169</v>
      </c>
      <c r="C66" s="58">
        <f>_xlfn.IFERROR((C65-Inputs!C167)*10000,"n.a.")</f>
        <v>-68.09257413477377</v>
      </c>
      <c r="D66" s="58">
        <f>_xlfn.IFERROR((D65-Inputs!D167)*10000,"n.a.")</f>
        <v>-134.46889085071024</v>
      </c>
      <c r="E66" s="58">
        <f>_xlfn.IFERROR((E65-Inputs!E167)*10000,"n.a.")</f>
        <v>130.18410103026457</v>
      </c>
      <c r="F66" s="58">
        <f>_xlfn.IFERROR((F65-Inputs!F167)*10000,"n.a.")</f>
        <v>56.78295729381111</v>
      </c>
      <c r="G66" s="59">
        <f t="shared" si="10"/>
        <v>-124.61965101319139</v>
      </c>
      <c r="H66" s="2"/>
      <c r="I66" s="2"/>
      <c r="J66" s="2"/>
    </row>
    <row r="67" ht="15" customHeight="1">
      <c r="A67" s="43" t="s">
        <v>108</v>
      </c>
      <c r="B67" s="58">
        <f>_xlfn.IFERROR((B65-Inputs!E167)*10000,"n.a.")</f>
        <v>113.50314211467538</v>
      </c>
      <c r="C67" s="60">
        <f t="shared" si="8"/>
        <v>-38.85423815661815</v>
      </c>
      <c r="D67" s="60">
        <f t="shared" si="8"/>
        <v>191.83813772014668</v>
      </c>
      <c r="E67" s="60">
        <f t="shared" si="8"/>
        <v>-136.30294064793935</v>
      </c>
      <c r="F67" s="60" t="s">
        <v>78</v>
      </c>
      <c r="G67" s="59">
        <f t="shared" si="11"/>
        <v>-141.30060992878057</v>
      </c>
      <c r="H67" s="2"/>
      <c r="I67" s="2"/>
      <c r="J67" s="2"/>
    </row>
    <row r="68" ht="15" customHeight="1">
      <c r="A68" s="2" t="s">
        <v>286</v>
      </c>
      <c r="B68" s="52">
        <v>356.6</v>
      </c>
      <c r="C68" s="52">
        <v>354.9</v>
      </c>
      <c r="D68" s="52">
        <v>354.9</v>
      </c>
      <c r="E68" s="52">
        <v>354.1</v>
      </c>
      <c r="F68" s="52">
        <v>356.9</v>
      </c>
      <c r="G68" s="84">
        <f>'Share Count'!G24</f>
        <v>353.6333333333333</v>
      </c>
      <c r="H68" s="2" t="s">
        <v>287</v>
      </c>
      <c r="I68" s="2"/>
      <c r="J68" s="2"/>
    </row>
    <row r="69" ht="15" customHeight="1">
      <c r="A69" s="2" t="s">
        <v>288</v>
      </c>
      <c r="B69" s="52">
        <v>361.8</v>
      </c>
      <c r="C69" s="52">
        <v>360.4</v>
      </c>
      <c r="D69" s="52">
        <v>359.8</v>
      </c>
      <c r="E69" s="52">
        <v>357.3</v>
      </c>
      <c r="F69" s="52">
        <v>362.7</v>
      </c>
      <c r="G69" s="84">
        <f>'Share Count'!G30</f>
        <v>356.6333333333333</v>
      </c>
      <c r="H69" s="2" t="s">
        <v>76</v>
      </c>
      <c r="I69" s="2"/>
      <c r="J69" s="2"/>
    </row>
    <row r="70" ht="15" customHeight="1">
      <c r="A70" s="2" t="s">
        <v>289</v>
      </c>
      <c r="B70" s="23">
        <f t="shared" si="26" ref="B70:G70">B62/B68</f>
        <v>1.9753224901850812</v>
      </c>
      <c r="C70" s="23">
        <f t="shared" si="26"/>
        <v>2.2395040856579307</v>
      </c>
      <c r="D70" s="23">
        <f t="shared" si="26"/>
        <v>2.3147365455057773</v>
      </c>
      <c r="E70" s="23">
        <f t="shared" si="26"/>
        <v>2.3103643038689636</v>
      </c>
      <c r="F70" s="23">
        <f t="shared" si="26"/>
        <v>8.002241524236483</v>
      </c>
      <c r="G70" s="86">
        <f t="shared" si="26"/>
        <v>2.2359570174969368</v>
      </c>
      <c r="H70" s="2"/>
      <c r="I70" s="2"/>
      <c r="J70" s="2"/>
    </row>
    <row r="71" ht="15" customHeight="1">
      <c r="A71" s="28" t="s">
        <v>290</v>
      </c>
      <c r="B71" s="87">
        <f t="shared" si="27" ref="B71:G71">B62/B69</f>
        <v>1.946932006633499</v>
      </c>
      <c r="C71" s="87">
        <f t="shared" si="27"/>
        <v>2.205327413984461</v>
      </c>
      <c r="D71" s="87">
        <f t="shared" si="27"/>
        <v>2.2832128960533637</v>
      </c>
      <c r="E71" s="87">
        <f t="shared" si="27"/>
        <v>2.289672544080605</v>
      </c>
      <c r="F71" s="87">
        <f t="shared" si="27"/>
        <v>7.874276261373037</v>
      </c>
      <c r="G71" s="88">
        <f t="shared" si="27"/>
        <v>2.217148144557903</v>
      </c>
      <c r="H71" s="2"/>
      <c r="I71" s="2"/>
      <c r="J71" s="2"/>
    </row>
    <row r="72" ht="15" customHeight="1">
      <c r="A72" s="43" t="s">
        <v>291</v>
      </c>
      <c r="B72" s="44">
        <f>_xlfn.IFERROR(B71/Inputs!B88-1,"n.a.")</f>
        <v>0.24960580216947426</v>
      </c>
      <c r="C72" s="44">
        <f>_xlfn.IFERROR(C71/Inputs!C88-1,"n.a.")</f>
        <v>0.17036407459376557</v>
      </c>
      <c r="D72" s="44">
        <f>_xlfn.IFERROR(D71/Inputs!D88-1,"n.a.")</f>
        <v>0.19195220776210808</v>
      </c>
      <c r="E72" s="44">
        <f>_xlfn.IFERROR(E71/Inputs!E88-1,"n.a.")</f>
        <v>0.26620560950751515</v>
      </c>
      <c r="F72" s="44">
        <f>_xlfn.IFERROR(F71/Inputs!F88-1,"n.a.")</f>
        <v>0.22728321993328127</v>
      </c>
      <c r="G72" s="45">
        <f>_xlfn.IFERROR(G71/B73-1,"n.a.")</f>
        <v>0.13699904849123223</v>
      </c>
      <c r="H72" s="2"/>
      <c r="I72" s="2"/>
      <c r="J72" s="2"/>
    </row>
    <row r="73" ht="15" customHeight="1">
      <c r="A73" s="51" t="s">
        <v>292</v>
      </c>
      <c r="B73" s="89">
        <v>1.95</v>
      </c>
      <c r="C73" s="89">
        <v>2.21</v>
      </c>
      <c r="D73" s="89">
        <v>2.28</v>
      </c>
      <c r="E73" s="89">
        <v>2.29</v>
      </c>
      <c r="F73" s="89">
        <v>7.87</v>
      </c>
      <c r="G73" s="86" t="s">
        <v>78</v>
      </c>
      <c r="H73" s="2" t="s">
        <v>76</v>
      </c>
      <c r="I73" s="2"/>
      <c r="J73" s="2"/>
    </row>
    <row r="74" ht="15" customHeight="1">
      <c r="A74" s="34" t="s">
        <v>293</v>
      </c>
      <c r="B74" s="23">
        <f t="shared" si="28" ref="B74:F74">ROUND(ROUND(B71,2)-B73,6)</f>
        <v>0</v>
      </c>
      <c r="C74" s="23">
        <f t="shared" si="28"/>
        <v>0</v>
      </c>
      <c r="D74" s="23">
        <f t="shared" si="28"/>
        <v>0</v>
      </c>
      <c r="E74" s="23">
        <f t="shared" si="28"/>
        <v>0</v>
      </c>
      <c r="F74" s="23">
        <f t="shared" si="28"/>
        <v>0</v>
      </c>
      <c r="G74" s="86">
        <f>ROUND(G71-G62/G69,9)</f>
        <v>0</v>
      </c>
      <c r="H74" s="2"/>
      <c r="I74" s="2"/>
      <c r="J74" s="2"/>
    </row>
    <row r="75" ht="15" customHeight="1">
      <c r="A75" s="2"/>
      <c r="B75" s="2"/>
      <c r="C75" s="2"/>
      <c r="D75" s="2"/>
      <c r="E75" s="2"/>
      <c r="F75" s="2"/>
      <c r="G75" s="40"/>
      <c r="H75" s="2"/>
      <c r="I75" s="2"/>
      <c r="J75" s="2"/>
    </row>
    <row r="76" ht="15" customHeight="1">
      <c r="A76" s="30" t="s">
        <v>294</v>
      </c>
      <c r="B76" s="30"/>
      <c r="C76" s="30"/>
      <c r="D76" s="30"/>
      <c r="E76" s="30"/>
      <c r="F76" s="30"/>
      <c r="G76" s="41"/>
      <c r="H76" s="30"/>
      <c r="I76" s="2"/>
      <c r="J76" s="2"/>
    </row>
    <row r="77" ht="15" customHeight="1">
      <c r="A77" s="2" t="s">
        <v>295</v>
      </c>
      <c r="B77" s="18">
        <f t="shared" si="29" ref="B77:G77">B62</f>
        <v>704.4</v>
      </c>
      <c r="C77" s="18">
        <f t="shared" si="29"/>
        <v>794.7999999999996</v>
      </c>
      <c r="D77" s="18">
        <f t="shared" si="29"/>
        <v>821.5000000000003</v>
      </c>
      <c r="E77" s="18">
        <f t="shared" si="29"/>
        <v>818.1000000000001</v>
      </c>
      <c r="F77" s="18">
        <f t="shared" si="29"/>
        <v>2856.0000000000005</v>
      </c>
      <c r="G77" s="42">
        <f t="shared" si="29"/>
        <v>790.7089332875</v>
      </c>
      <c r="H77" s="2"/>
      <c r="I77" s="2"/>
      <c r="J77" s="2"/>
    </row>
    <row r="78" ht="15" customHeight="1">
      <c r="A78" s="51" t="s">
        <v>296</v>
      </c>
      <c r="B78" s="18">
        <f t="shared" si="30" ref="B78:G78">B144+B148+B155</f>
        <v>203.5</v>
      </c>
      <c r="C78" s="18">
        <f t="shared" si="30"/>
        <v>203.2</v>
      </c>
      <c r="D78" s="18">
        <f t="shared" si="30"/>
        <v>209.5</v>
      </c>
      <c r="E78" s="18">
        <f t="shared" si="30"/>
        <v>209.89999999999998</v>
      </c>
      <c r="F78" s="18">
        <f t="shared" si="30"/>
        <v>788.1</v>
      </c>
      <c r="G78" s="42">
        <f t="shared" si="30"/>
        <v>230</v>
      </c>
      <c r="H78" s="2"/>
      <c r="I78" s="2"/>
      <c r="J78" s="2"/>
    </row>
    <row r="79" ht="15" customHeight="1">
      <c r="A79" s="51" t="s">
        <v>297</v>
      </c>
      <c r="B79" s="18">
        <f t="shared" si="31" ref="B79:G79">B145+B149</f>
        <v>1.3</v>
      </c>
      <c r="C79" s="18">
        <f t="shared" si="31"/>
        <v>-1.4000000000000001</v>
      </c>
      <c r="D79" s="18">
        <f t="shared" si="31"/>
        <v>0.5</v>
      </c>
      <c r="E79" s="18">
        <f t="shared" si="31"/>
        <v>-0.4</v>
      </c>
      <c r="F79" s="18">
        <f t="shared" si="31"/>
        <v>1</v>
      </c>
      <c r="G79" s="42">
        <f t="shared" si="31"/>
        <v>0</v>
      </c>
      <c r="H79" s="2"/>
      <c r="I79" s="2"/>
      <c r="J79" s="2"/>
    </row>
    <row r="80" ht="15" customHeight="1">
      <c r="A80" s="51" t="s">
        <v>298</v>
      </c>
      <c r="B80" s="18">
        <f t="shared" si="32" ref="B80:G80">B146+B150+B156</f>
        <v>3.3</v>
      </c>
      <c r="C80" s="18">
        <f t="shared" si="32"/>
        <v>3.3</v>
      </c>
      <c r="D80" s="18">
        <f t="shared" si="32"/>
        <v>7.1</v>
      </c>
      <c r="E80" s="18">
        <f t="shared" si="32"/>
        <v>24</v>
      </c>
      <c r="F80" s="18">
        <f t="shared" si="32"/>
        <v>13.200000000000001</v>
      </c>
      <c r="G80" s="42">
        <f t="shared" si="32"/>
        <v>24</v>
      </c>
      <c r="H80" s="2"/>
      <c r="I80" s="2"/>
      <c r="J80" s="2"/>
    </row>
    <row r="81" ht="15" customHeight="1">
      <c r="A81" s="51" t="s">
        <v>299</v>
      </c>
      <c r="B81" s="18">
        <f t="shared" si="33" ref="B81:G83">B151</f>
        <v>0</v>
      </c>
      <c r="C81" s="18">
        <f t="shared" si="33"/>
        <v>0</v>
      </c>
      <c r="D81" s="18">
        <f t="shared" si="33"/>
        <v>0</v>
      </c>
      <c r="E81" s="18">
        <f t="shared" si="33"/>
        <v>6.9</v>
      </c>
      <c r="F81" s="18">
        <f t="shared" si="33"/>
        <v>0</v>
      </c>
      <c r="G81" s="42">
        <f t="shared" si="33"/>
        <v>0</v>
      </c>
      <c r="H81" s="2"/>
      <c r="I81" s="2"/>
      <c r="J81" s="2"/>
    </row>
    <row r="82" ht="15" customHeight="1">
      <c r="A82" s="51" t="s">
        <v>300</v>
      </c>
      <c r="B82" s="18">
        <f t="shared" si="33"/>
        <v>8.1</v>
      </c>
      <c r="C82" s="18">
        <f t="shared" si="33"/>
        <v>2</v>
      </c>
      <c r="D82" s="18">
        <f t="shared" si="33"/>
        <v>6.3</v>
      </c>
      <c r="E82" s="18">
        <f t="shared" si="33"/>
        <v>0</v>
      </c>
      <c r="F82" s="18">
        <f t="shared" si="33"/>
        <v>13.6</v>
      </c>
      <c r="G82" s="42">
        <f t="shared" si="33"/>
        <v>0</v>
      </c>
      <c r="H82" s="2"/>
      <c r="I82" s="2"/>
      <c r="J82" s="2"/>
    </row>
    <row r="83" ht="15" customHeight="1">
      <c r="A83" s="51" t="s">
        <v>301</v>
      </c>
      <c r="B83" s="18">
        <f t="shared" si="33"/>
        <v>0</v>
      </c>
      <c r="C83" s="18">
        <f t="shared" si="33"/>
        <v>-1</v>
      </c>
      <c r="D83" s="18">
        <f t="shared" si="33"/>
        <v>-7.9</v>
      </c>
      <c r="E83" s="18">
        <f t="shared" si="33"/>
        <v>0</v>
      </c>
      <c r="F83" s="18">
        <f t="shared" si="33"/>
        <v>-1</v>
      </c>
      <c r="G83" s="42">
        <f t="shared" si="33"/>
        <v>0</v>
      </c>
      <c r="H83" s="2"/>
      <c r="I83" s="2"/>
      <c r="J83" s="2"/>
    </row>
    <row r="84" ht="15" customHeight="1">
      <c r="A84" s="51" t="s">
        <v>302</v>
      </c>
      <c r="B84" s="18">
        <f t="shared" si="34" ref="B84:G84">B147+B154</f>
        <v>0</v>
      </c>
      <c r="C84" s="18">
        <f t="shared" si="34"/>
        <v>0</v>
      </c>
      <c r="D84" s="18">
        <f t="shared" si="34"/>
        <v>6</v>
      </c>
      <c r="E84" s="18">
        <f t="shared" si="34"/>
        <v>5.699999999999999</v>
      </c>
      <c r="F84" s="18">
        <f t="shared" si="34"/>
        <v>0</v>
      </c>
      <c r="G84" s="42">
        <f t="shared" si="34"/>
        <v>4</v>
      </c>
      <c r="H84" s="2"/>
      <c r="I84" s="2"/>
      <c r="J84" s="2"/>
    </row>
    <row r="85" ht="15" customHeight="1">
      <c r="A85" s="51" t="s">
        <v>303</v>
      </c>
      <c r="B85" s="18">
        <f t="shared" si="35" ref="B85:G85">B157</f>
        <v>-3</v>
      </c>
      <c r="C85" s="18">
        <f t="shared" si="35"/>
        <v>-4.9</v>
      </c>
      <c r="D85" s="18">
        <f t="shared" si="35"/>
        <v>-0.6</v>
      </c>
      <c r="E85" s="18">
        <f t="shared" si="35"/>
        <v>-0.2</v>
      </c>
      <c r="F85" s="18">
        <f t="shared" si="35"/>
        <v>-2.9000000000000004</v>
      </c>
      <c r="G85" s="42">
        <f t="shared" si="35"/>
        <v>0</v>
      </c>
      <c r="H85" s="2"/>
      <c r="I85" s="2"/>
      <c r="J85" s="2"/>
    </row>
    <row r="86" ht="15" customHeight="1">
      <c r="A86" s="71" t="s">
        <v>304</v>
      </c>
      <c r="B86" s="49">
        <f t="shared" si="36" ref="B86:G86">B78+B79+B80+B81+B82+B83+B84+B85</f>
        <v>213.20000000000002</v>
      </c>
      <c r="C86" s="49">
        <f t="shared" si="36"/>
        <v>201.2</v>
      </c>
      <c r="D86" s="49">
        <f t="shared" si="36"/>
        <v>220.9</v>
      </c>
      <c r="E86" s="49">
        <f t="shared" si="36"/>
        <v>245.89999999999998</v>
      </c>
      <c r="F86" s="49">
        <f t="shared" si="36"/>
        <v>812.0000000000001</v>
      </c>
      <c r="G86" s="50">
        <f t="shared" si="36"/>
        <v>258</v>
      </c>
      <c r="H86" s="2"/>
      <c r="I86" s="2"/>
      <c r="J86" s="2"/>
    </row>
    <row r="87" ht="15" customHeight="1">
      <c r="A87" s="51" t="s">
        <v>305</v>
      </c>
      <c r="B87" s="18">
        <f t="shared" si="37" ref="B87:G88">B161</f>
        <v>-24.2</v>
      </c>
      <c r="C87" s="18">
        <f t="shared" si="37"/>
        <v>-43</v>
      </c>
      <c r="D87" s="18">
        <f t="shared" si="37"/>
        <v>-73.3</v>
      </c>
      <c r="E87" s="18">
        <f t="shared" si="37"/>
        <v>-17.3</v>
      </c>
      <c r="F87" s="18">
        <f t="shared" si="37"/>
        <v>-245.5</v>
      </c>
      <c r="G87" s="42">
        <f t="shared" si="37"/>
        <v>-20</v>
      </c>
      <c r="H87" s="2"/>
      <c r="I87" s="2"/>
      <c r="J87" s="2"/>
    </row>
    <row r="88" ht="15" customHeight="1">
      <c r="A88" s="51" t="s">
        <v>306</v>
      </c>
      <c r="B88" s="18">
        <f t="shared" si="37"/>
        <v>10.6</v>
      </c>
      <c r="C88" s="18">
        <f t="shared" si="37"/>
        <v>10.6</v>
      </c>
      <c r="D88" s="18">
        <f t="shared" si="37"/>
        <v>10.7</v>
      </c>
      <c r="E88" s="18">
        <f t="shared" si="37"/>
        <v>10.7</v>
      </c>
      <c r="F88" s="18">
        <f t="shared" si="37"/>
        <v>42.6</v>
      </c>
      <c r="G88" s="42">
        <f t="shared" si="37"/>
        <v>10.7</v>
      </c>
      <c r="H88" s="2"/>
      <c r="I88" s="2"/>
      <c r="J88" s="2"/>
    </row>
    <row r="89" ht="15" customHeight="1">
      <c r="A89" s="51" t="s">
        <v>307</v>
      </c>
      <c r="B89" s="18">
        <f t="shared" si="38" ref="B89:G89">B166</f>
        <v>-36.3</v>
      </c>
      <c r="C89" s="18">
        <f t="shared" si="38"/>
        <v>-50.3</v>
      </c>
      <c r="D89" s="18">
        <f t="shared" si="38"/>
        <v>-78.5</v>
      </c>
      <c r="E89" s="18">
        <f t="shared" si="38"/>
        <v>-55.5</v>
      </c>
      <c r="F89" s="18">
        <f t="shared" si="38"/>
        <v>-224.10000000000002</v>
      </c>
      <c r="G89" s="42">
        <f t="shared" si="38"/>
        <v>-55.47</v>
      </c>
      <c r="H89" s="2"/>
      <c r="I89" s="2"/>
      <c r="J89" s="2"/>
    </row>
    <row r="90" ht="15" customHeight="1">
      <c r="A90" s="71" t="s">
        <v>308</v>
      </c>
      <c r="B90" s="49">
        <f t="shared" si="39" ref="B90:G90">B87+B88+B89</f>
        <v>-49.9</v>
      </c>
      <c r="C90" s="49">
        <f t="shared" si="39"/>
        <v>-82.69999999999999</v>
      </c>
      <c r="D90" s="49">
        <f t="shared" si="39"/>
        <v>-141.1</v>
      </c>
      <c r="E90" s="49">
        <f t="shared" si="39"/>
        <v>-62.1</v>
      </c>
      <c r="F90" s="49">
        <f t="shared" si="39"/>
        <v>-427</v>
      </c>
      <c r="G90" s="50">
        <f t="shared" si="39"/>
        <v>-64.77</v>
      </c>
      <c r="H90" s="2"/>
      <c r="I90" s="2"/>
      <c r="J90" s="2"/>
    </row>
    <row r="91" ht="15" customHeight="1">
      <c r="A91" s="51" t="s">
        <v>309</v>
      </c>
      <c r="B91" s="18">
        <f t="shared" si="40" ref="B91:G91">B158</f>
        <v>-0.5</v>
      </c>
      <c r="C91" s="18">
        <f t="shared" si="40"/>
        <v>0.3</v>
      </c>
      <c r="D91" s="18">
        <f t="shared" si="40"/>
        <v>-0.2</v>
      </c>
      <c r="E91" s="18">
        <f t="shared" si="40"/>
        <v>0.2</v>
      </c>
      <c r="F91" s="18">
        <f t="shared" si="40"/>
        <v>-0.8</v>
      </c>
      <c r="G91" s="42">
        <f t="shared" si="40"/>
        <v>0</v>
      </c>
      <c r="H91" s="2"/>
      <c r="I91" s="2"/>
      <c r="J91" s="2"/>
    </row>
    <row r="92" ht="15" customHeight="1">
      <c r="A92" s="28" t="s">
        <v>310</v>
      </c>
      <c r="B92" s="49">
        <f t="shared" si="41" ref="B92:G92">B77+B86+B90+B91</f>
        <v>867.2</v>
      </c>
      <c r="C92" s="49">
        <f t="shared" si="41"/>
        <v>913.5999999999995</v>
      </c>
      <c r="D92" s="49">
        <f t="shared" si="41"/>
        <v>901.1000000000003</v>
      </c>
      <c r="E92" s="49">
        <f t="shared" si="41"/>
        <v>1002.1</v>
      </c>
      <c r="F92" s="49">
        <f t="shared" si="41"/>
        <v>3240.2000000000003</v>
      </c>
      <c r="G92" s="50">
        <f t="shared" si="41"/>
        <v>983.9389332875</v>
      </c>
      <c r="H92" s="2"/>
      <c r="I92" s="2"/>
      <c r="J92" s="2"/>
    </row>
    <row r="93" ht="15" customHeight="1">
      <c r="A93" s="43" t="s">
        <v>34</v>
      </c>
      <c r="B93" s="44">
        <f>_xlfn.IFERROR(B92/Inputs!B111-1,"n.a.")</f>
        <v>0.29606934688387376</v>
      </c>
      <c r="C93" s="44">
        <f>_xlfn.IFERROR(C92/Inputs!C111-1,"n.a.")</f>
        <v>0.13532993662234283</v>
      </c>
      <c r="D93" s="44">
        <f>_xlfn.IFERROR(D92/Inputs!D111-1,"n.a.")</f>
        <v>0.3622071050642477</v>
      </c>
      <c r="E93" s="44">
        <f>_xlfn.IFERROR(E92/Inputs!E111-1,"n.a.")</f>
        <v>0.2559217947111163</v>
      </c>
      <c r="F93" s="44">
        <f>_xlfn.IFERROR(F92/Inputs!F111-1,"n.a.")</f>
        <v>0.22000075304040045</v>
      </c>
      <c r="G93" s="45">
        <f t="shared" si="6"/>
        <v>0.13461592860643457</v>
      </c>
      <c r="H93" s="2"/>
      <c r="I93" s="2"/>
      <c r="J93" s="2"/>
    </row>
    <row r="94" ht="15" customHeight="1">
      <c r="A94" s="43" t="s">
        <v>77</v>
      </c>
      <c r="B94" s="44">
        <f>_xlfn.IFERROR(B92/Inputs!E111-1,"n.a.")</f>
        <v>0.08685298909637784</v>
      </c>
      <c r="C94" s="46">
        <f t="shared" si="3"/>
        <v>0.05350553505534994</v>
      </c>
      <c r="D94" s="46">
        <f t="shared" si="3"/>
        <v>-0.01368213660245099</v>
      </c>
      <c r="E94" s="46">
        <f t="shared" si="3"/>
        <v>0.11208522916435437</v>
      </c>
      <c r="F94" s="46" t="s">
        <v>78</v>
      </c>
      <c r="G94" s="45">
        <f t="shared" si="24"/>
        <v>-0.0181230083948708</v>
      </c>
      <c r="H94" s="2"/>
      <c r="I94" s="2"/>
      <c r="J94" s="2"/>
    </row>
    <row r="95" ht="15" customHeight="1">
      <c r="A95" s="51" t="s">
        <v>311</v>
      </c>
      <c r="B95" s="52">
        <v>867.2</v>
      </c>
      <c r="C95" s="52">
        <v>913.6</v>
      </c>
      <c r="D95" s="52">
        <v>901.1</v>
      </c>
      <c r="E95" s="52">
        <v>1002.1</v>
      </c>
      <c r="F95" s="52">
        <v>3240.2</v>
      </c>
      <c r="G95" s="42" t="s">
        <v>78</v>
      </c>
      <c r="H95" s="2" t="s">
        <v>76</v>
      </c>
      <c r="I95" s="2"/>
      <c r="J95" s="2"/>
    </row>
    <row r="96" ht="15" customHeight="1">
      <c r="A96" s="34" t="s">
        <v>312</v>
      </c>
      <c r="B96" s="18">
        <f t="shared" si="42" ref="B96:F96">ROUND(B92-B95,6)</f>
        <v>0</v>
      </c>
      <c r="C96" s="18">
        <f t="shared" si="42"/>
        <v>0</v>
      </c>
      <c r="D96" s="18">
        <f t="shared" si="42"/>
        <v>0</v>
      </c>
      <c r="E96" s="18">
        <f t="shared" si="42"/>
        <v>0</v>
      </c>
      <c r="F96" s="18">
        <f t="shared" si="42"/>
        <v>0</v>
      </c>
      <c r="G96" s="42">
        <f>ROUND(G92-G136,6)</f>
        <v>0</v>
      </c>
      <c r="H96" s="2"/>
      <c r="I96" s="2"/>
      <c r="J96" s="2"/>
    </row>
    <row r="97" ht="15" customHeight="1">
      <c r="A97" s="28" t="s">
        <v>313</v>
      </c>
      <c r="B97" s="87">
        <f t="shared" si="43" ref="B97:G97">B92/B69</f>
        <v>2.396904367053621</v>
      </c>
      <c r="C97" s="87">
        <f t="shared" si="43"/>
        <v>2.5349611542730286</v>
      </c>
      <c r="D97" s="87">
        <f t="shared" si="43"/>
        <v>2.504446914952752</v>
      </c>
      <c r="E97" s="87">
        <f t="shared" si="43"/>
        <v>2.804645955779457</v>
      </c>
      <c r="F97" s="87">
        <f t="shared" si="43"/>
        <v>8.933553901295838</v>
      </c>
      <c r="G97" s="88">
        <f t="shared" si="43"/>
        <v>2.7589651368001684</v>
      </c>
      <c r="H97" s="2"/>
      <c r="I97" s="2"/>
      <c r="J97" s="2"/>
    </row>
    <row r="98" ht="15" customHeight="1">
      <c r="A98" s="43" t="s">
        <v>291</v>
      </c>
      <c r="B98" s="44">
        <f>_xlfn.IFERROR(B97/Inputs!B112-1,"n.a.")</f>
        <v>0.2992933999855749</v>
      </c>
      <c r="C98" s="44">
        <f>_xlfn.IFERROR(C97/Inputs!C112-1,"n.a.")</f>
        <v>0.1463556158070769</v>
      </c>
      <c r="D98" s="44">
        <f>_xlfn.IFERROR(D97/Inputs!D112-1,"n.a.")</f>
        <v>0.3803799624970112</v>
      </c>
      <c r="E98" s="44">
        <f>_xlfn.IFERROR(E97/Inputs!E112-1,"n.a.")</f>
        <v>0.2798240286994613</v>
      </c>
      <c r="F98" s="44">
        <f>_xlfn.IFERROR(F97/Inputs!F112-1,"n.a.")</f>
        <v>0.2176461885873311</v>
      </c>
      <c r="G98" s="45">
        <f>_xlfn.IFERROR(G97/B100-1,"n.a.")</f>
        <v>0.14956880700007025</v>
      </c>
      <c r="H98" s="2"/>
      <c r="I98" s="2"/>
      <c r="J98" s="2"/>
    </row>
    <row r="99" ht="15" customHeight="1">
      <c r="A99" s="51" t="s">
        <v>314</v>
      </c>
      <c r="B99" s="90">
        <f>_xlfn.IFERROR(B97-Inputs!E112,"n.a.")</f>
        <v>0.20547344148372204</v>
      </c>
      <c r="C99" s="91">
        <f t="shared" si="13"/>
        <v>0.13805678721940762</v>
      </c>
      <c r="D99" s="91">
        <f t="shared" si="13"/>
        <v>-0.030514239320276637</v>
      </c>
      <c r="E99" s="91">
        <f t="shared" si="13"/>
        <v>0.30019904082670523</v>
      </c>
      <c r="F99" s="91" t="s">
        <v>78</v>
      </c>
      <c r="G99" s="92">
        <f>_xlfn.IFERROR(G97-E100,"n.a.")</f>
        <v>-0.041034863199831406</v>
      </c>
      <c r="H99" s="2"/>
      <c r="I99" s="2"/>
      <c r="J99" s="2"/>
    </row>
    <row r="100" ht="15" customHeight="1">
      <c r="A100" s="51" t="s">
        <v>315</v>
      </c>
      <c r="B100" s="89">
        <v>2.4</v>
      </c>
      <c r="C100" s="89">
        <v>2.53</v>
      </c>
      <c r="D100" s="89">
        <v>2.5</v>
      </c>
      <c r="E100" s="89">
        <v>2.8</v>
      </c>
      <c r="F100" s="89">
        <v>8.93</v>
      </c>
      <c r="G100" s="86" t="s">
        <v>78</v>
      </c>
      <c r="H100" s="2" t="s">
        <v>76</v>
      </c>
      <c r="I100" s="2"/>
      <c r="J100" s="2"/>
    </row>
    <row r="101" ht="15" customHeight="1">
      <c r="A101" s="34" t="s">
        <v>293</v>
      </c>
      <c r="B101" s="23">
        <f t="shared" si="44" ref="B101:F101">ROUND(ROUND(B97,2)-B100,6)</f>
        <v>0</v>
      </c>
      <c r="C101" s="23">
        <f t="shared" si="44"/>
        <v>0</v>
      </c>
      <c r="D101" s="23">
        <f t="shared" si="44"/>
        <v>0</v>
      </c>
      <c r="E101" s="23">
        <f t="shared" si="44"/>
        <v>0</v>
      </c>
      <c r="F101" s="23">
        <f t="shared" si="44"/>
        <v>0</v>
      </c>
      <c r="G101" s="86">
        <f>ROUND(G97-G92/G69,9)</f>
        <v>0</v>
      </c>
      <c r="H101" s="2"/>
      <c r="I101" s="2"/>
      <c r="J101" s="2"/>
    </row>
    <row r="102" ht="15" customHeight="1">
      <c r="A102" s="2" t="s">
        <v>316</v>
      </c>
      <c r="B102" s="22">
        <f>Inputs!C323</f>
        <v>1.99</v>
      </c>
      <c r="C102" s="22">
        <f>Inputs!C324</f>
        <v>2.27</v>
      </c>
      <c r="D102" s="22">
        <f>Inputs!C325</f>
        <v>2.11</v>
      </c>
      <c r="E102" s="22">
        <f>Inputs!C326</f>
        <v>2.5</v>
      </c>
      <c r="F102" s="23" t="s">
        <v>78</v>
      </c>
      <c r="G102" s="93">
        <f>Inputs!B263</f>
        <v>2.64</v>
      </c>
      <c r="H102" s="2" t="s">
        <v>317</v>
      </c>
      <c r="I102" s="2"/>
      <c r="J102" s="2"/>
    </row>
    <row r="103" ht="15" customHeight="1">
      <c r="A103" s="51" t="s">
        <v>318</v>
      </c>
      <c r="B103" s="23">
        <f t="shared" si="45" ref="B103:G103">B97-B102</f>
        <v>0.406904367053621</v>
      </c>
      <c r="C103" s="23">
        <f t="shared" si="45"/>
        <v>0.2649611542730286</v>
      </c>
      <c r="D103" s="23">
        <f t="shared" si="45"/>
        <v>0.3944469149527521</v>
      </c>
      <c r="E103" s="23">
        <f t="shared" si="45"/>
        <v>0.3046459557794572</v>
      </c>
      <c r="F103" s="23" t="s">
        <v>78</v>
      </c>
      <c r="G103" s="86">
        <f t="shared" si="45"/>
        <v>0.11896513680016829</v>
      </c>
      <c r="H103" s="2"/>
      <c r="I103" s="2"/>
      <c r="J103" s="2"/>
    </row>
    <row r="104" ht="15" customHeight="1">
      <c r="A104" s="51" t="s">
        <v>319</v>
      </c>
      <c r="B104" s="23">
        <f t="shared" si="46" ref="B104:G104">B97-B71</f>
        <v>0.449972360420122</v>
      </c>
      <c r="C104" s="23">
        <f t="shared" si="46"/>
        <v>0.3296337402885676</v>
      </c>
      <c r="D104" s="23">
        <f t="shared" si="46"/>
        <v>0.2212340188993882</v>
      </c>
      <c r="E104" s="23">
        <f t="shared" si="46"/>
        <v>0.5149734116988522</v>
      </c>
      <c r="F104" s="23">
        <f t="shared" si="46"/>
        <v>1.0592776399228008</v>
      </c>
      <c r="G104" s="86">
        <f t="shared" si="46"/>
        <v>0.5418169922422655</v>
      </c>
      <c r="H104" s="2"/>
      <c r="I104" s="2"/>
      <c r="J104" s="2"/>
    </row>
    <row r="105" ht="15" customHeight="1">
      <c r="A105" s="2"/>
      <c r="B105" s="2"/>
      <c r="C105" s="2"/>
      <c r="D105" s="2"/>
      <c r="E105" s="2"/>
      <c r="F105" s="2"/>
      <c r="G105" s="40"/>
      <c r="H105" s="2"/>
      <c r="I105" s="2"/>
      <c r="J105" s="2"/>
    </row>
    <row r="106" ht="15" customHeight="1">
      <c r="A106" s="30" t="s">
        <v>320</v>
      </c>
      <c r="B106" s="30"/>
      <c r="C106" s="30"/>
      <c r="D106" s="30"/>
      <c r="E106" s="30"/>
      <c r="F106" s="30"/>
      <c r="G106" s="41"/>
      <c r="H106" s="30"/>
      <c r="I106" s="2"/>
      <c r="J106" s="2"/>
    </row>
    <row r="107" ht="15" customHeight="1">
      <c r="A107" s="28" t="s">
        <v>321</v>
      </c>
      <c r="B107" s="49">
        <f t="shared" si="47" ref="B107:F107">B20+B144+B145+B146+B147</f>
        <v>1703.8</v>
      </c>
      <c r="C107" s="49">
        <f t="shared" si="47"/>
        <v>1942.1</v>
      </c>
      <c r="D107" s="49">
        <f t="shared" si="47"/>
        <v>1879.1000000000001</v>
      </c>
      <c r="E107" s="49">
        <f t="shared" si="47"/>
        <v>2023.9</v>
      </c>
      <c r="F107" s="49">
        <f t="shared" si="47"/>
        <v>6799.6</v>
      </c>
      <c r="G107" s="50">
        <f>G13*G109</f>
        <v>2015.5802365</v>
      </c>
      <c r="H107" s="2"/>
      <c r="I107" s="2"/>
      <c r="J107" s="2"/>
    </row>
    <row r="108" ht="15" customHeight="1">
      <c r="A108" s="43" t="s">
        <v>34</v>
      </c>
      <c r="B108" s="44">
        <f>_xlfn.IFERROR(B107/Inputs!B105-1,"n.a.")</f>
        <v>0.21025713879812447</v>
      </c>
      <c r="C108" s="44">
        <f>_xlfn.IFERROR(C107/Inputs!C105-1,"n.a.")</f>
        <v>0.15711391801715902</v>
      </c>
      <c r="D108" s="44">
        <f>_xlfn.IFERROR(D107/Inputs!D105-1,"n.a.")</f>
        <v>0.25557931310971527</v>
      </c>
      <c r="E108" s="44">
        <f>_xlfn.IFERROR(E107/Inputs!E105-1,"n.a.")</f>
        <v>0.22135055216945276</v>
      </c>
      <c r="F108" s="44">
        <f>_xlfn.IFERROR(F107/Inputs!F105-1,"n.a.")</f>
        <v>0.17823600762432834</v>
      </c>
      <c r="G108" s="45">
        <f t="shared" si="6"/>
        <v>0.1829911001878155</v>
      </c>
      <c r="H108" s="2"/>
      <c r="I108" s="2"/>
      <c r="J108" s="2"/>
    </row>
    <row r="109" ht="15" customHeight="1">
      <c r="A109" s="31" t="s">
        <v>322</v>
      </c>
      <c r="B109" s="19">
        <f t="shared" si="48" ref="B109:F109">B107/B13</f>
        <v>0.6801325296395353</v>
      </c>
      <c r="C109" s="19">
        <f t="shared" si="48"/>
        <v>0.6775870490544973</v>
      </c>
      <c r="D109" s="19">
        <f t="shared" si="48"/>
        <v>0.6781795871228526</v>
      </c>
      <c r="E109" s="19">
        <f t="shared" si="48"/>
        <v>0.699754520623725</v>
      </c>
      <c r="F109" s="19">
        <f t="shared" si="48"/>
        <v>0.67558893956104</v>
      </c>
      <c r="G109" s="94">
        <f>Guidance!F25</f>
        <v>0.685</v>
      </c>
      <c r="H109" s="2"/>
      <c r="I109" s="2"/>
      <c r="J109" s="2"/>
    </row>
    <row r="110" ht="15" customHeight="1">
      <c r="A110" s="43" t="s">
        <v>107</v>
      </c>
      <c r="B110" s="58">
        <f>_xlfn.IFERROR((B109-Inputs!B140)*10000,"n.a.")</f>
        <v>-106.08847132948962</v>
      </c>
      <c r="C110" s="58">
        <f>_xlfn.IFERROR((C109-Inputs!C140)*10000,"n.a.")</f>
        <v>-178.34537852484345</v>
      </c>
      <c r="D110" s="58">
        <f>_xlfn.IFERROR((D109-Inputs!D140)*10000,"n.a.")</f>
        <v>140.27638955638633</v>
      </c>
      <c r="E110" s="58">
        <f>_xlfn.IFERROR((E109-Inputs!E140)*10000,"n.a.")</f>
        <v>206.15176361429954</v>
      </c>
      <c r="F110" s="58">
        <f>_xlfn.IFERROR((F109-Inputs!F140)*10000,"n.a.")</f>
        <v>-153.75009625392178</v>
      </c>
      <c r="G110" s="59">
        <f t="shared" si="10"/>
        <v>48.67470360464754</v>
      </c>
      <c r="H110" s="2"/>
      <c r="I110" s="2"/>
      <c r="J110" s="2"/>
    </row>
    <row r="111" ht="15" customHeight="1">
      <c r="A111" s="43" t="s">
        <v>108</v>
      </c>
      <c r="B111" s="58">
        <f>_xlfn.IFERROR((B109-Inputs!E140)*10000,"n.a.")</f>
        <v>9.931853772402466</v>
      </c>
      <c r="C111" s="60">
        <f t="shared" si="8"/>
        <v>-25.45480585038007</v>
      </c>
      <c r="D111" s="60">
        <f t="shared" si="8"/>
        <v>5.925380683553527</v>
      </c>
      <c r="E111" s="60">
        <f t="shared" si="8"/>
        <v>215.74933500872362</v>
      </c>
      <c r="F111" s="60" t="s">
        <v>78</v>
      </c>
      <c r="G111" s="59">
        <f t="shared" si="11"/>
        <v>-147.54520623724954</v>
      </c>
      <c r="H111" s="2"/>
      <c r="I111" s="2"/>
      <c r="J111" s="2"/>
    </row>
    <row r="112" ht="15" customHeight="1">
      <c r="A112" s="2" t="s">
        <v>323</v>
      </c>
      <c r="B112" s="18">
        <f t="shared" si="49" ref="B112:F112">B32-(B148+B149+B150+B151+B152+B153+B154)</f>
        <v>476.7</v>
      </c>
      <c r="C112" s="18">
        <f t="shared" si="49"/>
        <v>599.3000000000001</v>
      </c>
      <c r="D112" s="18">
        <f t="shared" si="49"/>
        <v>522.5</v>
      </c>
      <c r="E112" s="18">
        <f t="shared" si="49"/>
        <v>522.1</v>
      </c>
      <c r="F112" s="18">
        <f t="shared" si="49"/>
        <v>2030.6</v>
      </c>
      <c r="G112" s="42">
        <f t="shared" si="51" ref="G112:G115">B112*(1+G113)</f>
        <v>524.37</v>
      </c>
      <c r="H112" s="2"/>
      <c r="I112" s="2"/>
      <c r="J112" s="2"/>
    </row>
    <row r="113" ht="15" customHeight="1">
      <c r="A113" s="43" t="s">
        <v>100</v>
      </c>
      <c r="B113" s="44">
        <f>_xlfn.IFERROR(B112/Inputs!B106-1,"n.a.")</f>
        <v>0.10168708111855773</v>
      </c>
      <c r="C113" s="44">
        <f>_xlfn.IFERROR(C112/Inputs!C106-1,"n.a.")</f>
        <v>0.14764458062045205</v>
      </c>
      <c r="D113" s="44">
        <f>_xlfn.IFERROR(D112/Inputs!D106-1,"n.a.")</f>
        <v>0.0835752799668188</v>
      </c>
      <c r="E113" s="44">
        <f>_xlfn.IFERROR(E112/Inputs!E106-1,"n.a.")</f>
        <v>0.10520745131244702</v>
      </c>
      <c r="F113" s="44">
        <f>_xlfn.IFERROR(F112/Inputs!F106-1,"n.a.")</f>
        <v>0.11866460996033479</v>
      </c>
      <c r="G113" s="54">
        <v>0.1</v>
      </c>
      <c r="H113" s="2"/>
      <c r="I113" s="2"/>
      <c r="J113" s="2"/>
    </row>
    <row r="114" ht="15" customHeight="1">
      <c r="A114" s="51" t="s">
        <v>101</v>
      </c>
      <c r="B114" s="55">
        <f>_xlfn.IFERROR(B112-Inputs!E106,"n.a.")</f>
        <v>4.2999999999999545</v>
      </c>
      <c r="C114" s="56">
        <f t="shared" si="13"/>
        <v>122.60000000000008</v>
      </c>
      <c r="D114" s="56">
        <f t="shared" si="13"/>
        <v>-76.80000000000007</v>
      </c>
      <c r="E114" s="56">
        <f t="shared" si="13"/>
        <v>-0.39999999999997726</v>
      </c>
      <c r="F114" s="56" t="s">
        <v>78</v>
      </c>
      <c r="G114" s="57">
        <f t="shared" si="15"/>
        <v>2.269999999999982</v>
      </c>
      <c r="H114" s="2"/>
      <c r="I114" s="2"/>
      <c r="J114" s="2"/>
    </row>
    <row r="115" ht="15" customHeight="1">
      <c r="A115" s="2" t="s">
        <v>324</v>
      </c>
      <c r="B115" s="18">
        <f t="shared" si="50" ref="B115:F115">B38-(B155+B156)</f>
        <v>251.2</v>
      </c>
      <c r="C115" s="18">
        <f t="shared" si="50"/>
        <v>272.4</v>
      </c>
      <c r="D115" s="18">
        <f t="shared" si="50"/>
        <v>279.79999999999995</v>
      </c>
      <c r="E115" s="18">
        <f t="shared" si="50"/>
        <v>283.8</v>
      </c>
      <c r="F115" s="18">
        <f t="shared" si="50"/>
        <v>1008.5999999999999</v>
      </c>
      <c r="G115" s="42">
        <f t="shared" si="51"/>
        <v>295.16</v>
      </c>
      <c r="H115" s="2"/>
      <c r="I115" s="2"/>
      <c r="J115" s="2"/>
    </row>
    <row r="116" ht="15" customHeight="1">
      <c r="A116" s="43" t="s">
        <v>100</v>
      </c>
      <c r="B116" s="44">
        <f>_xlfn.IFERROR(B115/Inputs!B107-1,"n.a.")</f>
        <v>0.14078110808356037</v>
      </c>
      <c r="C116" s="44">
        <f>_xlfn.IFERROR(C115/Inputs!C107-1,"n.a.")</f>
        <v>0.19212253829321657</v>
      </c>
      <c r="D116" s="44">
        <f>_xlfn.IFERROR(D115/Inputs!D107-1,"n.a.")</f>
        <v>0.13325232887808824</v>
      </c>
      <c r="E116" s="44">
        <f>_xlfn.IFERROR(E115/Inputs!E107-1,"n.a.")</f>
        <v>0.1919361612767745</v>
      </c>
      <c r="F116" s="44">
        <f>_xlfn.IFERROR(F115/Inputs!F107-1,"n.a.")</f>
        <v>0.13440557867506464</v>
      </c>
      <c r="G116" s="54">
        <v>0.175</v>
      </c>
      <c r="H116" s="2"/>
      <c r="I116" s="2"/>
      <c r="J116" s="2"/>
    </row>
    <row r="117" ht="15" customHeight="1">
      <c r="A117" s="51" t="s">
        <v>101</v>
      </c>
      <c r="B117" s="55">
        <f>_xlfn.IFERROR(B115-Inputs!E107,"n.a.")</f>
        <v>13.099999999999966</v>
      </c>
      <c r="C117" s="56">
        <f t="shared" si="13"/>
        <v>21.19999999999999</v>
      </c>
      <c r="D117" s="56">
        <f t="shared" si="13"/>
        <v>7.399999999999977</v>
      </c>
      <c r="E117" s="56">
        <f t="shared" si="13"/>
        <v>4.000000000000057</v>
      </c>
      <c r="F117" s="56" t="s">
        <v>78</v>
      </c>
      <c r="G117" s="57">
        <f t="shared" si="15"/>
        <v>11.360000000000014</v>
      </c>
      <c r="H117" s="2"/>
      <c r="I117" s="2"/>
      <c r="J117" s="2"/>
    </row>
    <row r="118" ht="15" customHeight="1">
      <c r="A118" s="28" t="s">
        <v>325</v>
      </c>
      <c r="B118" s="49">
        <f t="shared" si="52" ref="B118:G118">B112+B115</f>
        <v>727.9</v>
      </c>
      <c r="C118" s="49">
        <f t="shared" si="52"/>
        <v>871.7</v>
      </c>
      <c r="D118" s="49">
        <f t="shared" si="52"/>
        <v>802.3</v>
      </c>
      <c r="E118" s="49">
        <f t="shared" si="52"/>
        <v>805.9000000000001</v>
      </c>
      <c r="F118" s="49">
        <f t="shared" si="52"/>
        <v>3039.2</v>
      </c>
      <c r="G118" s="50">
        <f t="shared" si="52"/>
        <v>819.53</v>
      </c>
      <c r="H118" s="2"/>
      <c r="I118" s="2"/>
      <c r="J118" s="2"/>
    </row>
    <row r="119" ht="15" customHeight="1">
      <c r="A119" s="43" t="s">
        <v>34</v>
      </c>
      <c r="B119" s="44">
        <f>_xlfn.IFERROR(B118/Inputs!B108-1,"n.a.")</f>
        <v>0.11487210905192202</v>
      </c>
      <c r="C119" s="44">
        <f>_xlfn.IFERROR(C118/Inputs!C108-1,"n.a.")</f>
        <v>0.16118289596376711</v>
      </c>
      <c r="D119" s="44">
        <f>_xlfn.IFERROR(D118/Inputs!D108-1,"n.a.")</f>
        <v>0.10039775065148815</v>
      </c>
      <c r="E119" s="44">
        <f>_xlfn.IFERROR(E118/Inputs!E108-1,"n.a.")</f>
        <v>0.13427163969035893</v>
      </c>
      <c r="F119" s="44">
        <f>_xlfn.IFERROR(F118/Inputs!F108-1,"n.a.")</f>
        <v>0.12383981067189276</v>
      </c>
      <c r="G119" s="45">
        <f t="shared" si="6"/>
        <v>0.12588267619178461</v>
      </c>
      <c r="H119" s="2"/>
      <c r="I119" s="2"/>
      <c r="J119" s="2"/>
    </row>
    <row r="120" ht="15" customHeight="1">
      <c r="A120" s="28" t="s">
        <v>326</v>
      </c>
      <c r="B120" s="49">
        <f t="shared" si="53" ref="B120:G120">B107-B118</f>
        <v>975.9</v>
      </c>
      <c r="C120" s="49">
        <f t="shared" si="53"/>
        <v>1070.3999999999999</v>
      </c>
      <c r="D120" s="49">
        <f t="shared" si="53"/>
        <v>1076.8000000000002</v>
      </c>
      <c r="E120" s="49">
        <f t="shared" si="53"/>
        <v>1218</v>
      </c>
      <c r="F120" s="49">
        <f t="shared" si="53"/>
        <v>3760.4000000000005</v>
      </c>
      <c r="G120" s="50">
        <f t="shared" si="53"/>
        <v>1196.0502365</v>
      </c>
      <c r="H120" s="2"/>
      <c r="I120" s="2"/>
      <c r="J120" s="2"/>
    </row>
    <row r="121" ht="15" customHeight="1">
      <c r="A121" s="43" t="s">
        <v>34</v>
      </c>
      <c r="B121" s="44">
        <f>_xlfn.IFERROR(B120/Inputs!B109-1,"n.a.")</f>
        <v>0.29275400715326505</v>
      </c>
      <c r="C121" s="44">
        <f>_xlfn.IFERROR(C120/Inputs!C109-1,"n.a.")</f>
        <v>0.15382127843052684</v>
      </c>
      <c r="D121" s="44">
        <f>_xlfn.IFERROR(D120/Inputs!D109-1,"n.a.")</f>
        <v>0.4029967426710095</v>
      </c>
      <c r="E121" s="44">
        <f>_xlfn.IFERROR(E120/Inputs!E109-1,"n.a.")</f>
        <v>0.28671033171350113</v>
      </c>
      <c r="F121" s="44">
        <f>_xlfn.IFERROR(F120/Inputs!F109-1,"n.a.")</f>
        <v>0.22620406299931517</v>
      </c>
      <c r="G121" s="45">
        <f t="shared" si="6"/>
        <v>0.22558688031560603</v>
      </c>
      <c r="H121" s="2"/>
      <c r="I121" s="2"/>
      <c r="J121" s="2"/>
    </row>
    <row r="122" ht="15" customHeight="1">
      <c r="A122" s="31" t="s">
        <v>327</v>
      </c>
      <c r="B122" s="19">
        <f t="shared" si="54" ref="B122:G122">B120/B13</f>
        <v>0.3895652868148976</v>
      </c>
      <c r="C122" s="19">
        <f t="shared" si="54"/>
        <v>0.3734561440234457</v>
      </c>
      <c r="D122" s="19">
        <f t="shared" si="54"/>
        <v>0.3886242240508157</v>
      </c>
      <c r="E122" s="19">
        <f t="shared" si="54"/>
        <v>0.4211181412716523</v>
      </c>
      <c r="F122" s="19">
        <f t="shared" si="54"/>
        <v>0.3736226613808658</v>
      </c>
      <c r="G122" s="47">
        <f t="shared" si="54"/>
        <v>0.4064806734884355</v>
      </c>
      <c r="H122" s="2"/>
      <c r="I122" s="2"/>
      <c r="J122" s="2"/>
    </row>
    <row r="123" ht="15" customHeight="1">
      <c r="A123" s="43" t="s">
        <v>107</v>
      </c>
      <c r="B123" s="58">
        <f>_xlfn.IFERROR((B122-Inputs!B141)*10000,"n.a.")</f>
        <v>191.7129240834242</v>
      </c>
      <c r="C123" s="58">
        <f>_xlfn.IFERROR((C122-Inputs!C141)*10000,"n.a.")</f>
        <v>-109.23387776844373</v>
      </c>
      <c r="D123" s="58">
        <f>_xlfn.IFERROR((D122-Inputs!D141)*10000,"n.a.")</f>
        <v>480.27791992592495</v>
      </c>
      <c r="E123" s="58">
        <f>_xlfn.IFERROR((E122-Inputs!E141)*10000,"n.a.")</f>
        <v>331.6732159952118</v>
      </c>
      <c r="F123" s="58">
        <f>_xlfn.IFERROR((F122-Inputs!F141)*10000,"n.a.")</f>
        <v>64.45544248647516</v>
      </c>
      <c r="G123" s="59">
        <f t="shared" si="10"/>
        <v>169.1538667353787</v>
      </c>
      <c r="H123" s="2"/>
      <c r="I123" s="2"/>
      <c r="J123" s="2"/>
    </row>
    <row r="124" ht="15" customHeight="1">
      <c r="A124" s="43" t="s">
        <v>108</v>
      </c>
      <c r="B124" s="58">
        <f>_xlfn.IFERROR((B122-Inputs!E141)*10000,"n.a.")</f>
        <v>16.144671427664736</v>
      </c>
      <c r="C124" s="60">
        <f t="shared" si="8"/>
        <v>-161.09142791451924</v>
      </c>
      <c r="D124" s="60">
        <f t="shared" si="8"/>
        <v>151.68080027370024</v>
      </c>
      <c r="E124" s="60">
        <f t="shared" si="8"/>
        <v>324.9391722083661</v>
      </c>
      <c r="F124" s="60" t="s">
        <v>78</v>
      </c>
      <c r="G124" s="59">
        <f t="shared" si="11"/>
        <v>-146.3746778321684</v>
      </c>
      <c r="H124" s="2"/>
      <c r="I124" s="2"/>
      <c r="J124" s="2"/>
    </row>
    <row r="125" ht="15" customHeight="1">
      <c r="A125" s="2" t="s">
        <v>328</v>
      </c>
      <c r="B125" s="18">
        <f t="shared" si="55" ref="B125:F125">B51+B157</f>
        <v>92.5</v>
      </c>
      <c r="C125" s="18">
        <f t="shared" si="55"/>
        <v>86.39999999999999</v>
      </c>
      <c r="D125" s="18">
        <f t="shared" si="55"/>
        <v>84.5</v>
      </c>
      <c r="E125" s="18">
        <f t="shared" si="55"/>
        <v>82.5</v>
      </c>
      <c r="F125" s="18">
        <f t="shared" si="55"/>
        <v>363.00000000000006</v>
      </c>
      <c r="G125" s="53">
        <v>80</v>
      </c>
      <c r="H125" s="2"/>
      <c r="I125" s="2"/>
      <c r="J125" s="2"/>
    </row>
    <row r="126" ht="15" customHeight="1">
      <c r="A126" s="43" t="s">
        <v>34</v>
      </c>
      <c r="B126" s="44">
        <f>_xlfn.IFERROR(B125/Inputs!B172-1,"n.a.")</f>
        <v>-0.022198731501057223</v>
      </c>
      <c r="C126" s="44">
        <f>_xlfn.IFERROR(C125/Inputs!C172-1,"n.a.")</f>
        <v>-0.013698630136986467</v>
      </c>
      <c r="D126" s="44">
        <f>_xlfn.IFERROR(D125/Inputs!D172-1,"n.a.")</f>
        <v>-0.0714285714285714</v>
      </c>
      <c r="E126" s="44">
        <f>_xlfn.IFERROR(E125/Inputs!E172-1,"n.a.")</f>
        <v>-0.11385606874328691</v>
      </c>
      <c r="F126" s="44">
        <f>_xlfn.IFERROR(F125/Inputs!F172-1,"n.a.")</f>
        <v>0.08650104759054211</v>
      </c>
      <c r="G126" s="45">
        <f t="shared" si="6"/>
        <v>-0.1351351351351351</v>
      </c>
      <c r="H126" s="2"/>
      <c r="I126" s="2"/>
      <c r="J126" s="2"/>
    </row>
    <row r="127" ht="15" customHeight="1">
      <c r="A127" s="51" t="s">
        <v>101</v>
      </c>
      <c r="B127" s="55">
        <f>_xlfn.IFERROR(B125-Inputs!E172,"n.a.")</f>
        <v>-0.6000000000000085</v>
      </c>
      <c r="C127" s="56">
        <f t="shared" si="13"/>
        <v>-6.1000000000000085</v>
      </c>
      <c r="D127" s="56">
        <f t="shared" si="13"/>
        <v>-1.8999999999999915</v>
      </c>
      <c r="E127" s="56">
        <f t="shared" si="13"/>
        <v>-2</v>
      </c>
      <c r="F127" s="56" t="s">
        <v>78</v>
      </c>
      <c r="G127" s="57">
        <f t="shared" si="15"/>
        <v>-2.5</v>
      </c>
      <c r="H127" s="2"/>
      <c r="I127" s="2"/>
      <c r="J127" s="2"/>
    </row>
    <row r="128" ht="15" customHeight="1">
      <c r="A128" s="28" t="s">
        <v>329</v>
      </c>
      <c r="B128" s="49">
        <f t="shared" si="20"/>
        <v>1068.4</v>
      </c>
      <c r="C128" s="49">
        <f t="shared" si="20"/>
        <v>1156.8</v>
      </c>
      <c r="D128" s="49">
        <f t="shared" si="20"/>
        <v>1161.3000000000002</v>
      </c>
      <c r="E128" s="49">
        <f t="shared" si="20"/>
        <v>1300.5</v>
      </c>
      <c r="F128" s="49">
        <f t="shared" si="20"/>
        <v>4123.400000000001</v>
      </c>
      <c r="G128" s="50">
        <f t="shared" si="20"/>
        <v>1276.0502365</v>
      </c>
      <c r="H128" s="2"/>
      <c r="I128" s="2"/>
      <c r="J128" s="2"/>
    </row>
    <row r="129" ht="15" customHeight="1">
      <c r="A129" s="2" t="s">
        <v>330</v>
      </c>
      <c r="B129" s="18">
        <f t="shared" si="56" ref="B129:F129">B56-B90</f>
        <v>195.9</v>
      </c>
      <c r="C129" s="18">
        <f t="shared" si="56"/>
        <v>238.79999999999998</v>
      </c>
      <c r="D129" s="18">
        <f t="shared" si="56"/>
        <v>255.5</v>
      </c>
      <c r="E129" s="18">
        <f t="shared" si="56"/>
        <v>293.5</v>
      </c>
      <c r="F129" s="18">
        <f t="shared" si="56"/>
        <v>861.8</v>
      </c>
      <c r="G129" s="42">
        <f>G128*G130</f>
        <v>287.1113032125</v>
      </c>
      <c r="H129" s="2"/>
      <c r="I129" s="2"/>
      <c r="J129" s="2"/>
    </row>
    <row r="130" ht="15" customHeight="1">
      <c r="A130" s="31" t="s">
        <v>331</v>
      </c>
      <c r="B130" s="19">
        <f t="shared" si="57" ref="B130:F130">B129/B128</f>
        <v>0.18335829277424184</v>
      </c>
      <c r="C130" s="19">
        <f t="shared" si="57"/>
        <v>0.20643153526970953</v>
      </c>
      <c r="D130" s="19">
        <f t="shared" si="57"/>
        <v>0.2200120554550934</v>
      </c>
      <c r="E130" s="19">
        <f t="shared" si="57"/>
        <v>0.22568242983467898</v>
      </c>
      <c r="F130" s="19">
        <f t="shared" si="57"/>
        <v>0.2090022796721152</v>
      </c>
      <c r="G130" s="94">
        <f>Guidance!F29</f>
        <v>0.225</v>
      </c>
      <c r="H130" s="2"/>
      <c r="I130" s="2"/>
      <c r="J130" s="2"/>
    </row>
    <row r="131" ht="15" customHeight="1">
      <c r="A131" s="43" t="s">
        <v>107</v>
      </c>
      <c r="B131" s="58">
        <f>_xlfn.IFERROR((B130-Inputs!B143)*10000,"n.a.")</f>
        <v>-219.38940892620994</v>
      </c>
      <c r="C131" s="58">
        <f>_xlfn.IFERROR((C130-Inputs!C143)*10000,"n.a.")</f>
        <v>17.629644039555693</v>
      </c>
      <c r="D131" s="58">
        <f>_xlfn.IFERROR((D130-Inputs!D143)*10000,"n.a.")</f>
        <v>-29.349451273177063</v>
      </c>
      <c r="E131" s="58">
        <f>_xlfn.IFERROR((E130-Inputs!E143)*10000,"n.a.")</f>
        <v>-10.17579783480077</v>
      </c>
      <c r="F131" s="58">
        <f>_xlfn.IFERROR((F130-Inputs!F143)*10000,"n.a.")</f>
        <v>-50.06188923509291</v>
      </c>
      <c r="G131" s="59">
        <f t="shared" si="10"/>
        <v>416.4170722575816</v>
      </c>
      <c r="H131" s="2"/>
      <c r="I131" s="2"/>
      <c r="J131" s="2"/>
    </row>
    <row r="132" ht="15" customHeight="1">
      <c r="A132" s="43" t="s">
        <v>108</v>
      </c>
      <c r="B132" s="58">
        <f>_xlfn.IFERROR((B130-Inputs!E143)*10000,"n.a.")</f>
        <v>-433.41716843917214</v>
      </c>
      <c r="C132" s="60">
        <f t="shared" si="8"/>
        <v>230.73242495467687</v>
      </c>
      <c r="D132" s="60">
        <f t="shared" si="8"/>
        <v>135.8052018538386</v>
      </c>
      <c r="E132" s="60">
        <f t="shared" si="8"/>
        <v>56.70374379585591</v>
      </c>
      <c r="F132" s="60" t="s">
        <v>78</v>
      </c>
      <c r="G132" s="59">
        <f t="shared" si="11"/>
        <v>-6.82429834678977</v>
      </c>
      <c r="H132" s="2"/>
      <c r="I132" s="2"/>
      <c r="J132" s="2"/>
    </row>
    <row r="133" ht="15" customHeight="1">
      <c r="A133" s="2" t="s">
        <v>332</v>
      </c>
      <c r="B133" s="18">
        <f t="shared" si="58" ref="B133:F133">B61-B158</f>
        <v>5.3</v>
      </c>
      <c r="C133" s="18">
        <f t="shared" si="58"/>
        <v>4.4</v>
      </c>
      <c r="D133" s="18">
        <f t="shared" si="58"/>
        <v>4.7</v>
      </c>
      <c r="E133" s="18">
        <f t="shared" si="58"/>
        <v>4.8999999999999995</v>
      </c>
      <c r="F133" s="18">
        <f t="shared" si="58"/>
        <v>21.4</v>
      </c>
      <c r="G133" s="53">
        <v>5</v>
      </c>
      <c r="H133" s="2"/>
      <c r="I133" s="2"/>
      <c r="J133" s="2"/>
    </row>
    <row r="134" ht="15" customHeight="1">
      <c r="A134" s="43" t="s">
        <v>34</v>
      </c>
      <c r="B134" s="44">
        <f>_xlfn.IFERROR(B133/Inputs!B173-1,"n.a.")</f>
        <v>-0.1166666666666667</v>
      </c>
      <c r="C134" s="44">
        <f>_xlfn.IFERROR(C133/Inputs!C173-1,"n.a.")</f>
        <v>0.5714285714285716</v>
      </c>
      <c r="D134" s="44">
        <f>_xlfn.IFERROR(D133/Inputs!D173-1,"n.a.")</f>
        <v>-0.1607142857142856</v>
      </c>
      <c r="E134" s="44">
        <f>_xlfn.IFERROR(E133/Inputs!E173-1,"n.a.")</f>
        <v>-0.19672131147540983</v>
      </c>
      <c r="F134" s="44">
        <f>_xlfn.IFERROR(F133/Inputs!F173-1,"n.a.")</f>
        <v>0.2514619883040934</v>
      </c>
      <c r="G134" s="45">
        <f t="shared" si="6"/>
        <v>-0.05660377358490565</v>
      </c>
      <c r="H134" s="2"/>
      <c r="I134" s="2"/>
      <c r="J134" s="2"/>
    </row>
    <row r="135" ht="15" customHeight="1">
      <c r="A135" s="51" t="s">
        <v>101</v>
      </c>
      <c r="B135" s="55">
        <f>_xlfn.IFERROR(B133-Inputs!E173,"n.a.")</f>
        <v>-0.7999999999999998</v>
      </c>
      <c r="C135" s="56">
        <f t="shared" si="13"/>
        <v>-0.8999999999999995</v>
      </c>
      <c r="D135" s="56">
        <f t="shared" si="13"/>
        <v>0.2999999999999998</v>
      </c>
      <c r="E135" s="56">
        <f t="shared" si="13"/>
        <v>0.1999999999999993</v>
      </c>
      <c r="F135" s="56" t="s">
        <v>78</v>
      </c>
      <c r="G135" s="57">
        <f t="shared" si="15"/>
        <v>0.10000000000000053</v>
      </c>
      <c r="H135" s="2"/>
      <c r="I135" s="2"/>
      <c r="J135" s="2"/>
    </row>
    <row r="136" ht="15" customHeight="1">
      <c r="A136" s="28" t="s">
        <v>333</v>
      </c>
      <c r="B136" s="49">
        <f t="shared" si="59" ref="B136:G136">B128-B129-B133</f>
        <v>867.2000000000002</v>
      </c>
      <c r="C136" s="49">
        <f t="shared" si="59"/>
        <v>913.6</v>
      </c>
      <c r="D136" s="49">
        <f t="shared" si="59"/>
        <v>901.1000000000001</v>
      </c>
      <c r="E136" s="49">
        <f t="shared" si="59"/>
        <v>1002.1</v>
      </c>
      <c r="F136" s="49">
        <f t="shared" si="59"/>
        <v>3240.2000000000003</v>
      </c>
      <c r="G136" s="50">
        <f t="shared" si="59"/>
        <v>983.9389332875</v>
      </c>
      <c r="H136" s="2"/>
      <c r="I136" s="2"/>
      <c r="J136" s="2"/>
    </row>
    <row r="137" ht="15" customHeight="1">
      <c r="A137" s="31" t="s">
        <v>334</v>
      </c>
      <c r="B137" s="19">
        <f t="shared" si="60" ref="B137:G137">B136/B13</f>
        <v>0.3461738054369088</v>
      </c>
      <c r="C137" s="19">
        <f t="shared" si="60"/>
        <v>0.31874956388249254</v>
      </c>
      <c r="D137" s="19">
        <f t="shared" si="60"/>
        <v>0.32521293489244985</v>
      </c>
      <c r="E137" s="19">
        <f t="shared" si="60"/>
        <v>0.34647166614804825</v>
      </c>
      <c r="F137" s="19">
        <f t="shared" si="60"/>
        <v>0.32193706717537535</v>
      </c>
      <c r="G137" s="47">
        <f t="shared" si="60"/>
        <v>0.3343941149533779</v>
      </c>
      <c r="H137" s="2"/>
      <c r="I137" s="2"/>
      <c r="J137" s="2"/>
    </row>
    <row r="138" ht="15" customHeight="1">
      <c r="A138" s="43" t="s">
        <v>107</v>
      </c>
      <c r="B138" s="58">
        <f>_xlfn.IFERROR((B137-Inputs!B168)*10000,"n.a.")</f>
        <v>178.7784351158611</v>
      </c>
      <c r="C138" s="58">
        <f>_xlfn.IFERROR((C137-Inputs!C168)*10000,"n.a.")</f>
        <v>-146.6663665614437</v>
      </c>
      <c r="D138" s="58">
        <f>_xlfn.IFERROR((D137-Inputs!D168)*10000,"n.a.")</f>
        <v>316.5653123575318</v>
      </c>
      <c r="E138" s="58">
        <f>_xlfn.IFERROR((E137-Inputs!E168)*10000,"n.a.")</f>
        <v>194.63469426736714</v>
      </c>
      <c r="F138" s="58">
        <f>_xlfn.IFERROR((F137-Inputs!F168)*10000,"n.a.")</f>
        <v>39.45184894272313</v>
      </c>
      <c r="G138" s="59">
        <f t="shared" si="10"/>
        <v>-117.79690483530891</v>
      </c>
      <c r="H138" s="2"/>
      <c r="I138" s="2"/>
      <c r="J138" s="2"/>
    </row>
    <row r="139" ht="15" customHeight="1">
      <c r="A139" s="43" t="s">
        <v>108</v>
      </c>
      <c r="B139" s="58">
        <f>_xlfn.IFERROR((B137-Inputs!E168)*10000,"n.a.")</f>
        <v>191.6560871559725</v>
      </c>
      <c r="C139" s="60">
        <f t="shared" si="8"/>
        <v>-274.2424155441625</v>
      </c>
      <c r="D139" s="60">
        <f t="shared" si="8"/>
        <v>64.63371009957308</v>
      </c>
      <c r="E139" s="60">
        <f t="shared" si="8"/>
        <v>212.58731255598406</v>
      </c>
      <c r="F139" s="60" t="s">
        <v>78</v>
      </c>
      <c r="G139" s="59">
        <f t="shared" si="11"/>
        <v>-120.77551194670355</v>
      </c>
      <c r="H139" s="2"/>
      <c r="I139" s="2"/>
      <c r="J139" s="2"/>
    </row>
    <row r="140" ht="15" customHeight="1">
      <c r="A140" s="34" t="s">
        <v>335</v>
      </c>
      <c r="B140" s="18">
        <f t="shared" si="61" ref="B140:G140">ROUND(B136-B92,6)</f>
        <v>0</v>
      </c>
      <c r="C140" s="18">
        <f t="shared" si="61"/>
        <v>0</v>
      </c>
      <c r="D140" s="18">
        <f t="shared" si="61"/>
        <v>0</v>
      </c>
      <c r="E140" s="18">
        <f t="shared" si="61"/>
        <v>0</v>
      </c>
      <c r="F140" s="18">
        <f t="shared" si="61"/>
        <v>0</v>
      </c>
      <c r="G140" s="42">
        <f t="shared" si="61"/>
        <v>0</v>
      </c>
      <c r="H140" s="2"/>
      <c r="I140" s="2"/>
      <c r="J140" s="2"/>
    </row>
    <row r="141" ht="15" customHeight="1">
      <c r="A141" s="2" t="s">
        <v>336</v>
      </c>
      <c r="B141" s="18" t="s">
        <v>78</v>
      </c>
      <c r="C141" s="18" t="s">
        <v>78</v>
      </c>
      <c r="D141" s="18" t="s">
        <v>78</v>
      </c>
      <c r="E141" s="18" t="s">
        <v>78</v>
      </c>
      <c r="F141" s="18" t="s">
        <v>78</v>
      </c>
      <c r="G141" s="42" t="s">
        <v>78</v>
      </c>
      <c r="H141" s="2"/>
      <c r="I141" s="2"/>
      <c r="J141" s="2"/>
    </row>
    <row r="142" ht="15" customHeight="1">
      <c r="A142" s="2"/>
      <c r="B142" s="2"/>
      <c r="C142" s="2"/>
      <c r="D142" s="2"/>
      <c r="E142" s="2"/>
      <c r="F142" s="2"/>
      <c r="G142" s="40"/>
      <c r="H142" s="2"/>
      <c r="I142" s="2"/>
      <c r="J142" s="2"/>
    </row>
    <row r="143" ht="15" customHeight="1">
      <c r="A143" s="30" t="s">
        <v>337</v>
      </c>
      <c r="B143" s="30"/>
      <c r="C143" s="30"/>
      <c r="D143" s="30"/>
      <c r="E143" s="30"/>
      <c r="F143" s="30"/>
      <c r="G143" s="41"/>
      <c r="H143" s="30"/>
      <c r="I143" s="2"/>
      <c r="J143" s="2"/>
    </row>
    <row r="144" ht="15" customHeight="1">
      <c r="A144" s="51" t="s">
        <v>338</v>
      </c>
      <c r="B144" s="52">
        <v>38.8</v>
      </c>
      <c r="C144" s="52">
        <v>35.5</v>
      </c>
      <c r="D144" s="52">
        <v>36</v>
      </c>
      <c r="E144" s="52">
        <v>36.2</v>
      </c>
      <c r="F144" s="17">
        <f>Inputs!D89+Inputs!E89+B144+C144</f>
        <v>147.10000000000002</v>
      </c>
      <c r="G144" s="53">
        <v>39</v>
      </c>
      <c r="H144" s="2" t="s">
        <v>76</v>
      </c>
      <c r="I144" s="2"/>
      <c r="J144" s="2"/>
    </row>
    <row r="145" ht="15" customHeight="1">
      <c r="A145" s="51" t="s">
        <v>339</v>
      </c>
      <c r="B145" s="52">
        <v>0.2</v>
      </c>
      <c r="C145" s="52">
        <v>-0.1</v>
      </c>
      <c r="D145" s="52">
        <v>0.1</v>
      </c>
      <c r="E145" s="52">
        <v>-0.1</v>
      </c>
      <c r="F145" s="17">
        <f>Inputs!D90+Inputs!E90+B145+C145</f>
        <v>0.5000000000000001</v>
      </c>
      <c r="G145" s="53">
        <v>0</v>
      </c>
      <c r="H145" s="2" t="s">
        <v>76</v>
      </c>
      <c r="I145" s="2"/>
      <c r="J145" s="2"/>
    </row>
    <row r="146" ht="15" customHeight="1">
      <c r="A146" s="51" t="s">
        <v>340</v>
      </c>
      <c r="B146" s="52">
        <v>2.4</v>
      </c>
      <c r="C146" s="52">
        <v>2.4</v>
      </c>
      <c r="D146" s="52">
        <v>6.6</v>
      </c>
      <c r="E146" s="52">
        <v>23.3</v>
      </c>
      <c r="F146" s="17">
        <f>Inputs!D91+Inputs!E91+B146+C146</f>
        <v>9.700000000000001</v>
      </c>
      <c r="G146" s="53">
        <v>23.3</v>
      </c>
      <c r="H146" s="2" t="s">
        <v>76</v>
      </c>
      <c r="I146" s="2"/>
      <c r="J146" s="2"/>
    </row>
    <row r="147" ht="15" customHeight="1">
      <c r="A147" s="51" t="s">
        <v>341</v>
      </c>
      <c r="B147" s="52">
        <v>0</v>
      </c>
      <c r="C147" s="52">
        <v>0</v>
      </c>
      <c r="D147" s="52">
        <v>5.9</v>
      </c>
      <c r="E147" s="52">
        <v>4.1</v>
      </c>
      <c r="F147" s="17">
        <f>Inputs!D92+Inputs!E92+B147+C147</f>
        <v>0</v>
      </c>
      <c r="G147" s="53">
        <v>2.5</v>
      </c>
      <c r="H147" s="2" t="s">
        <v>76</v>
      </c>
      <c r="I147" s="2"/>
      <c r="J147" s="2"/>
    </row>
    <row r="148" ht="15" customHeight="1">
      <c r="A148" s="51" t="s">
        <v>342</v>
      </c>
      <c r="B148" s="52">
        <v>87.3</v>
      </c>
      <c r="C148" s="52">
        <v>88.1</v>
      </c>
      <c r="D148" s="52">
        <v>91.7</v>
      </c>
      <c r="E148" s="52">
        <v>87.1</v>
      </c>
      <c r="F148" s="17">
        <f>Inputs!D93+Inputs!E93+B148+C148</f>
        <v>340.6</v>
      </c>
      <c r="G148" s="53">
        <v>95</v>
      </c>
      <c r="H148" s="2" t="s">
        <v>76</v>
      </c>
      <c r="I148" s="2"/>
      <c r="J148" s="2"/>
    </row>
    <row r="149" ht="15" customHeight="1">
      <c r="A149" s="51" t="s">
        <v>343</v>
      </c>
      <c r="B149" s="52">
        <v>1.1</v>
      </c>
      <c r="C149" s="52">
        <v>-1.3</v>
      </c>
      <c r="D149" s="52">
        <v>0.4</v>
      </c>
      <c r="E149" s="52">
        <v>-0.3</v>
      </c>
      <c r="F149" s="17">
        <f>Inputs!D94+Inputs!E94+B149+C149</f>
        <v>0.5</v>
      </c>
      <c r="G149" s="53">
        <v>0</v>
      </c>
      <c r="H149" s="2" t="s">
        <v>76</v>
      </c>
      <c r="I149" s="2"/>
      <c r="J149" s="2"/>
    </row>
    <row r="150" ht="15" customHeight="1">
      <c r="A150" s="51" t="s">
        <v>344</v>
      </c>
      <c r="B150" s="52">
        <v>0.1</v>
      </c>
      <c r="C150" s="52">
        <v>0</v>
      </c>
      <c r="D150" s="52">
        <v>0.2</v>
      </c>
      <c r="E150" s="52">
        <v>0.5</v>
      </c>
      <c r="F150" s="17">
        <f>Inputs!D95+Inputs!E95+B150+C150</f>
        <v>0.7</v>
      </c>
      <c r="G150" s="53">
        <v>0.5</v>
      </c>
      <c r="H150" s="2" t="s">
        <v>76</v>
      </c>
      <c r="I150" s="2"/>
      <c r="J150" s="2"/>
    </row>
    <row r="151" ht="15" customHeight="1">
      <c r="A151" s="51" t="s">
        <v>345</v>
      </c>
      <c r="B151" s="52">
        <v>0</v>
      </c>
      <c r="C151" s="52">
        <v>0</v>
      </c>
      <c r="D151" s="52">
        <v>0</v>
      </c>
      <c r="E151" s="52">
        <v>6.9</v>
      </c>
      <c r="F151" s="17">
        <f>Inputs!D96+Inputs!E96+B151+C151</f>
        <v>0</v>
      </c>
      <c r="G151" s="53">
        <v>0</v>
      </c>
      <c r="H151" s="2" t="s">
        <v>76</v>
      </c>
      <c r="I151" s="2"/>
      <c r="J151" s="2"/>
    </row>
    <row r="152" ht="15" customHeight="1">
      <c r="A152" s="51" t="s">
        <v>346</v>
      </c>
      <c r="B152" s="52">
        <v>8.1</v>
      </c>
      <c r="C152" s="52">
        <v>2</v>
      </c>
      <c r="D152" s="52">
        <v>6.3</v>
      </c>
      <c r="E152" s="52">
        <v>0</v>
      </c>
      <c r="F152" s="17">
        <f>Inputs!D97+Inputs!E97+B152+C152</f>
        <v>13.6</v>
      </c>
      <c r="G152" s="53">
        <v>0</v>
      </c>
      <c r="H152" s="2" t="s">
        <v>76</v>
      </c>
      <c r="I152" s="2"/>
      <c r="J152" s="2"/>
    </row>
    <row r="153" ht="15" customHeight="1">
      <c r="A153" s="51" t="s">
        <v>347</v>
      </c>
      <c r="B153" s="52">
        <v>0</v>
      </c>
      <c r="C153" s="52">
        <v>-1</v>
      </c>
      <c r="D153" s="52">
        <v>-7.9</v>
      </c>
      <c r="E153" s="52">
        <v>0</v>
      </c>
      <c r="F153" s="17">
        <f>Inputs!D98+Inputs!E98+B153+C153</f>
        <v>-1</v>
      </c>
      <c r="G153" s="53">
        <v>0</v>
      </c>
      <c r="H153" s="2" t="s">
        <v>76</v>
      </c>
      <c r="I153" s="2"/>
      <c r="J153" s="2"/>
    </row>
    <row r="154" ht="15" customHeight="1">
      <c r="A154" s="51" t="s">
        <v>348</v>
      </c>
      <c r="B154" s="52">
        <v>0</v>
      </c>
      <c r="C154" s="52">
        <v>0</v>
      </c>
      <c r="D154" s="52">
        <v>0.1</v>
      </c>
      <c r="E154" s="52">
        <v>1.6</v>
      </c>
      <c r="F154" s="17">
        <f>Inputs!D99+Inputs!E99+B154+C154</f>
        <v>0</v>
      </c>
      <c r="G154" s="53">
        <v>1.5</v>
      </c>
      <c r="H154" s="2" t="s">
        <v>76</v>
      </c>
      <c r="I154" s="2"/>
      <c r="J154" s="2"/>
    </row>
    <row r="155" ht="15" customHeight="1">
      <c r="A155" s="51" t="s">
        <v>349</v>
      </c>
      <c r="B155" s="52">
        <v>77.4</v>
      </c>
      <c r="C155" s="52">
        <v>79.6</v>
      </c>
      <c r="D155" s="52">
        <v>81.8</v>
      </c>
      <c r="E155" s="52">
        <v>86.6</v>
      </c>
      <c r="F155" s="17">
        <f>Inputs!D100+Inputs!E100+B155+C155</f>
        <v>300.4</v>
      </c>
      <c r="G155" s="53">
        <v>96</v>
      </c>
      <c r="H155" s="2" t="s">
        <v>76</v>
      </c>
      <c r="I155" s="2"/>
      <c r="J155" s="2"/>
    </row>
    <row r="156" ht="15" customHeight="1">
      <c r="A156" s="51" t="s">
        <v>350</v>
      </c>
      <c r="B156" s="52">
        <v>0.8</v>
      </c>
      <c r="C156" s="52">
        <v>0.9</v>
      </c>
      <c r="D156" s="52">
        <v>0.3</v>
      </c>
      <c r="E156" s="52">
        <v>0.2</v>
      </c>
      <c r="F156" s="17">
        <f>Inputs!D101+Inputs!E101+B156+C156</f>
        <v>2.8000000000000003</v>
      </c>
      <c r="G156" s="53">
        <v>0.2</v>
      </c>
      <c r="H156" s="2" t="s">
        <v>76</v>
      </c>
      <c r="I156" s="2"/>
      <c r="J156" s="2"/>
    </row>
    <row r="157" ht="15" customHeight="1">
      <c r="A157" s="51" t="s">
        <v>303</v>
      </c>
      <c r="B157" s="52">
        <v>-3</v>
      </c>
      <c r="C157" s="52">
        <v>-4.9</v>
      </c>
      <c r="D157" s="52">
        <v>-0.6</v>
      </c>
      <c r="E157" s="52">
        <v>-0.2</v>
      </c>
      <c r="F157" s="17">
        <f>Inputs!D102+Inputs!E102+B157+C157</f>
        <v>-2.9000000000000004</v>
      </c>
      <c r="G157" s="53">
        <v>0</v>
      </c>
      <c r="H157" s="2" t="s">
        <v>76</v>
      </c>
      <c r="I157" s="2"/>
      <c r="J157" s="2"/>
    </row>
    <row r="158" ht="15" customHeight="1">
      <c r="A158" s="51" t="s">
        <v>309</v>
      </c>
      <c r="B158" s="52">
        <v>-0.5</v>
      </c>
      <c r="C158" s="52">
        <v>0.3</v>
      </c>
      <c r="D158" s="52">
        <v>-0.2</v>
      </c>
      <c r="E158" s="52">
        <v>0.2</v>
      </c>
      <c r="F158" s="17">
        <f>Inputs!D104+Inputs!E104+B158+C158</f>
        <v>-0.8</v>
      </c>
      <c r="G158" s="53">
        <v>0</v>
      </c>
      <c r="H158" s="2" t="s">
        <v>76</v>
      </c>
      <c r="I158" s="2"/>
      <c r="J158" s="2"/>
    </row>
    <row r="159" ht="15" customHeight="1">
      <c r="A159" s="28" t="s">
        <v>351</v>
      </c>
      <c r="B159" s="49">
        <f t="shared" si="62" ref="B159:G159">B144+B148+B155</f>
        <v>203.5</v>
      </c>
      <c r="C159" s="49">
        <f t="shared" si="62"/>
        <v>203.2</v>
      </c>
      <c r="D159" s="49">
        <f t="shared" si="62"/>
        <v>209.5</v>
      </c>
      <c r="E159" s="49">
        <f t="shared" si="62"/>
        <v>209.89999999999998</v>
      </c>
      <c r="F159" s="49">
        <f t="shared" si="62"/>
        <v>788.1</v>
      </c>
      <c r="G159" s="50">
        <f t="shared" si="62"/>
        <v>230</v>
      </c>
      <c r="H159" s="2"/>
      <c r="I159" s="2"/>
      <c r="J159" s="2"/>
    </row>
    <row r="160" ht="15" customHeight="1">
      <c r="A160" s="43" t="s">
        <v>34</v>
      </c>
      <c r="B160" s="44">
        <f>_xlfn.IFERROR(B159/Inputs!B113-1,"n.a.")</f>
        <v>0.17698091382301917</v>
      </c>
      <c r="C160" s="44">
        <f>_xlfn.IFERROR(C159/Inputs!C113-1,"n.a.")</f>
        <v>0.14802259887005653</v>
      </c>
      <c r="D160" s="44">
        <f>_xlfn.IFERROR(D159/Inputs!D113-1,"n.a.")</f>
        <v>0.1312095032397409</v>
      </c>
      <c r="E160" s="44">
        <f>_xlfn.IFERROR(E159/Inputs!E113-1,"n.a.")</f>
        <v>0.0698267074413863</v>
      </c>
      <c r="F160" s="44">
        <f>_xlfn.IFERROR(F159/Inputs!F113-1,"n.a.")</f>
        <v>0.16445035460992918</v>
      </c>
      <c r="G160" s="45">
        <f t="shared" si="6"/>
        <v>0.13022113022113024</v>
      </c>
      <c r="H160" s="2"/>
      <c r="I160" s="2"/>
      <c r="J160" s="2"/>
    </row>
    <row r="161" ht="15" customHeight="1">
      <c r="A161" s="51" t="s">
        <v>305</v>
      </c>
      <c r="B161" s="52">
        <v>-24.2</v>
      </c>
      <c r="C161" s="52">
        <v>-43</v>
      </c>
      <c r="D161" s="52">
        <v>-73.3</v>
      </c>
      <c r="E161" s="52">
        <v>-17.3</v>
      </c>
      <c r="F161" s="17">
        <f>Inputs!D185+Inputs!E185+B161+C161</f>
        <v>-245.5</v>
      </c>
      <c r="G161" s="53">
        <v>-20</v>
      </c>
      <c r="H161" s="2" t="s">
        <v>352</v>
      </c>
      <c r="I161" s="2"/>
      <c r="J161" s="2"/>
    </row>
    <row r="162" ht="15" customHeight="1">
      <c r="A162" s="51" t="s">
        <v>306</v>
      </c>
      <c r="B162" s="52">
        <v>10.6</v>
      </c>
      <c r="C162" s="52">
        <v>10.6</v>
      </c>
      <c r="D162" s="52">
        <v>10.7</v>
      </c>
      <c r="E162" s="52">
        <v>10.7</v>
      </c>
      <c r="F162" s="17">
        <f>Inputs!D186+Inputs!E186+B162+C162</f>
        <v>42.6</v>
      </c>
      <c r="G162" s="53">
        <v>10.7</v>
      </c>
      <c r="H162" s="2" t="s">
        <v>352</v>
      </c>
      <c r="I162" s="2"/>
      <c r="J162" s="2"/>
    </row>
    <row r="163" ht="15" customHeight="1">
      <c r="A163" s="43" t="s">
        <v>353</v>
      </c>
      <c r="B163" s="19">
        <f t="shared" si="63" ref="B163:F163">-B166/B86</f>
        <v>0.17026266416510316</v>
      </c>
      <c r="C163" s="19">
        <f t="shared" si="63"/>
        <v>0.25</v>
      </c>
      <c r="D163" s="19">
        <f t="shared" si="63"/>
        <v>0.3553644182888185</v>
      </c>
      <c r="E163" s="19">
        <f t="shared" si="63"/>
        <v>0.22570150467669786</v>
      </c>
      <c r="F163" s="19">
        <f t="shared" si="63"/>
        <v>0.2759852216748768</v>
      </c>
      <c r="G163" s="85">
        <v>0.215</v>
      </c>
      <c r="H163" s="2"/>
      <c r="I163" s="2"/>
      <c r="J163" s="2"/>
    </row>
    <row r="164" ht="15" customHeight="1">
      <c r="A164" s="43" t="s">
        <v>107</v>
      </c>
      <c r="B164" s="60" t="s">
        <v>78</v>
      </c>
      <c r="C164" s="60" t="s">
        <v>78</v>
      </c>
      <c r="D164" s="60" t="s">
        <v>78</v>
      </c>
      <c r="E164" s="60" t="s">
        <v>78</v>
      </c>
      <c r="F164" s="60" t="s">
        <v>78</v>
      </c>
      <c r="G164" s="59">
        <f t="shared" si="10"/>
        <v>447.37335834896834</v>
      </c>
      <c r="H164" s="2"/>
      <c r="I164" s="2"/>
      <c r="J164" s="2"/>
    </row>
    <row r="165" ht="15" customHeight="1">
      <c r="A165" s="43" t="s">
        <v>108</v>
      </c>
      <c r="B165" s="60" t="s">
        <v>78</v>
      </c>
      <c r="C165" s="60">
        <f t="shared" si="8"/>
        <v>797.3733583489684</v>
      </c>
      <c r="D165" s="60">
        <f t="shared" si="8"/>
        <v>1053.6441828881848</v>
      </c>
      <c r="E165" s="60">
        <f t="shared" si="8"/>
        <v>-1296.6291361212063</v>
      </c>
      <c r="F165" s="60" t="s">
        <v>78</v>
      </c>
      <c r="G165" s="59">
        <f t="shared" si="11"/>
        <v>-107.01504676697866</v>
      </c>
      <c r="H165" s="2"/>
      <c r="I165" s="2"/>
      <c r="J165" s="2"/>
    </row>
    <row r="166" ht="15" customHeight="1">
      <c r="A166" s="51" t="s">
        <v>307</v>
      </c>
      <c r="B166" s="52">
        <v>-36.3</v>
      </c>
      <c r="C166" s="52">
        <v>-50.3</v>
      </c>
      <c r="D166" s="52">
        <v>-78.5</v>
      </c>
      <c r="E166" s="52">
        <v>-55.5</v>
      </c>
      <c r="F166" s="17">
        <f>Inputs!D187+Inputs!E187+B166+C166</f>
        <v>-224.10000000000002</v>
      </c>
      <c r="G166" s="42">
        <f>-G163*G86</f>
        <v>-55.47</v>
      </c>
      <c r="H166" s="2" t="s">
        <v>352</v>
      </c>
      <c r="I166" s="2"/>
      <c r="J166" s="2"/>
    </row>
    <row r="167" ht="15" customHeight="1">
      <c r="A167" s="51" t="s">
        <v>354</v>
      </c>
      <c r="B167" s="52">
        <v>-49.9</v>
      </c>
      <c r="C167" s="52">
        <v>-82.7</v>
      </c>
      <c r="D167" s="52">
        <v>-141.1</v>
      </c>
      <c r="E167" s="52">
        <v>-62.1</v>
      </c>
      <c r="F167" s="17">
        <f>Inputs!D103+Inputs!E103+B167+C167</f>
        <v>-426.99999999999994</v>
      </c>
      <c r="G167" s="42" t="s">
        <v>78</v>
      </c>
      <c r="H167" s="2" t="s">
        <v>76</v>
      </c>
      <c r="I167" s="2"/>
      <c r="J167" s="2"/>
    </row>
    <row r="168" ht="15" customHeight="1">
      <c r="A168" s="34" t="s">
        <v>355</v>
      </c>
      <c r="B168" s="18">
        <f t="shared" si="64" ref="B168:F168">ROUND(B90-B167,6)</f>
        <v>0</v>
      </c>
      <c r="C168" s="18">
        <f t="shared" si="64"/>
        <v>0</v>
      </c>
      <c r="D168" s="18">
        <f t="shared" si="64"/>
        <v>0</v>
      </c>
      <c r="E168" s="18">
        <f t="shared" si="64"/>
        <v>0</v>
      </c>
      <c r="F168" s="18">
        <f t="shared" si="64"/>
        <v>0</v>
      </c>
      <c r="G168" s="42" t="s">
        <v>78</v>
      </c>
      <c r="H168" s="2"/>
      <c r="I168" s="2"/>
      <c r="J168" s="2"/>
    </row>
    <row r="169" ht="1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ht="1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32A8CD29-120D-E271-9328-064B450A4A0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4.00390625" customWidth="1"/>
    <col min="2" max="7" width="12.00390625" customWidth="1"/>
    <col min="8" max="8" width="30.00390625" customWidth="1"/>
    <col min="9" max="10" width="12.00390625" customWidth="1"/>
  </cols>
  <sheetData>
    <row r="1" ht="15" customHeight="1">
      <c r="A1" s="35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" customHeight="1">
      <c r="A2" s="28" t="s">
        <v>356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>
      <c r="A3" s="31" t="s">
        <v>2</v>
      </c>
      <c r="B3" s="2"/>
      <c r="C3" s="2"/>
      <c r="D3" s="2"/>
      <c r="E3" s="2"/>
      <c r="F3" s="2"/>
      <c r="G3" s="2"/>
      <c r="H3" s="2"/>
      <c r="I3" s="2"/>
      <c r="J3" s="2"/>
    </row>
    <row r="4" ht="15" customHeight="1">
      <c r="A4" s="5" t="s">
        <v>3</v>
      </c>
      <c r="B4" s="6" t="s">
        <v>33</v>
      </c>
      <c r="C4" s="6" t="s">
        <v>68</v>
      </c>
      <c r="D4" s="6" t="s">
        <v>69</v>
      </c>
      <c r="E4" s="6" t="s">
        <v>70</v>
      </c>
      <c r="F4" s="6" t="s">
        <v>71</v>
      </c>
      <c r="G4" s="36" t="s">
        <v>4</v>
      </c>
      <c r="H4" s="37" t="s">
        <v>72</v>
      </c>
      <c r="I4" s="2"/>
      <c r="J4" s="2"/>
    </row>
    <row r="5" ht="15" customHeight="1">
      <c r="A5" s="7" t="s">
        <v>5</v>
      </c>
      <c r="B5" s="8">
        <f>DATE(2025,9,30)</f>
        <v>45930</v>
      </c>
      <c r="C5" s="8">
        <f t="shared" si="0" ref="C5:F5">DATE(2025,12,31)</f>
        <v>46022</v>
      </c>
      <c r="D5" s="8">
        <f>DATE(2026,3,31)</f>
        <v>46112</v>
      </c>
      <c r="E5" s="8">
        <f>DATE(2026,6,30)</f>
        <v>46203</v>
      </c>
      <c r="F5" s="8">
        <f t="shared" si="0"/>
        <v>46022</v>
      </c>
      <c r="G5" s="38">
        <f>DATE(2026,9,30)</f>
        <v>46295</v>
      </c>
      <c r="H5" s="9"/>
      <c r="I5" s="2"/>
      <c r="J5" s="2"/>
    </row>
    <row r="6" ht="15" customHeight="1">
      <c r="A6" s="10" t="s">
        <v>6</v>
      </c>
      <c r="B6" s="11">
        <f t="shared" si="1" ref="B6:G6">B5-EOMONTH(B5,-3)</f>
        <v>92</v>
      </c>
      <c r="C6" s="11">
        <f t="shared" si="1"/>
        <v>92</v>
      </c>
      <c r="D6" s="11">
        <f t="shared" si="1"/>
        <v>90</v>
      </c>
      <c r="E6" s="11">
        <f t="shared" si="1"/>
        <v>91</v>
      </c>
      <c r="F6" s="11">
        <f>F5-DATE(YEAR(F5)-1,12,31)</f>
        <v>365</v>
      </c>
      <c r="G6" s="39">
        <f t="shared" si="1"/>
        <v>92</v>
      </c>
      <c r="H6" s="12"/>
      <c r="I6" s="2"/>
      <c r="J6" s="2"/>
    </row>
    <row r="7" ht="15" customHeight="1">
      <c r="A7" s="2"/>
      <c r="B7" s="2"/>
      <c r="C7" s="2"/>
      <c r="D7" s="2"/>
      <c r="E7" s="2"/>
      <c r="F7" s="2"/>
      <c r="G7" s="40"/>
      <c r="H7" s="2"/>
      <c r="I7" s="2"/>
      <c r="J7" s="2"/>
    </row>
    <row r="8" ht="15" customHeight="1">
      <c r="A8" s="30" t="s">
        <v>357</v>
      </c>
      <c r="B8" s="30"/>
      <c r="C8" s="30"/>
      <c r="D8" s="30"/>
      <c r="E8" s="30"/>
      <c r="F8" s="30"/>
      <c r="G8" s="41"/>
      <c r="H8" s="30"/>
      <c r="I8" s="2"/>
      <c r="J8" s="2"/>
    </row>
    <row r="9" ht="15" customHeight="1">
      <c r="A9" s="2" t="s">
        <v>358</v>
      </c>
      <c r="B9" s="52">
        <v>2806.6</v>
      </c>
      <c r="C9" s="52">
        <v>3368</v>
      </c>
      <c r="D9" s="52">
        <v>2006.5</v>
      </c>
      <c r="E9" s="52">
        <v>2760.4</v>
      </c>
      <c r="F9" s="18">
        <f t="shared" si="2" ref="F9:F50">C9</f>
        <v>3368</v>
      </c>
      <c r="G9" s="84">
        <f>'Cash Flow Statement'!G47-G45-G46</f>
        <v>3229.108933287499</v>
      </c>
      <c r="H9" s="2" t="s">
        <v>359</v>
      </c>
      <c r="I9" s="2"/>
      <c r="J9" s="2"/>
    </row>
    <row r="10" ht="15" customHeight="1">
      <c r="A10" s="2" t="s">
        <v>360</v>
      </c>
      <c r="B10" s="52">
        <v>2102.2</v>
      </c>
      <c r="C10" s="52">
        <v>2566.9</v>
      </c>
      <c r="D10" s="52">
        <v>2510.8</v>
      </c>
      <c r="E10" s="52">
        <v>2455.8</v>
      </c>
      <c r="F10" s="18">
        <f t="shared" si="2"/>
        <v>2566.9</v>
      </c>
      <c r="G10" s="84">
        <f>E10-('Cash Flow Statement'!G27+'Cash Flow Statement'!G28+'Cash Flow Statement'!G29)</f>
        <v>2455.8</v>
      </c>
      <c r="H10" s="2" t="s">
        <v>359</v>
      </c>
      <c r="I10" s="2"/>
      <c r="J10" s="2"/>
    </row>
    <row r="11" ht="15" customHeight="1">
      <c r="A11" s="2" t="s">
        <v>361</v>
      </c>
      <c r="B11" s="52">
        <v>1259.7</v>
      </c>
      <c r="C11" s="52">
        <v>1527.3</v>
      </c>
      <c r="D11" s="52">
        <v>1595.6</v>
      </c>
      <c r="E11" s="52">
        <v>1673.2</v>
      </c>
      <c r="F11" s="18">
        <f t="shared" si="2"/>
        <v>1527.3</v>
      </c>
      <c r="G11" s="84">
        <f>E11-'Cash Flow Statement'!G16</f>
        <v>1733.2</v>
      </c>
      <c r="H11" s="2" t="s">
        <v>359</v>
      </c>
      <c r="I11" s="2"/>
      <c r="J11" s="2"/>
    </row>
    <row r="12" ht="15" customHeight="1">
      <c r="A12" s="2" t="s">
        <v>362</v>
      </c>
      <c r="B12" s="52">
        <v>1781.9</v>
      </c>
      <c r="C12" s="52">
        <v>1840</v>
      </c>
      <c r="D12" s="52">
        <v>1945.1</v>
      </c>
      <c r="E12" s="52">
        <v>2028.7</v>
      </c>
      <c r="F12" s="18">
        <f t="shared" si="2"/>
        <v>1840</v>
      </c>
      <c r="G12" s="84">
        <f>E12-'Cash Flow Statement'!G17-'Cash Flow Statement'!G60</f>
        <v>2068.7</v>
      </c>
      <c r="H12" s="2" t="s">
        <v>359</v>
      </c>
      <c r="I12" s="2"/>
      <c r="J12" s="2"/>
    </row>
    <row r="13" ht="15" customHeight="1">
      <c r="A13" s="2" t="s">
        <v>363</v>
      </c>
      <c r="B13" s="52">
        <v>574.9</v>
      </c>
      <c r="C13" s="52">
        <v>477.3</v>
      </c>
      <c r="D13" s="52">
        <v>751.5</v>
      </c>
      <c r="E13" s="52">
        <v>624.6</v>
      </c>
      <c r="F13" s="18">
        <f t="shared" si="2"/>
        <v>477.3</v>
      </c>
      <c r="G13" s="84">
        <f>E13-'Cash Flow Statement'!G18</f>
        <v>654.6</v>
      </c>
      <c r="H13" s="2" t="s">
        <v>359</v>
      </c>
      <c r="I13" s="2"/>
      <c r="J13" s="2"/>
    </row>
    <row r="14" ht="15" customHeight="1">
      <c r="A14" s="28" t="s">
        <v>364</v>
      </c>
      <c r="B14" s="49">
        <f t="shared" si="3" ref="B14:G14">B9+B10+B11+B12+B13</f>
        <v>8525.3</v>
      </c>
      <c r="C14" s="49">
        <f t="shared" si="3"/>
        <v>9779.5</v>
      </c>
      <c r="D14" s="49">
        <f t="shared" si="3"/>
        <v>8809.5</v>
      </c>
      <c r="E14" s="49">
        <f t="shared" si="3"/>
        <v>9542.7</v>
      </c>
      <c r="F14" s="49">
        <f t="shared" si="3"/>
        <v>9779.5</v>
      </c>
      <c r="G14" s="50">
        <f t="shared" si="3"/>
        <v>10141.4089332875</v>
      </c>
      <c r="H14" s="2"/>
      <c r="I14" s="2"/>
      <c r="J14" s="2"/>
    </row>
    <row r="15" ht="15" customHeight="1">
      <c r="A15" s="2" t="s">
        <v>365</v>
      </c>
      <c r="B15" s="52">
        <v>5150.9</v>
      </c>
      <c r="C15" s="52">
        <v>5342.4</v>
      </c>
      <c r="D15" s="52">
        <v>5447.9</v>
      </c>
      <c r="E15" s="52">
        <v>5551.5</v>
      </c>
      <c r="F15" s="18">
        <f t="shared" si="2"/>
        <v>5342.4</v>
      </c>
      <c r="G15" s="84">
        <f>E15-'Cash Flow Statement'!G31+'Cash Flow Statement'!G60-'Cash Flow Statement'!G10</f>
        <v>5696.5</v>
      </c>
      <c r="H15" s="2" t="s">
        <v>359</v>
      </c>
      <c r="I15" s="2"/>
      <c r="J15" s="2"/>
    </row>
    <row r="16" ht="15" customHeight="1">
      <c r="A16" s="2" t="s">
        <v>366</v>
      </c>
      <c r="B16" s="52">
        <v>3523.7</v>
      </c>
      <c r="C16" s="52">
        <v>3099.2</v>
      </c>
      <c r="D16" s="52">
        <v>3461.9</v>
      </c>
      <c r="E16" s="52">
        <v>3409.3</v>
      </c>
      <c r="F16" s="18">
        <f t="shared" si="2"/>
        <v>3099.2</v>
      </c>
      <c r="G16" s="84">
        <f>E16-'Cash Flow Statement'!G12</f>
        <v>3419.3</v>
      </c>
      <c r="H16" s="2" t="s">
        <v>359</v>
      </c>
      <c r="I16" s="2"/>
      <c r="J16" s="2"/>
    </row>
    <row r="17" ht="15" customHeight="1">
      <c r="A17" s="2" t="s">
        <v>367</v>
      </c>
      <c r="B17" s="52">
        <v>978.9</v>
      </c>
      <c r="C17" s="52">
        <v>1018.6</v>
      </c>
      <c r="D17" s="52">
        <v>683.8</v>
      </c>
      <c r="E17" s="52">
        <v>652.4</v>
      </c>
      <c r="F17" s="18">
        <f t="shared" si="2"/>
        <v>1018.6</v>
      </c>
      <c r="G17" s="84">
        <f>E17-'Cash Flow Statement'!G14</f>
        <v>622.4</v>
      </c>
      <c r="H17" s="2" t="s">
        <v>359</v>
      </c>
      <c r="I17" s="2"/>
      <c r="J17" s="2"/>
    </row>
    <row r="18" ht="15" customHeight="1">
      <c r="A18" s="2" t="s">
        <v>368</v>
      </c>
      <c r="B18" s="52">
        <v>824.9</v>
      </c>
      <c r="C18" s="52">
        <v>848.7</v>
      </c>
      <c r="D18" s="52">
        <v>1094.7</v>
      </c>
      <c r="E18" s="52">
        <v>1140.1</v>
      </c>
      <c r="F18" s="18">
        <f t="shared" si="2"/>
        <v>848.7</v>
      </c>
      <c r="G18" s="84">
        <f>E18-'Cash Flow Statement'!G11-'Cash Flow Statement'!G32</f>
        <v>1102.1</v>
      </c>
      <c r="H18" s="2" t="s">
        <v>359</v>
      </c>
      <c r="I18" s="2"/>
      <c r="J18" s="2"/>
    </row>
    <row r="19" ht="15" customHeight="1">
      <c r="A19" s="2" t="s">
        <v>369</v>
      </c>
      <c r="B19" s="52">
        <v>348.1</v>
      </c>
      <c r="C19" s="52">
        <v>370.3</v>
      </c>
      <c r="D19" s="52">
        <v>613.2</v>
      </c>
      <c r="E19" s="52">
        <v>580.6</v>
      </c>
      <c r="F19" s="18">
        <f t="shared" si="2"/>
        <v>370.3</v>
      </c>
      <c r="G19" s="42">
        <f t="shared" si="6" ref="G19:G46">E19</f>
        <v>580.6</v>
      </c>
      <c r="H19" s="2" t="s">
        <v>359</v>
      </c>
      <c r="I19" s="2"/>
      <c r="J19" s="2"/>
    </row>
    <row r="20" ht="15" customHeight="1">
      <c r="A20" s="28" t="s">
        <v>370</v>
      </c>
      <c r="B20" s="49">
        <f t="shared" si="4" ref="B20:G20">B14+B15+B16+B17+B18+B19</f>
        <v>19351.8</v>
      </c>
      <c r="C20" s="49">
        <f t="shared" si="4"/>
        <v>20458.699999999997</v>
      </c>
      <c r="D20" s="49">
        <f t="shared" si="4"/>
        <v>20111</v>
      </c>
      <c r="E20" s="49">
        <f t="shared" si="4"/>
        <v>20876.6</v>
      </c>
      <c r="F20" s="49">
        <f t="shared" si="4"/>
        <v>20458.699999999997</v>
      </c>
      <c r="G20" s="50">
        <f t="shared" si="4"/>
        <v>21562.3089332875</v>
      </c>
      <c r="H20" s="2"/>
      <c r="I20" s="2"/>
      <c r="J20" s="2"/>
    </row>
    <row r="21" ht="15" customHeight="1">
      <c r="A21" s="30" t="s">
        <v>371</v>
      </c>
      <c r="B21" s="30"/>
      <c r="C21" s="30"/>
      <c r="D21" s="30"/>
      <c r="E21" s="30"/>
      <c r="F21" s="30"/>
      <c r="G21" s="41"/>
      <c r="H21" s="30"/>
      <c r="I21" s="2"/>
      <c r="J21" s="2"/>
    </row>
    <row r="22" ht="15" customHeight="1">
      <c r="A22" s="2" t="s">
        <v>372</v>
      </c>
      <c r="B22" s="52">
        <v>291.2</v>
      </c>
      <c r="C22" s="52">
        <v>255.1</v>
      </c>
      <c r="D22" s="52">
        <v>332.9</v>
      </c>
      <c r="E22" s="52">
        <v>277.2</v>
      </c>
      <c r="F22" s="18">
        <f t="shared" si="2"/>
        <v>255.1</v>
      </c>
      <c r="G22" s="84">
        <f>E22+'Cash Flow Statement'!G19</f>
        <v>287.2</v>
      </c>
      <c r="H22" s="2" t="s">
        <v>359</v>
      </c>
      <c r="I22" s="2"/>
      <c r="J22" s="2"/>
    </row>
    <row r="23" ht="15" customHeight="1">
      <c r="A23" s="2" t="s">
        <v>373</v>
      </c>
      <c r="B23" s="52">
        <v>455.5</v>
      </c>
      <c r="C23" s="52">
        <v>648.4</v>
      </c>
      <c r="D23" s="52">
        <v>370.7</v>
      </c>
      <c r="E23" s="52">
        <v>425.7</v>
      </c>
      <c r="F23" s="18">
        <f t="shared" si="2"/>
        <v>648.4</v>
      </c>
      <c r="G23" s="84">
        <f>E23+'Cash Flow Statement'!G20</f>
        <v>485.7</v>
      </c>
      <c r="H23" s="2" t="s">
        <v>359</v>
      </c>
      <c r="I23" s="2"/>
      <c r="J23" s="2"/>
    </row>
    <row r="24" ht="15" customHeight="1">
      <c r="A24" s="2" t="s">
        <v>374</v>
      </c>
      <c r="B24" s="52">
        <v>491.1</v>
      </c>
      <c r="C24" s="52">
        <v>506.7</v>
      </c>
      <c r="D24" s="52">
        <v>559.5</v>
      </c>
      <c r="E24" s="52">
        <v>549.4</v>
      </c>
      <c r="F24" s="18">
        <f t="shared" si="2"/>
        <v>506.7</v>
      </c>
      <c r="G24" s="84">
        <f>E24+'Cash Flow Statement'!G21</f>
        <v>549.4</v>
      </c>
      <c r="H24" s="2" t="s">
        <v>359</v>
      </c>
      <c r="I24" s="2"/>
      <c r="J24" s="2"/>
    </row>
    <row r="25" ht="15" customHeight="1">
      <c r="A25" s="2" t="s">
        <v>375</v>
      </c>
      <c r="B25" s="52">
        <v>565.4</v>
      </c>
      <c r="C25" s="52">
        <v>596</v>
      </c>
      <c r="D25" s="52">
        <v>647.9</v>
      </c>
      <c r="E25" s="52">
        <v>670.6</v>
      </c>
      <c r="F25" s="18">
        <f t="shared" si="2"/>
        <v>596</v>
      </c>
      <c r="G25" s="84">
        <f>E25+'Cash Flow Statement'!G22</f>
        <v>690.6</v>
      </c>
      <c r="H25" s="2" t="s">
        <v>359</v>
      </c>
      <c r="I25" s="2"/>
      <c r="J25" s="2"/>
    </row>
    <row r="26" ht="15" customHeight="1">
      <c r="A26" s="28" t="s">
        <v>376</v>
      </c>
      <c r="B26" s="49">
        <f t="shared" si="5" ref="B26:G34">B22+B23+B24+B25</f>
        <v>1803.2000000000003</v>
      </c>
      <c r="C26" s="49">
        <f t="shared" si="5"/>
        <v>2006.2</v>
      </c>
      <c r="D26" s="49">
        <f t="shared" si="5"/>
        <v>1911</v>
      </c>
      <c r="E26" s="49">
        <f t="shared" si="5"/>
        <v>1922.9</v>
      </c>
      <c r="F26" s="49">
        <f t="shared" si="5"/>
        <v>2006.2</v>
      </c>
      <c r="G26" s="50">
        <f t="shared" si="5"/>
        <v>2012.9</v>
      </c>
      <c r="H26" s="2"/>
      <c r="I26" s="2"/>
      <c r="J26" s="2"/>
    </row>
    <row r="27" ht="15" customHeight="1">
      <c r="A27" s="2" t="s">
        <v>377</v>
      </c>
      <c r="B27" s="52">
        <v>506.5</v>
      </c>
      <c r="C27" s="52">
        <v>510.8</v>
      </c>
      <c r="D27" s="52">
        <v>602.8</v>
      </c>
      <c r="E27" s="52">
        <v>656</v>
      </c>
      <c r="F27" s="18">
        <f t="shared" si="2"/>
        <v>510.8</v>
      </c>
      <c r="G27" s="42">
        <f t="shared" si="6"/>
        <v>656</v>
      </c>
      <c r="H27" s="2" t="s">
        <v>359</v>
      </c>
      <c r="I27" s="2"/>
      <c r="J27" s="2"/>
    </row>
    <row r="28" ht="15" customHeight="1">
      <c r="A28" s="28" t="s">
        <v>378</v>
      </c>
      <c r="B28" s="49">
        <f t="shared" si="7" ref="B28:G36">B26+B27</f>
        <v>2309.7000000000003</v>
      </c>
      <c r="C28" s="49">
        <f t="shared" si="7"/>
        <v>2517</v>
      </c>
      <c r="D28" s="49">
        <f t="shared" si="7"/>
        <v>2513.8</v>
      </c>
      <c r="E28" s="49">
        <f t="shared" si="7"/>
        <v>2578.9</v>
      </c>
      <c r="F28" s="49">
        <f t="shared" si="7"/>
        <v>2517</v>
      </c>
      <c r="G28" s="50">
        <f t="shared" si="7"/>
        <v>2668.9</v>
      </c>
      <c r="H28" s="2"/>
      <c r="I28" s="2"/>
      <c r="J28" s="2"/>
    </row>
    <row r="29" ht="15" customHeight="1">
      <c r="A29" s="30" t="s">
        <v>379</v>
      </c>
      <c r="B29" s="30"/>
      <c r="C29" s="30"/>
      <c r="D29" s="30"/>
      <c r="E29" s="30"/>
      <c r="F29" s="30"/>
      <c r="G29" s="41"/>
      <c r="H29" s="30"/>
      <c r="I29" s="2"/>
      <c r="J29" s="2"/>
    </row>
    <row r="30" ht="15" customHeight="1">
      <c r="A30" s="2" t="s">
        <v>380</v>
      </c>
      <c r="B30" s="52">
        <v>0.4</v>
      </c>
      <c r="C30" s="52">
        <v>0.4</v>
      </c>
      <c r="D30" s="52">
        <v>0.4</v>
      </c>
      <c r="E30" s="52">
        <v>0.4</v>
      </c>
      <c r="F30" s="18">
        <f t="shared" si="2"/>
        <v>0.4</v>
      </c>
      <c r="G30" s="42">
        <f t="shared" si="6"/>
        <v>0.4</v>
      </c>
      <c r="H30" s="2" t="s">
        <v>359</v>
      </c>
      <c r="I30" s="2"/>
      <c r="J30" s="2"/>
    </row>
    <row r="31" ht="15" customHeight="1">
      <c r="A31" s="2" t="s">
        <v>381</v>
      </c>
      <c r="B31" s="52">
        <v>10478.8</v>
      </c>
      <c r="C31" s="52">
        <v>10768.5</v>
      </c>
      <c r="D31" s="52">
        <v>11059.9</v>
      </c>
      <c r="E31" s="52">
        <v>11325</v>
      </c>
      <c r="F31" s="18">
        <f t="shared" si="2"/>
        <v>10768.5</v>
      </c>
      <c r="G31" s="84">
        <f>E31+'Cash Flow Statement'!G15+'Cash Flow Statement'!G37+'Cash Flow Statement'!G38+'Cash Flow Statement'!G40</f>
        <v>11625</v>
      </c>
      <c r="H31" s="2" t="s">
        <v>359</v>
      </c>
      <c r="I31" s="2"/>
      <c r="J31" s="2"/>
    </row>
    <row r="32" ht="15" customHeight="1">
      <c r="A32" s="2" t="s">
        <v>382</v>
      </c>
      <c r="B32" s="52">
        <v>6424</v>
      </c>
      <c r="C32" s="52">
        <v>7011.8</v>
      </c>
      <c r="D32" s="52">
        <v>6397.7</v>
      </c>
      <c r="E32" s="52">
        <v>6837.2</v>
      </c>
      <c r="F32" s="18">
        <f t="shared" si="2"/>
        <v>7011.8</v>
      </c>
      <c r="G32" s="84">
        <f>E32+'Income Statement'!G62+'Cash Flow Statement'!G39</f>
        <v>7127.9089332875</v>
      </c>
      <c r="H32" s="2" t="s">
        <v>359</v>
      </c>
      <c r="I32" s="2"/>
      <c r="J32" s="2"/>
    </row>
    <row r="33" ht="15" customHeight="1">
      <c r="A33" s="2" t="s">
        <v>383</v>
      </c>
      <c r="B33" s="52">
        <v>26.5</v>
      </c>
      <c r="C33" s="52">
        <v>43.3</v>
      </c>
      <c r="D33" s="52">
        <v>16.5</v>
      </c>
      <c r="E33" s="52">
        <v>5.8</v>
      </c>
      <c r="F33" s="18">
        <f t="shared" si="2"/>
        <v>43.3</v>
      </c>
      <c r="G33" s="42">
        <f t="shared" si="6"/>
        <v>5.8</v>
      </c>
      <c r="H33" s="2" t="s">
        <v>359</v>
      </c>
      <c r="I33" s="2"/>
      <c r="J33" s="2"/>
    </row>
    <row r="34" ht="15" customHeight="1">
      <c r="A34" s="28" t="s">
        <v>384</v>
      </c>
      <c r="B34" s="49">
        <f t="shared" si="5"/>
        <v>16929.699999999997</v>
      </c>
      <c r="C34" s="49">
        <f t="shared" si="5"/>
        <v>17824</v>
      </c>
      <c r="D34" s="49">
        <f t="shared" si="5"/>
        <v>17474.5</v>
      </c>
      <c r="E34" s="49">
        <f t="shared" si="5"/>
        <v>18168.399999999998</v>
      </c>
      <c r="F34" s="49">
        <f t="shared" si="5"/>
        <v>17824</v>
      </c>
      <c r="G34" s="50">
        <f t="shared" si="5"/>
        <v>18759.108933287498</v>
      </c>
      <c r="H34" s="2"/>
      <c r="I34" s="2"/>
      <c r="J34" s="2"/>
    </row>
    <row r="35" ht="15" customHeight="1">
      <c r="A35" s="2" t="s">
        <v>385</v>
      </c>
      <c r="B35" s="52">
        <v>112.4</v>
      </c>
      <c r="C35" s="52">
        <v>117.7</v>
      </c>
      <c r="D35" s="52">
        <v>122.7</v>
      </c>
      <c r="E35" s="52">
        <v>129.3</v>
      </c>
      <c r="F35" s="18">
        <f t="shared" si="2"/>
        <v>117.7</v>
      </c>
      <c r="G35" s="84">
        <f>E35+'Income Statement'!G61</f>
        <v>134.3</v>
      </c>
      <c r="H35" s="2" t="s">
        <v>359</v>
      </c>
      <c r="I35" s="2"/>
      <c r="J35" s="2"/>
    </row>
    <row r="36" ht="15" customHeight="1">
      <c r="A36" s="28" t="s">
        <v>386</v>
      </c>
      <c r="B36" s="49">
        <f t="shared" si="7"/>
        <v>17042.1</v>
      </c>
      <c r="C36" s="49">
        <f t="shared" si="7"/>
        <v>17941.7</v>
      </c>
      <c r="D36" s="49">
        <f t="shared" si="7"/>
        <v>17597.2</v>
      </c>
      <c r="E36" s="49">
        <f t="shared" si="7"/>
        <v>18297.699999999997</v>
      </c>
      <c r="F36" s="49">
        <f t="shared" si="7"/>
        <v>17941.7</v>
      </c>
      <c r="G36" s="50">
        <f t="shared" si="7"/>
        <v>18893.408933287497</v>
      </c>
      <c r="H36" s="2"/>
      <c r="I36" s="2"/>
      <c r="J36" s="2"/>
    </row>
    <row r="37" ht="15" customHeight="1">
      <c r="A37" s="28" t="s">
        <v>387</v>
      </c>
      <c r="B37" s="49">
        <f t="shared" si="8" ref="B37:G37">B28+B36</f>
        <v>19351.8</v>
      </c>
      <c r="C37" s="49">
        <f t="shared" si="8"/>
        <v>20458.7</v>
      </c>
      <c r="D37" s="49">
        <f t="shared" si="8"/>
        <v>20111</v>
      </c>
      <c r="E37" s="49">
        <f t="shared" si="8"/>
        <v>20876.6</v>
      </c>
      <c r="F37" s="49">
        <f t="shared" si="8"/>
        <v>20458.7</v>
      </c>
      <c r="G37" s="50">
        <f t="shared" si="8"/>
        <v>21562.3089332875</v>
      </c>
      <c r="H37" s="2"/>
      <c r="I37" s="2"/>
      <c r="J37" s="2"/>
    </row>
    <row r="38" ht="15" customHeight="1">
      <c r="A38" s="30" t="s">
        <v>254</v>
      </c>
      <c r="B38" s="30"/>
      <c r="C38" s="30"/>
      <c r="D38" s="30"/>
      <c r="E38" s="30"/>
      <c r="F38" s="30"/>
      <c r="G38" s="41"/>
      <c r="H38" s="30"/>
      <c r="I38" s="2"/>
      <c r="J38" s="2"/>
    </row>
    <row r="39" ht="15" customHeight="1">
      <c r="A39" s="33" t="s">
        <v>388</v>
      </c>
      <c r="B39" s="18">
        <f t="shared" si="9" ref="B39:G39">ROUND(B20-B28-B36,6)</f>
        <v>0</v>
      </c>
      <c r="C39" s="18">
        <f t="shared" si="9"/>
        <v>0</v>
      </c>
      <c r="D39" s="18">
        <f t="shared" si="9"/>
        <v>0</v>
      </c>
      <c r="E39" s="18">
        <f t="shared" si="9"/>
        <v>0</v>
      </c>
      <c r="F39" s="18">
        <f t="shared" si="9"/>
        <v>0</v>
      </c>
      <c r="G39" s="42">
        <f t="shared" si="9"/>
        <v>0</v>
      </c>
      <c r="H39" s="2"/>
      <c r="I39" s="2"/>
      <c r="J39" s="2"/>
    </row>
    <row r="40" ht="15" customHeight="1">
      <c r="A40" s="51" t="s">
        <v>389</v>
      </c>
      <c r="B40" s="52">
        <v>19351.8</v>
      </c>
      <c r="C40" s="52">
        <v>20458.7</v>
      </c>
      <c r="D40" s="52">
        <v>20111</v>
      </c>
      <c r="E40" s="52">
        <v>20876.6</v>
      </c>
      <c r="F40" s="18">
        <f t="shared" si="2"/>
        <v>20458.7</v>
      </c>
      <c r="G40" s="42" t="s">
        <v>78</v>
      </c>
      <c r="H40" s="2" t="s">
        <v>359</v>
      </c>
      <c r="I40" s="2"/>
      <c r="J40" s="2"/>
    </row>
    <row r="41" ht="15" customHeight="1">
      <c r="A41" s="34" t="s">
        <v>390</v>
      </c>
      <c r="B41" s="18">
        <f t="shared" si="10" ref="B41:F41">ROUND(B20-B40,6)</f>
        <v>0</v>
      </c>
      <c r="C41" s="18">
        <f t="shared" si="10"/>
        <v>0</v>
      </c>
      <c r="D41" s="18">
        <f t="shared" si="10"/>
        <v>0</v>
      </c>
      <c r="E41" s="18">
        <f t="shared" si="10"/>
        <v>0</v>
      </c>
      <c r="F41" s="18">
        <f t="shared" si="10"/>
        <v>0</v>
      </c>
      <c r="G41" s="42" t="s">
        <v>78</v>
      </c>
      <c r="H41" s="2"/>
      <c r="I41" s="2"/>
      <c r="J41" s="2"/>
    </row>
    <row r="42" ht="15" customHeight="1">
      <c r="A42" s="51" t="s">
        <v>391</v>
      </c>
      <c r="B42" s="52">
        <v>2309.7</v>
      </c>
      <c r="C42" s="52">
        <v>2517</v>
      </c>
      <c r="D42" s="52">
        <v>2513.8</v>
      </c>
      <c r="E42" s="52">
        <v>2578.9</v>
      </c>
      <c r="F42" s="18">
        <f t="shared" si="2"/>
        <v>2517</v>
      </c>
      <c r="G42" s="42" t="s">
        <v>78</v>
      </c>
      <c r="H42" s="2" t="s">
        <v>359</v>
      </c>
      <c r="I42" s="2"/>
      <c r="J42" s="2"/>
    </row>
    <row r="43" ht="15" customHeight="1">
      <c r="A43" s="34" t="s">
        <v>392</v>
      </c>
      <c r="B43" s="18">
        <f t="shared" si="11" ref="B43:F43">ROUND(B28-B42,6)</f>
        <v>0</v>
      </c>
      <c r="C43" s="18">
        <f t="shared" si="11"/>
        <v>0</v>
      </c>
      <c r="D43" s="18">
        <f t="shared" si="11"/>
        <v>0</v>
      </c>
      <c r="E43" s="18">
        <f t="shared" si="11"/>
        <v>0</v>
      </c>
      <c r="F43" s="18">
        <f t="shared" si="11"/>
        <v>0</v>
      </c>
      <c r="G43" s="42" t="s">
        <v>78</v>
      </c>
      <c r="H43" s="2"/>
      <c r="I43" s="2"/>
      <c r="J43" s="2"/>
    </row>
    <row r="44" ht="15" customHeight="1">
      <c r="A44" s="30" t="s">
        <v>393</v>
      </c>
      <c r="B44" s="30"/>
      <c r="C44" s="30"/>
      <c r="D44" s="30"/>
      <c r="E44" s="30"/>
      <c r="F44" s="30"/>
      <c r="G44" s="41"/>
      <c r="H44" s="30"/>
      <c r="I44" s="2"/>
      <c r="J44" s="2"/>
    </row>
    <row r="45" ht="15" customHeight="1">
      <c r="A45" s="2" t="s">
        <v>394</v>
      </c>
      <c r="B45" s="52">
        <v>27.9</v>
      </c>
      <c r="C45" s="52">
        <v>24.4</v>
      </c>
      <c r="D45" s="52">
        <v>30.6</v>
      </c>
      <c r="E45" s="52">
        <v>30.3</v>
      </c>
      <c r="F45" s="18">
        <f t="shared" si="2"/>
        <v>24.4</v>
      </c>
      <c r="G45" s="42">
        <f t="shared" si="6"/>
        <v>30.3</v>
      </c>
      <c r="H45" s="2" t="s">
        <v>359</v>
      </c>
      <c r="I45" s="2"/>
      <c r="J45" s="2"/>
    </row>
    <row r="46" ht="15" customHeight="1">
      <c r="A46" s="2" t="s">
        <v>395</v>
      </c>
      <c r="B46" s="52">
        <v>15</v>
      </c>
      <c r="C46" s="52">
        <v>15</v>
      </c>
      <c r="D46" s="52">
        <v>15</v>
      </c>
      <c r="E46" s="52">
        <v>15</v>
      </c>
      <c r="F46" s="18">
        <f t="shared" si="2"/>
        <v>15</v>
      </c>
      <c r="G46" s="42">
        <f t="shared" si="6"/>
        <v>15</v>
      </c>
      <c r="H46" s="2" t="s">
        <v>359</v>
      </c>
      <c r="I46" s="2"/>
      <c r="J46" s="2"/>
    </row>
    <row r="47" ht="15" customHeight="1">
      <c r="A47" s="28" t="s">
        <v>396</v>
      </c>
      <c r="B47" s="49">
        <f t="shared" si="12" ref="B47:G47">B9+B45+B46</f>
        <v>2849.5</v>
      </c>
      <c r="C47" s="49">
        <f t="shared" si="12"/>
        <v>3407.4</v>
      </c>
      <c r="D47" s="49">
        <f t="shared" si="12"/>
        <v>2052.1</v>
      </c>
      <c r="E47" s="49">
        <f t="shared" si="12"/>
        <v>2805.7000000000003</v>
      </c>
      <c r="F47" s="49">
        <f t="shared" si="12"/>
        <v>3407.4</v>
      </c>
      <c r="G47" s="50">
        <f t="shared" si="12"/>
        <v>3274.408933287499</v>
      </c>
      <c r="H47" s="2"/>
      <c r="I47" s="2"/>
      <c r="J47" s="2"/>
    </row>
    <row r="48" ht="15" customHeight="1">
      <c r="A48" s="2" t="s">
        <v>397</v>
      </c>
      <c r="B48" s="18">
        <f t="shared" si="13" ref="B48:G48">B9+B10+B16</f>
        <v>8432.5</v>
      </c>
      <c r="C48" s="18">
        <f t="shared" si="13"/>
        <v>9034.099999999999</v>
      </c>
      <c r="D48" s="18">
        <f t="shared" si="13"/>
        <v>7979.200000000001</v>
      </c>
      <c r="E48" s="18">
        <f t="shared" si="13"/>
        <v>8625.5</v>
      </c>
      <c r="F48" s="18">
        <f t="shared" si="13"/>
        <v>9034.099999999999</v>
      </c>
      <c r="G48" s="42">
        <f t="shared" si="13"/>
        <v>9104.2089332875</v>
      </c>
      <c r="H48" s="2"/>
      <c r="I48" s="2"/>
      <c r="J48" s="2"/>
    </row>
    <row r="49" ht="15" customHeight="1">
      <c r="A49" s="51" t="s">
        <v>398</v>
      </c>
      <c r="B49" s="18">
        <f t="shared" si="14" ref="B49:G49">B48</f>
        <v>8432.5</v>
      </c>
      <c r="C49" s="18">
        <f t="shared" si="14"/>
        <v>9034.099999999999</v>
      </c>
      <c r="D49" s="18">
        <f t="shared" si="14"/>
        <v>7979.200000000001</v>
      </c>
      <c r="E49" s="18">
        <f t="shared" si="14"/>
        <v>8625.5</v>
      </c>
      <c r="F49" s="18">
        <f t="shared" si="14"/>
        <v>9034.099999999999</v>
      </c>
      <c r="G49" s="42">
        <f t="shared" si="14"/>
        <v>9104.2089332875</v>
      </c>
      <c r="H49" s="2"/>
      <c r="I49" s="2"/>
      <c r="J49" s="2"/>
    </row>
    <row r="50" ht="15" customHeight="1">
      <c r="A50" s="2" t="s">
        <v>399</v>
      </c>
      <c r="B50" s="52">
        <v>354.9</v>
      </c>
      <c r="C50" s="52">
        <v>355.1</v>
      </c>
      <c r="D50" s="52">
        <v>354.4</v>
      </c>
      <c r="E50" s="52">
        <v>353.9</v>
      </c>
      <c r="F50" s="18">
        <f t="shared" si="2"/>
        <v>355.1</v>
      </c>
      <c r="G50" s="84">
        <f>'Share Count'!G14</f>
        <v>353.3666666666667</v>
      </c>
      <c r="H50" s="2" t="s">
        <v>359</v>
      </c>
      <c r="I50" s="2"/>
      <c r="J50" s="2"/>
    </row>
    <row r="51" ht="15" customHeight="1">
      <c r="A51" s="2" t="s">
        <v>400</v>
      </c>
      <c r="B51" s="23">
        <f t="shared" si="15" ref="B51:G51">B34/B50</f>
        <v>47.70273316427162</v>
      </c>
      <c r="C51" s="23">
        <f t="shared" si="15"/>
        <v>50.19431146156012</v>
      </c>
      <c r="D51" s="23">
        <f t="shared" si="15"/>
        <v>49.30727990970655</v>
      </c>
      <c r="E51" s="23">
        <f t="shared" si="15"/>
        <v>51.337666007346705</v>
      </c>
      <c r="F51" s="23">
        <f t="shared" si="15"/>
        <v>50.19431146156012</v>
      </c>
      <c r="G51" s="86">
        <f t="shared" si="15"/>
        <v>53.086809546139506</v>
      </c>
      <c r="H51" s="2"/>
      <c r="I51" s="2"/>
      <c r="J51" s="2"/>
    </row>
    <row r="52" ht="15" customHeight="1">
      <c r="A52" s="33" t="s">
        <v>401</v>
      </c>
      <c r="B52" s="2"/>
      <c r="C52" s="2"/>
      <c r="D52" s="2"/>
      <c r="E52" s="2"/>
      <c r="F52" s="2"/>
      <c r="G52" s="2"/>
      <c r="H52" s="2"/>
      <c r="I52" s="2"/>
      <c r="J52" s="2"/>
    </row>
    <row r="53" ht="15" customHeight="1">
      <c r="A53" s="2"/>
      <c r="B53" s="2"/>
      <c r="C53" s="2"/>
      <c r="D53" s="2"/>
      <c r="E53" s="2"/>
      <c r="F53" s="2"/>
      <c r="G53" s="2"/>
      <c r="H53" s="2"/>
      <c r="I53" s="2"/>
      <c r="J53" s="2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394306B8-8068-A8C8-9098-BB506F5F274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4.00390625" customWidth="1"/>
    <col min="2" max="7" width="12.00390625" customWidth="1"/>
    <col min="8" max="8" width="30.00390625" customWidth="1"/>
    <col min="9" max="10" width="12.00390625" customWidth="1"/>
  </cols>
  <sheetData>
    <row r="1" ht="15" customHeight="1">
      <c r="A1" s="35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" customHeight="1">
      <c r="A2" s="28" t="s">
        <v>402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>
      <c r="A3" s="31" t="s">
        <v>2</v>
      </c>
      <c r="B3" s="2"/>
      <c r="C3" s="2"/>
      <c r="D3" s="2"/>
      <c r="E3" s="2"/>
      <c r="F3" s="2"/>
      <c r="G3" s="2"/>
      <c r="H3" s="2"/>
      <c r="I3" s="2"/>
      <c r="J3" s="2"/>
    </row>
    <row r="4" ht="15" customHeight="1">
      <c r="A4" s="5" t="s">
        <v>3</v>
      </c>
      <c r="B4" s="6" t="s">
        <v>33</v>
      </c>
      <c r="C4" s="6" t="s">
        <v>68</v>
      </c>
      <c r="D4" s="6" t="s">
        <v>69</v>
      </c>
      <c r="E4" s="6" t="s">
        <v>70</v>
      </c>
      <c r="F4" s="6" t="s">
        <v>71</v>
      </c>
      <c r="G4" s="36" t="s">
        <v>4</v>
      </c>
      <c r="H4" s="37" t="s">
        <v>72</v>
      </c>
      <c r="I4" s="2"/>
      <c r="J4" s="2"/>
    </row>
    <row r="5" ht="15" customHeight="1">
      <c r="A5" s="7" t="s">
        <v>5</v>
      </c>
      <c r="B5" s="8">
        <f>DATE(2025,9,30)</f>
        <v>45930</v>
      </c>
      <c r="C5" s="8">
        <f t="shared" si="0" ref="C5:F5">DATE(2025,12,31)</f>
        <v>46022</v>
      </c>
      <c r="D5" s="8">
        <f>DATE(2026,3,31)</f>
        <v>46112</v>
      </c>
      <c r="E5" s="8">
        <f>DATE(2026,6,30)</f>
        <v>46203</v>
      </c>
      <c r="F5" s="8">
        <f t="shared" si="0"/>
        <v>46022</v>
      </c>
      <c r="G5" s="38">
        <f>DATE(2026,9,30)</f>
        <v>46295</v>
      </c>
      <c r="H5" s="9"/>
      <c r="I5" s="2"/>
      <c r="J5" s="2"/>
    </row>
    <row r="6" ht="15" customHeight="1">
      <c r="A6" s="10" t="s">
        <v>6</v>
      </c>
      <c r="B6" s="11">
        <f t="shared" si="1" ref="B6:G6">B5-EOMONTH(B5,-3)</f>
        <v>92</v>
      </c>
      <c r="C6" s="11">
        <f t="shared" si="1"/>
        <v>92</v>
      </c>
      <c r="D6" s="11">
        <f t="shared" si="1"/>
        <v>90</v>
      </c>
      <c r="E6" s="11">
        <f t="shared" si="1"/>
        <v>91</v>
      </c>
      <c r="F6" s="11">
        <f>F5-DATE(YEAR(F5)-1,12,31)</f>
        <v>365</v>
      </c>
      <c r="G6" s="39">
        <f t="shared" si="1"/>
        <v>92</v>
      </c>
      <c r="H6" s="12"/>
      <c r="I6" s="2"/>
      <c r="J6" s="2"/>
    </row>
    <row r="7" ht="15" customHeight="1">
      <c r="A7" s="2"/>
      <c r="B7" s="2"/>
      <c r="C7" s="2"/>
      <c r="D7" s="2"/>
      <c r="E7" s="2"/>
      <c r="F7" s="2"/>
      <c r="G7" s="40"/>
      <c r="H7" s="2"/>
      <c r="I7" s="2"/>
      <c r="J7" s="2"/>
    </row>
    <row r="8" ht="15" customHeight="1">
      <c r="A8" s="30" t="s">
        <v>403</v>
      </c>
      <c r="B8" s="30"/>
      <c r="C8" s="30"/>
      <c r="D8" s="30"/>
      <c r="E8" s="30"/>
      <c r="F8" s="30"/>
      <c r="G8" s="41"/>
      <c r="H8" s="30"/>
      <c r="I8" s="2"/>
      <c r="J8" s="2"/>
    </row>
    <row r="9" ht="15" customHeight="1">
      <c r="A9" s="2" t="s">
        <v>282</v>
      </c>
      <c r="B9" s="17">
        <f>Inputs!C192-Inputs!B192</f>
        <v>709.1999999999998</v>
      </c>
      <c r="C9" s="17">
        <f>Inputs!D192-Inputs!C192</f>
        <v>799.5</v>
      </c>
      <c r="D9" s="17">
        <f>Inputs!E192</f>
        <v>826</v>
      </c>
      <c r="E9" s="17">
        <f>Inputs!F192-Inputs!E192</f>
        <v>823.2</v>
      </c>
      <c r="F9" s="17">
        <f>Inputs!B192+B9+C9</f>
        <v>2876.6</v>
      </c>
      <c r="G9" s="84">
        <f>'Income Statement'!G60</f>
        <v>795.7089332875</v>
      </c>
      <c r="H9" s="2" t="s">
        <v>359</v>
      </c>
      <c r="I9" s="2"/>
      <c r="J9" s="2"/>
    </row>
    <row r="10" ht="15" customHeight="1">
      <c r="A10" s="51" t="s">
        <v>404</v>
      </c>
      <c r="B10" s="17">
        <f>Inputs!C193-Inputs!B193</f>
        <v>156.7</v>
      </c>
      <c r="C10" s="17">
        <f>Inputs!D193-Inputs!C193</f>
        <v>168.40000000000003</v>
      </c>
      <c r="D10" s="17">
        <f>Inputs!E193</f>
        <v>178.9</v>
      </c>
      <c r="E10" s="17">
        <f>Inputs!F193-Inputs!E193</f>
        <v>192.29999999999998</v>
      </c>
      <c r="F10" s="17">
        <f>Inputs!B193+B10+C10</f>
        <v>614.7</v>
      </c>
      <c r="G10" s="53">
        <v>195</v>
      </c>
      <c r="H10" s="2" t="s">
        <v>359</v>
      </c>
      <c r="I10" s="2"/>
      <c r="J10" s="2"/>
    </row>
    <row r="11" ht="15" customHeight="1">
      <c r="A11" s="51" t="s">
        <v>405</v>
      </c>
      <c r="B11" s="17">
        <f>Inputs!C194-Inputs!B194</f>
        <v>12.899999999999999</v>
      </c>
      <c r="C11" s="17">
        <f>Inputs!D194-Inputs!C194</f>
        <v>25.1</v>
      </c>
      <c r="D11" s="17">
        <f>Inputs!E194</f>
        <v>21.1</v>
      </c>
      <c r="E11" s="17">
        <f>Inputs!F194-Inputs!E194</f>
        <v>38.8</v>
      </c>
      <c r="F11" s="17">
        <f>Inputs!B194+B11+C11</f>
        <v>62.4</v>
      </c>
      <c r="G11" s="53">
        <v>38</v>
      </c>
      <c r="H11" s="2" t="s">
        <v>359</v>
      </c>
      <c r="I11" s="2"/>
      <c r="J11" s="2"/>
    </row>
    <row r="12" ht="15" customHeight="1">
      <c r="A12" s="51" t="s">
        <v>406</v>
      </c>
      <c r="B12" s="17">
        <f>Inputs!C197-Inputs!B197</f>
        <v>-14.899999999999999</v>
      </c>
      <c r="C12" s="17">
        <f>Inputs!D197-Inputs!C197</f>
        <v>-14.900000000000006</v>
      </c>
      <c r="D12" s="17">
        <f>Inputs!E197</f>
        <v>-10.2</v>
      </c>
      <c r="E12" s="17">
        <f>Inputs!F197-Inputs!E197</f>
        <v>-8.8</v>
      </c>
      <c r="F12" s="17">
        <f>Inputs!B197+B12+C12</f>
        <v>-57.2</v>
      </c>
      <c r="G12" s="53">
        <v>-10</v>
      </c>
      <c r="H12" s="2" t="s">
        <v>359</v>
      </c>
      <c r="I12" s="2"/>
      <c r="J12" s="2"/>
    </row>
    <row r="13" ht="15" customHeight="1">
      <c r="A13" s="51" t="s">
        <v>407</v>
      </c>
      <c r="B13" s="17">
        <f>Inputs!C198-Inputs!B198</f>
        <v>0</v>
      </c>
      <c r="C13" s="17">
        <f>Inputs!D198-Inputs!C198</f>
        <v>-1</v>
      </c>
      <c r="D13" s="17">
        <f>Inputs!E198</f>
        <v>-7.9</v>
      </c>
      <c r="E13" s="17">
        <f>Inputs!F198-Inputs!E198</f>
        <v>0</v>
      </c>
      <c r="F13" s="17">
        <f>Inputs!B198+B13+C13</f>
        <v>-1</v>
      </c>
      <c r="G13" s="53">
        <v>0</v>
      </c>
      <c r="H13" s="2" t="s">
        <v>359</v>
      </c>
      <c r="I13" s="2"/>
      <c r="J13" s="2"/>
    </row>
    <row r="14" ht="15" customHeight="1">
      <c r="A14" s="51" t="s">
        <v>408</v>
      </c>
      <c r="B14" s="17">
        <f>Inputs!C199-Inputs!B199</f>
        <v>88</v>
      </c>
      <c r="C14" s="17">
        <f>Inputs!D199-Inputs!C199</f>
        <v>-39.5</v>
      </c>
      <c r="D14" s="17">
        <f>Inputs!E199</f>
        <v>339.3</v>
      </c>
      <c r="E14" s="17">
        <f>Inputs!F199-Inputs!E199</f>
        <v>31</v>
      </c>
      <c r="F14" s="17">
        <f>Inputs!B199+B14+C14</f>
        <v>19.1</v>
      </c>
      <c r="G14" s="53">
        <v>30</v>
      </c>
      <c r="H14" s="2" t="s">
        <v>359</v>
      </c>
      <c r="I14" s="2"/>
      <c r="J14" s="2"/>
    </row>
    <row r="15" ht="15" customHeight="1">
      <c r="A15" s="51" t="s">
        <v>296</v>
      </c>
      <c r="B15" s="17">
        <f>Inputs!C200-Inputs!B200</f>
        <v>203.5</v>
      </c>
      <c r="C15" s="17">
        <f>Inputs!D200-Inputs!C200</f>
        <v>203.30000000000007</v>
      </c>
      <c r="D15" s="17">
        <f>Inputs!E200</f>
        <v>209.5</v>
      </c>
      <c r="E15" s="17">
        <f>Inputs!F200-Inputs!E200</f>
        <v>209.89999999999998</v>
      </c>
      <c r="F15" s="17">
        <f>Inputs!B200+B15+C15</f>
        <v>788.2</v>
      </c>
      <c r="G15" s="84">
        <f>'Income Statement'!G159</f>
        <v>230</v>
      </c>
      <c r="H15" s="2" t="s">
        <v>359</v>
      </c>
      <c r="I15" s="2"/>
      <c r="J15" s="2"/>
    </row>
    <row r="16" ht="15" customHeight="1">
      <c r="A16" s="51" t="s">
        <v>409</v>
      </c>
      <c r="B16" s="17">
        <f>Inputs!C201-Inputs!B201</f>
        <v>9.899999999999999</v>
      </c>
      <c r="C16" s="17">
        <f>Inputs!D201-Inputs!C201</f>
        <v>-267.5</v>
      </c>
      <c r="D16" s="17">
        <f>Inputs!E201</f>
        <v>25.1</v>
      </c>
      <c r="E16" s="17">
        <f>Inputs!F201-Inputs!E201</f>
        <v>-74.9</v>
      </c>
      <c r="F16" s="17">
        <f>Inputs!B201+B16+C16</f>
        <v>-301.7</v>
      </c>
      <c r="G16" s="53">
        <v>-60</v>
      </c>
      <c r="H16" s="2" t="s">
        <v>359</v>
      </c>
      <c r="I16" s="2"/>
      <c r="J16" s="2"/>
    </row>
    <row r="17" ht="15" customHeight="1">
      <c r="A17" s="51" t="s">
        <v>410</v>
      </c>
      <c r="B17" s="17">
        <f>Inputs!C202-Inputs!B202</f>
        <v>-316.2</v>
      </c>
      <c r="C17" s="17">
        <f>Inputs!D202-Inputs!C202</f>
        <v>-253.0000000000001</v>
      </c>
      <c r="D17" s="17">
        <f>Inputs!E202</f>
        <v>-266.6</v>
      </c>
      <c r="E17" s="17">
        <f>Inputs!F202-Inputs!E202</f>
        <v>-248</v>
      </c>
      <c r="F17" s="17">
        <f>Inputs!B202+B17+C17</f>
        <v>-1063.4</v>
      </c>
      <c r="G17" s="53">
        <v>-250</v>
      </c>
      <c r="H17" s="2" t="s">
        <v>359</v>
      </c>
      <c r="I17" s="2"/>
      <c r="J17" s="2"/>
    </row>
    <row r="18" ht="15" customHeight="1">
      <c r="A18" s="51" t="s">
        <v>411</v>
      </c>
      <c r="B18" s="17">
        <f>Inputs!C203-Inputs!B203</f>
        <v>-107.1</v>
      </c>
      <c r="C18" s="17">
        <f>Inputs!D203-Inputs!C203</f>
        <v>61.80000000000001</v>
      </c>
      <c r="D18" s="17">
        <f>Inputs!E203</f>
        <v>-269.3</v>
      </c>
      <c r="E18" s="17">
        <f>Inputs!F203-Inputs!E203</f>
        <v>90.30000000000001</v>
      </c>
      <c r="F18" s="17">
        <f>Inputs!B203+B18+C18</f>
        <v>-187.1</v>
      </c>
      <c r="G18" s="53">
        <v>-30</v>
      </c>
      <c r="H18" s="2" t="s">
        <v>359</v>
      </c>
      <c r="I18" s="2"/>
      <c r="J18" s="2"/>
    </row>
    <row r="19" ht="15" customHeight="1">
      <c r="A19" s="51" t="s">
        <v>412</v>
      </c>
      <c r="B19" s="17">
        <f>Inputs!C204-Inputs!B204</f>
        <v>24.599999999999994</v>
      </c>
      <c r="C19" s="17">
        <f>Inputs!D204-Inputs!C204</f>
        <v>-39.1</v>
      </c>
      <c r="D19" s="17">
        <f>Inputs!E204</f>
        <v>73.9</v>
      </c>
      <c r="E19" s="17">
        <f>Inputs!F204-Inputs!E204</f>
        <v>-52.50000000000001</v>
      </c>
      <c r="F19" s="17">
        <f>Inputs!B204+B19+C19</f>
        <v>57.9</v>
      </c>
      <c r="G19" s="53">
        <v>10</v>
      </c>
      <c r="H19" s="2" t="s">
        <v>359</v>
      </c>
      <c r="I19" s="2"/>
      <c r="J19" s="2"/>
    </row>
    <row r="20" ht="15" customHeight="1">
      <c r="A20" s="51" t="s">
        <v>413</v>
      </c>
      <c r="B20" s="17">
        <f>Inputs!C205-Inputs!B205</f>
        <v>34.7</v>
      </c>
      <c r="C20" s="17">
        <f>Inputs!D205-Inputs!C205</f>
        <v>192.9</v>
      </c>
      <c r="D20" s="17">
        <f>Inputs!E205</f>
        <v>-284.7</v>
      </c>
      <c r="E20" s="17">
        <f>Inputs!F205-Inputs!E205</f>
        <v>55</v>
      </c>
      <c r="F20" s="17">
        <f>Inputs!B205+B20+C20</f>
        <v>112.7</v>
      </c>
      <c r="G20" s="53">
        <v>60</v>
      </c>
      <c r="H20" s="2" t="s">
        <v>359</v>
      </c>
      <c r="I20" s="2"/>
      <c r="J20" s="2"/>
    </row>
    <row r="21" ht="15" customHeight="1">
      <c r="A21" s="51" t="s">
        <v>414</v>
      </c>
      <c r="B21" s="17">
        <f>Inputs!C206-Inputs!B206</f>
        <v>-1.1999999999999957</v>
      </c>
      <c r="C21" s="17">
        <f>Inputs!D206-Inputs!C206</f>
        <v>27.6</v>
      </c>
      <c r="D21" s="17">
        <f>Inputs!E206</f>
        <v>46.1</v>
      </c>
      <c r="E21" s="17">
        <f>Inputs!F206-Inputs!E206</f>
        <v>-1.3999999999999986</v>
      </c>
      <c r="F21" s="17">
        <f>Inputs!B206+B21+C21</f>
        <v>75.2</v>
      </c>
      <c r="G21" s="53">
        <v>0</v>
      </c>
      <c r="H21" s="2" t="s">
        <v>359</v>
      </c>
      <c r="I21" s="2"/>
      <c r="J21" s="2"/>
    </row>
    <row r="22" ht="15" customHeight="1">
      <c r="A22" s="51" t="s">
        <v>415</v>
      </c>
      <c r="B22" s="17">
        <f>Inputs!C207-Inputs!B207</f>
        <v>40.900000000000006</v>
      </c>
      <c r="C22" s="17">
        <f>Inputs!D207-Inputs!C207</f>
        <v>28.900000000000002</v>
      </c>
      <c r="D22" s="17">
        <f>Inputs!E207</f>
        <v>30.7</v>
      </c>
      <c r="E22" s="17">
        <f>Inputs!F207-Inputs!E207</f>
        <v>6.099999999999998</v>
      </c>
      <c r="F22" s="17">
        <f>Inputs!B207+B22+C22</f>
        <v>34.10000000000001</v>
      </c>
      <c r="G22" s="53">
        <v>20</v>
      </c>
      <c r="H22" s="2" t="s">
        <v>359</v>
      </c>
      <c r="I22" s="2"/>
      <c r="J22" s="2"/>
    </row>
    <row r="23" ht="15" customHeight="1">
      <c r="A23" s="28" t="s">
        <v>416</v>
      </c>
      <c r="B23" s="49">
        <f t="shared" si="2" ref="B23:G23">B9+B10+B11+B12+B13+B14+B15+B16+B17+B18+B19+B20+B21+B22</f>
        <v>840.9999999999999</v>
      </c>
      <c r="C23" s="49">
        <f t="shared" si="2"/>
        <v>892.5</v>
      </c>
      <c r="D23" s="49">
        <f t="shared" si="2"/>
        <v>911.9</v>
      </c>
      <c r="E23" s="49">
        <f t="shared" si="2"/>
        <v>1060.9999999999998</v>
      </c>
      <c r="F23" s="49">
        <f t="shared" si="2"/>
        <v>3030.5</v>
      </c>
      <c r="G23" s="50">
        <f t="shared" si="2"/>
        <v>1028.7089332875</v>
      </c>
      <c r="H23" s="2"/>
      <c r="I23" s="2"/>
      <c r="J23" s="2"/>
    </row>
    <row r="24" ht="15" customHeight="1">
      <c r="A24" s="51" t="s">
        <v>417</v>
      </c>
      <c r="B24" s="17">
        <f>Inputs!C208-Inputs!B208</f>
        <v>841</v>
      </c>
      <c r="C24" s="17">
        <f>Inputs!D208-Inputs!C208</f>
        <v>892.5</v>
      </c>
      <c r="D24" s="17">
        <f>Inputs!E208</f>
        <v>911.9</v>
      </c>
      <c r="E24" s="17">
        <f>Inputs!F208-Inputs!E208</f>
        <v>1061</v>
      </c>
      <c r="F24" s="17">
        <f>Inputs!B208+B24+C24</f>
        <v>3030.5</v>
      </c>
      <c r="G24" s="42" t="s">
        <v>78</v>
      </c>
      <c r="H24" s="2" t="s">
        <v>359</v>
      </c>
      <c r="I24" s="2"/>
      <c r="J24" s="2"/>
    </row>
    <row r="25" ht="15" customHeight="1">
      <c r="A25" s="34" t="s">
        <v>418</v>
      </c>
      <c r="B25" s="18">
        <f t="shared" si="3" ref="B25:F49">ROUND(B23-B24,6)</f>
        <v>0</v>
      </c>
      <c r="C25" s="18">
        <f t="shared" si="3"/>
        <v>0</v>
      </c>
      <c r="D25" s="18">
        <f t="shared" si="3"/>
        <v>0</v>
      </c>
      <c r="E25" s="18">
        <f t="shared" si="3"/>
        <v>0</v>
      </c>
      <c r="F25" s="18">
        <f t="shared" si="3"/>
        <v>0</v>
      </c>
      <c r="G25" s="42" t="s">
        <v>78</v>
      </c>
      <c r="H25" s="2"/>
      <c r="I25" s="2"/>
      <c r="J25" s="2"/>
    </row>
    <row r="26" ht="15" customHeight="1">
      <c r="A26" s="30" t="s">
        <v>419</v>
      </c>
      <c r="B26" s="30"/>
      <c r="C26" s="30"/>
      <c r="D26" s="30"/>
      <c r="E26" s="30"/>
      <c r="F26" s="30"/>
      <c r="G26" s="41"/>
      <c r="H26" s="30"/>
      <c r="I26" s="2"/>
      <c r="J26" s="2"/>
    </row>
    <row r="27" ht="15" customHeight="1">
      <c r="A27" s="51" t="s">
        <v>420</v>
      </c>
      <c r="B27" s="17">
        <f>Inputs!C209-Inputs!B209</f>
        <v>-99.10000000000002</v>
      </c>
      <c r="C27" s="17">
        <f>Inputs!D209-Inputs!C209</f>
        <v>-425.0000000000001</v>
      </c>
      <c r="D27" s="17">
        <f>Inputs!E209</f>
        <v>-911.3</v>
      </c>
      <c r="E27" s="17">
        <f>Inputs!F209-Inputs!E209</f>
        <v>-437.79999999999995</v>
      </c>
      <c r="F27" s="17">
        <f>Inputs!B209+B27+C27</f>
        <v>-1215.9</v>
      </c>
      <c r="G27" s="53">
        <v>-700</v>
      </c>
      <c r="H27" s="2" t="s">
        <v>359</v>
      </c>
      <c r="I27" s="2"/>
      <c r="J27" s="2"/>
    </row>
    <row r="28" ht="15" customHeight="1">
      <c r="A28" s="51" t="s">
        <v>421</v>
      </c>
      <c r="B28" s="17">
        <f>Inputs!C210-Inputs!B210</f>
        <v>0</v>
      </c>
      <c r="C28" s="17">
        <f>Inputs!D210-Inputs!C210</f>
        <v>10.799999999999983</v>
      </c>
      <c r="D28" s="17">
        <f>Inputs!E210</f>
        <v>0</v>
      </c>
      <c r="E28" s="17">
        <f>Inputs!F210-Inputs!E210</f>
        <v>0.1</v>
      </c>
      <c r="F28" s="17">
        <f>Inputs!B210+B28+C28</f>
        <v>259.9</v>
      </c>
      <c r="G28" s="53">
        <v>0</v>
      </c>
      <c r="H28" s="2" t="s">
        <v>359</v>
      </c>
      <c r="I28" s="2"/>
      <c r="J28" s="2"/>
    </row>
    <row r="29" ht="15" customHeight="1">
      <c r="A29" s="51" t="s">
        <v>422</v>
      </c>
      <c r="B29" s="17">
        <f>Inputs!C211-Inputs!B211</f>
        <v>605.5</v>
      </c>
      <c r="C29" s="17">
        <f>Inputs!D211-Inputs!C211</f>
        <v>380</v>
      </c>
      <c r="D29" s="17">
        <f>Inputs!E211</f>
        <v>582.3</v>
      </c>
      <c r="E29" s="17">
        <f>Inputs!F211-Inputs!E211</f>
        <v>523.7</v>
      </c>
      <c r="F29" s="17">
        <f>Inputs!B211+B29+C29</f>
        <v>2175.5</v>
      </c>
      <c r="G29" s="53">
        <v>700</v>
      </c>
      <c r="H29" s="2" t="s">
        <v>359</v>
      </c>
      <c r="I29" s="2"/>
      <c r="J29" s="2"/>
    </row>
    <row r="30" ht="15" customHeight="1">
      <c r="A30" s="51" t="s">
        <v>423</v>
      </c>
      <c r="B30" s="17">
        <f>Inputs!C212-Inputs!B212</f>
        <v>0</v>
      </c>
      <c r="C30" s="17">
        <f>Inputs!D212-Inputs!C212</f>
        <v>0</v>
      </c>
      <c r="D30" s="17">
        <f>Inputs!E212</f>
        <v>46</v>
      </c>
      <c r="E30" s="17">
        <f>Inputs!F212-Inputs!E212</f>
        <v>0</v>
      </c>
      <c r="F30" s="17">
        <f>Inputs!B212+B30+C30</f>
        <v>0</v>
      </c>
      <c r="G30" s="53">
        <v>0</v>
      </c>
      <c r="H30" s="2" t="s">
        <v>359</v>
      </c>
      <c r="I30" s="2"/>
      <c r="J30" s="2"/>
    </row>
    <row r="31" ht="15" customHeight="1">
      <c r="A31" s="51" t="s">
        <v>424</v>
      </c>
      <c r="B31" s="17">
        <f>Inputs!C213-Inputs!B213</f>
        <v>-105.40000000000003</v>
      </c>
      <c r="C31" s="17">
        <f>Inputs!D213-Inputs!C213</f>
        <v>-162.49999999999994</v>
      </c>
      <c r="D31" s="17">
        <f>Inputs!E213</f>
        <v>-103.3</v>
      </c>
      <c r="E31" s="17">
        <f>Inputs!F213-Inputs!E213</f>
        <v>-112.60000000000001</v>
      </c>
      <c r="F31" s="17">
        <f>Inputs!B213+B31+C31</f>
        <v>-539.8</v>
      </c>
      <c r="G31" s="53">
        <v>-130</v>
      </c>
      <c r="H31" s="2" t="s">
        <v>359</v>
      </c>
      <c r="I31" s="2"/>
      <c r="J31" s="2"/>
    </row>
    <row r="32" ht="15" customHeight="1">
      <c r="A32" s="51" t="s">
        <v>425</v>
      </c>
      <c r="B32" s="17">
        <f>Inputs!C214-Inputs!B214</f>
        <v>0</v>
      </c>
      <c r="C32" s="17">
        <f>Inputs!D214-Inputs!C214</f>
        <v>-12.700000000000001</v>
      </c>
      <c r="D32" s="17">
        <f>Inputs!E214</f>
        <v>-528.2</v>
      </c>
      <c r="E32" s="17">
        <f>Inputs!F214-Inputs!E214</f>
        <v>0</v>
      </c>
      <c r="F32" s="17">
        <f>Inputs!B214+B32+C32</f>
        <v>-13.9</v>
      </c>
      <c r="G32" s="53">
        <v>0</v>
      </c>
      <c r="H32" s="2" t="s">
        <v>359</v>
      </c>
      <c r="I32" s="2"/>
      <c r="J32" s="2"/>
    </row>
    <row r="33" ht="15" customHeight="1">
      <c r="A33" s="28" t="s">
        <v>426</v>
      </c>
      <c r="B33" s="49">
        <f t="shared" si="4" ref="B33:G33">B27+B28+B29+B30+B31+B32</f>
        <v>400.99999999999994</v>
      </c>
      <c r="C33" s="49">
        <f t="shared" si="4"/>
        <v>-209.4000000000001</v>
      </c>
      <c r="D33" s="49">
        <f t="shared" si="4"/>
        <v>-914.5</v>
      </c>
      <c r="E33" s="49">
        <f t="shared" si="4"/>
        <v>-26.599999999999895</v>
      </c>
      <c r="F33" s="49">
        <f t="shared" si="4"/>
        <v>665.8000000000001</v>
      </c>
      <c r="G33" s="50">
        <f t="shared" si="4"/>
        <v>-130</v>
      </c>
      <c r="H33" s="2"/>
      <c r="I33" s="2"/>
      <c r="J33" s="2"/>
    </row>
    <row r="34" ht="15" customHeight="1">
      <c r="A34" s="51" t="s">
        <v>427</v>
      </c>
      <c r="B34" s="17">
        <f>Inputs!C215-Inputs!B215</f>
        <v>401.00000000000006</v>
      </c>
      <c r="C34" s="17">
        <f>Inputs!D215-Inputs!C215</f>
        <v>-209.4000000000001</v>
      </c>
      <c r="D34" s="17">
        <f>Inputs!E215</f>
        <v>-914.5</v>
      </c>
      <c r="E34" s="17">
        <f>Inputs!F215-Inputs!E215</f>
        <v>-26.600000000000023</v>
      </c>
      <c r="F34" s="17">
        <f>Inputs!B215+B34+C34</f>
        <v>665.8</v>
      </c>
      <c r="G34" s="42" t="s">
        <v>78</v>
      </c>
      <c r="H34" s="2" t="s">
        <v>359</v>
      </c>
      <c r="I34" s="2"/>
      <c r="J34" s="2"/>
    </row>
    <row r="35" ht="15" customHeight="1">
      <c r="A35" s="34" t="s">
        <v>428</v>
      </c>
      <c r="B35" s="18">
        <f t="shared" si="3"/>
        <v>0</v>
      </c>
      <c r="C35" s="18">
        <f t="shared" si="3"/>
        <v>0</v>
      </c>
      <c r="D35" s="18">
        <f t="shared" si="3"/>
        <v>0</v>
      </c>
      <c r="E35" s="18">
        <f t="shared" si="3"/>
        <v>0</v>
      </c>
      <c r="F35" s="18">
        <f t="shared" si="3"/>
        <v>0</v>
      </c>
      <c r="G35" s="42" t="s">
        <v>78</v>
      </c>
      <c r="H35" s="2"/>
      <c r="I35" s="2"/>
      <c r="J35" s="2"/>
    </row>
    <row r="36" ht="15" customHeight="1">
      <c r="A36" s="30" t="s">
        <v>429</v>
      </c>
      <c r="B36" s="30"/>
      <c r="C36" s="30"/>
      <c r="D36" s="30"/>
      <c r="E36" s="30"/>
      <c r="F36" s="30"/>
      <c r="G36" s="41"/>
      <c r="H36" s="30"/>
      <c r="I36" s="2"/>
      <c r="J36" s="2"/>
    </row>
    <row r="37" ht="15" customHeight="1">
      <c r="A37" s="51" t="s">
        <v>430</v>
      </c>
      <c r="B37" s="17">
        <f>Inputs!C216-Inputs!B216</f>
        <v>90</v>
      </c>
      <c r="C37" s="17">
        <f>Inputs!D216-Inputs!C216</f>
        <v>76.60000000000002</v>
      </c>
      <c r="D37" s="17">
        <f>Inputs!E216</f>
        <v>121.8</v>
      </c>
      <c r="E37" s="17">
        <f>Inputs!F216-Inputs!E216</f>
        <v>65.60000000000001</v>
      </c>
      <c r="F37" s="17">
        <f>Inputs!B216+B37+C37</f>
        <v>350.3</v>
      </c>
      <c r="G37" s="53">
        <v>90</v>
      </c>
      <c r="H37" s="2" t="s">
        <v>359</v>
      </c>
      <c r="I37" s="2"/>
      <c r="J37" s="2"/>
    </row>
    <row r="38" ht="15" customHeight="1">
      <c r="A38" s="51" t="s">
        <v>431</v>
      </c>
      <c r="B38" s="17">
        <f>Inputs!C217-Inputs!B217</f>
        <v>-19.69999999999999</v>
      </c>
      <c r="C38" s="17">
        <f>Inputs!D217-Inputs!C217</f>
        <v>-13.100000000000023</v>
      </c>
      <c r="D38" s="17">
        <f>Inputs!E217</f>
        <v>-352.3</v>
      </c>
      <c r="E38" s="17">
        <f>Inputs!F217-Inputs!E217</f>
        <v>-13.099999999999966</v>
      </c>
      <c r="F38" s="17">
        <f>Inputs!B217+B38+C38</f>
        <v>-419.1</v>
      </c>
      <c r="G38" s="53">
        <v>-20</v>
      </c>
      <c r="H38" s="2" t="s">
        <v>359</v>
      </c>
      <c r="I38" s="2"/>
      <c r="J38" s="2"/>
    </row>
    <row r="39" ht="15" customHeight="1">
      <c r="A39" s="51" t="s">
        <v>432</v>
      </c>
      <c r="B39" s="17">
        <f>Inputs!C218-Inputs!B218</f>
        <v>-1913.3000000000002</v>
      </c>
      <c r="C39" s="17">
        <f>Inputs!D218-Inputs!C218</f>
        <v>-201</v>
      </c>
      <c r="D39" s="17">
        <f>Inputs!E218</f>
        <v>-1123.2</v>
      </c>
      <c r="E39" s="17">
        <f>Inputs!F218-Inputs!E218</f>
        <v>-320.29999999999995</v>
      </c>
      <c r="F39" s="17">
        <f>Inputs!B218+B39+C39</f>
        <v>-2295.3</v>
      </c>
      <c r="G39" s="84">
        <f>-'Share Count'!G16</f>
        <v>-500</v>
      </c>
      <c r="H39" s="2" t="s">
        <v>359</v>
      </c>
      <c r="I39" s="2"/>
      <c r="J39" s="2"/>
    </row>
    <row r="40" ht="15" customHeight="1">
      <c r="A40" s="51" t="s">
        <v>433</v>
      </c>
      <c r="B40" s="17">
        <f>Inputs!C219-Inputs!B219</f>
        <v>0</v>
      </c>
      <c r="C40" s="17">
        <f>Inputs!D219-Inputs!C219</f>
        <v>0</v>
      </c>
      <c r="D40" s="17">
        <f>Inputs!E219</f>
        <v>0</v>
      </c>
      <c r="E40" s="17">
        <f>Inputs!F219-Inputs!E219</f>
        <v>-20.1</v>
      </c>
      <c r="F40" s="17">
        <f>Inputs!B219+B40+C40</f>
        <v>0</v>
      </c>
      <c r="G40" s="53">
        <v>0</v>
      </c>
      <c r="H40" s="2" t="s">
        <v>359</v>
      </c>
      <c r="I40" s="2"/>
      <c r="J40" s="2"/>
    </row>
    <row r="41" ht="15" customHeight="1">
      <c r="A41" s="28" t="s">
        <v>434</v>
      </c>
      <c r="B41" s="49">
        <f t="shared" si="5" ref="B41:G41">B37+B38+B39+B40</f>
        <v>-1843.0000000000002</v>
      </c>
      <c r="C41" s="49">
        <f t="shared" si="5"/>
        <v>-137.5</v>
      </c>
      <c r="D41" s="49">
        <f t="shared" si="5"/>
        <v>-1353.7</v>
      </c>
      <c r="E41" s="49">
        <f t="shared" si="5"/>
        <v>-287.8999999999999</v>
      </c>
      <c r="F41" s="49">
        <f t="shared" si="5"/>
        <v>-2364.1000000000004</v>
      </c>
      <c r="G41" s="50">
        <f t="shared" si="5"/>
        <v>-430</v>
      </c>
      <c r="H41" s="2"/>
      <c r="I41" s="2"/>
      <c r="J41" s="2"/>
    </row>
    <row r="42" ht="15" customHeight="1">
      <c r="A42" s="51" t="s">
        <v>435</v>
      </c>
      <c r="B42" s="17">
        <f>Inputs!C220-Inputs!B220</f>
        <v>-1843</v>
      </c>
      <c r="C42" s="17">
        <f>Inputs!D220-Inputs!C220</f>
        <v>-137.5</v>
      </c>
      <c r="D42" s="17">
        <f>Inputs!E220</f>
        <v>-1353.7</v>
      </c>
      <c r="E42" s="17">
        <f>Inputs!F220-Inputs!E220</f>
        <v>-287.89999999999986</v>
      </c>
      <c r="F42" s="17">
        <f>Inputs!B220+B42+C42</f>
        <v>-2364.1</v>
      </c>
      <c r="G42" s="42" t="s">
        <v>78</v>
      </c>
      <c r="H42" s="2" t="s">
        <v>359</v>
      </c>
      <c r="I42" s="2"/>
      <c r="J42" s="2"/>
    </row>
    <row r="43" ht="15" customHeight="1">
      <c r="A43" s="34" t="s">
        <v>428</v>
      </c>
      <c r="B43" s="18">
        <f t="shared" si="3"/>
        <v>0</v>
      </c>
      <c r="C43" s="18">
        <f t="shared" si="3"/>
        <v>0</v>
      </c>
      <c r="D43" s="18">
        <f t="shared" si="3"/>
        <v>0</v>
      </c>
      <c r="E43" s="18">
        <f t="shared" si="3"/>
        <v>0</v>
      </c>
      <c r="F43" s="18">
        <f t="shared" si="3"/>
        <v>0</v>
      </c>
      <c r="G43" s="42" t="s">
        <v>78</v>
      </c>
      <c r="H43" s="2"/>
      <c r="I43" s="2"/>
      <c r="J43" s="2"/>
    </row>
    <row r="44" ht="15" customHeight="1">
      <c r="A44" s="2" t="s">
        <v>436</v>
      </c>
      <c r="B44" s="17">
        <f>Inputs!C221-Inputs!B221</f>
        <v>4</v>
      </c>
      <c r="C44" s="17">
        <f>Inputs!D221-Inputs!C221</f>
        <v>12.3</v>
      </c>
      <c r="D44" s="17">
        <f>Inputs!E221</f>
        <v>1</v>
      </c>
      <c r="E44" s="17">
        <f>Inputs!F221-Inputs!E221</f>
        <v>7.1</v>
      </c>
      <c r="F44" s="17">
        <f>Inputs!B221+B44+C44</f>
        <v>12.8</v>
      </c>
      <c r="G44" s="53">
        <v>0</v>
      </c>
      <c r="H44" s="2" t="s">
        <v>359</v>
      </c>
      <c r="I44" s="2"/>
      <c r="J44" s="2"/>
    </row>
    <row r="45" ht="15" customHeight="1">
      <c r="A45" s="28" t="s">
        <v>437</v>
      </c>
      <c r="B45" s="49">
        <f t="shared" si="6" ref="B45:G45">B23+B33+B41+B44</f>
        <v>-597.0000000000005</v>
      </c>
      <c r="C45" s="49">
        <f t="shared" si="6"/>
        <v>557.8999999999999</v>
      </c>
      <c r="D45" s="49">
        <f t="shared" si="6"/>
        <v>-1355.3000000000002</v>
      </c>
      <c r="E45" s="49">
        <f t="shared" si="6"/>
        <v>753.6</v>
      </c>
      <c r="F45" s="49">
        <f t="shared" si="6"/>
        <v>1344.9999999999998</v>
      </c>
      <c r="G45" s="50">
        <f t="shared" si="6"/>
        <v>468.70893328750003</v>
      </c>
      <c r="H45" s="2"/>
      <c r="I45" s="2"/>
      <c r="J45" s="2"/>
    </row>
    <row r="46" ht="15" customHeight="1">
      <c r="A46" s="2" t="s">
        <v>438</v>
      </c>
      <c r="B46" s="17">
        <f>Inputs!B224</f>
        <v>3446.5</v>
      </c>
      <c r="C46" s="18">
        <f t="shared" si="7" ref="C46:E46">B47</f>
        <v>2849.4999999999995</v>
      </c>
      <c r="D46" s="18">
        <f t="shared" si="7"/>
        <v>3407.3999999999996</v>
      </c>
      <c r="E46" s="18">
        <f t="shared" si="7"/>
        <v>2052.0999999999995</v>
      </c>
      <c r="F46" s="17">
        <f>Inputs!B223</f>
        <v>2062.4</v>
      </c>
      <c r="G46" s="42">
        <f>E47</f>
        <v>2805.6999999999994</v>
      </c>
      <c r="H46" s="2"/>
      <c r="I46" s="2"/>
      <c r="J46" s="2"/>
    </row>
    <row r="47" ht="15" customHeight="1">
      <c r="A47" s="28" t="s">
        <v>439</v>
      </c>
      <c r="B47" s="49">
        <f t="shared" si="8" ref="B47:G47">B46+B45</f>
        <v>2849.4999999999995</v>
      </c>
      <c r="C47" s="49">
        <f t="shared" si="8"/>
        <v>3407.3999999999996</v>
      </c>
      <c r="D47" s="49">
        <f t="shared" si="8"/>
        <v>2052.0999999999995</v>
      </c>
      <c r="E47" s="49">
        <f t="shared" si="8"/>
        <v>2805.6999999999994</v>
      </c>
      <c r="F47" s="49">
        <f t="shared" si="8"/>
        <v>3407.3999999999996</v>
      </c>
      <c r="G47" s="50">
        <f t="shared" si="8"/>
        <v>3274.408933287499</v>
      </c>
      <c r="H47" s="2"/>
      <c r="I47" s="2"/>
      <c r="J47" s="2"/>
    </row>
    <row r="48" ht="15" customHeight="1">
      <c r="A48" s="51" t="s">
        <v>440</v>
      </c>
      <c r="B48" s="17">
        <f>Inputs!C224</f>
        <v>2849.5</v>
      </c>
      <c r="C48" s="17">
        <f>Inputs!D224</f>
        <v>3407.4</v>
      </c>
      <c r="D48" s="17">
        <f>Inputs!E224</f>
        <v>2052.1</v>
      </c>
      <c r="E48" s="17">
        <f>Inputs!F224</f>
        <v>2805.7</v>
      </c>
      <c r="F48" s="17">
        <f>Inputs!D224</f>
        <v>3407.4</v>
      </c>
      <c r="G48" s="42" t="s">
        <v>78</v>
      </c>
      <c r="H48" s="2"/>
      <c r="I48" s="2"/>
      <c r="J48" s="2"/>
    </row>
    <row r="49" ht="15" customHeight="1">
      <c r="A49" s="34" t="s">
        <v>441</v>
      </c>
      <c r="B49" s="18">
        <f t="shared" si="3"/>
        <v>0</v>
      </c>
      <c r="C49" s="18">
        <f t="shared" si="3"/>
        <v>0</v>
      </c>
      <c r="D49" s="18">
        <f t="shared" si="3"/>
        <v>0</v>
      </c>
      <c r="E49" s="18">
        <f t="shared" si="3"/>
        <v>0</v>
      </c>
      <c r="F49" s="18">
        <f t="shared" si="3"/>
        <v>0</v>
      </c>
      <c r="G49" s="42" t="s">
        <v>78</v>
      </c>
      <c r="H49" s="2"/>
      <c r="I49" s="2"/>
      <c r="J49" s="2"/>
    </row>
    <row r="50" ht="15" customHeight="1">
      <c r="A50" s="33" t="s">
        <v>442</v>
      </c>
      <c r="B50" s="17">
        <f>ROUND(B47-'Balance Sheet'!B47,6)</f>
        <v>0</v>
      </c>
      <c r="C50" s="17">
        <f>ROUND(C47-'Balance Sheet'!C47,6)</f>
        <v>0</v>
      </c>
      <c r="D50" s="17">
        <f>ROUND(D47-'Balance Sheet'!D47,6)</f>
        <v>0</v>
      </c>
      <c r="E50" s="17">
        <f>ROUND(E47-'Balance Sheet'!E47,6)</f>
        <v>0</v>
      </c>
      <c r="F50" s="17">
        <f>ROUND(F47-'Balance Sheet'!F47,6)</f>
        <v>0</v>
      </c>
      <c r="G50" s="84">
        <f>ROUND(G47-'Balance Sheet'!G47,6)</f>
        <v>0</v>
      </c>
      <c r="H50" s="2"/>
      <c r="I50" s="2"/>
      <c r="J50" s="2"/>
    </row>
    <row r="51" ht="15" customHeight="1">
      <c r="A51" s="33" t="s">
        <v>443</v>
      </c>
      <c r="B51" s="18" t="s">
        <v>78</v>
      </c>
      <c r="C51" s="17">
        <f>ROUND(C45-('Balance Sheet'!C47-'Balance Sheet'!B47),6)</f>
        <v>0</v>
      </c>
      <c r="D51" s="17">
        <f>ROUND(D45-('Balance Sheet'!D47-'Balance Sheet'!C47),6)</f>
        <v>0</v>
      </c>
      <c r="E51" s="17">
        <f>ROUND(E45-('Balance Sheet'!E47-'Balance Sheet'!D47),6)</f>
        <v>0</v>
      </c>
      <c r="F51" s="18" t="s">
        <v>78</v>
      </c>
      <c r="G51" s="84">
        <f>ROUND(G45-('Balance Sheet'!G47-'Balance Sheet'!E47),6)</f>
        <v>0</v>
      </c>
      <c r="H51" s="2"/>
      <c r="I51" s="2"/>
      <c r="J51" s="2"/>
    </row>
    <row r="52" ht="15" customHeight="1">
      <c r="A52" s="30" t="s">
        <v>444</v>
      </c>
      <c r="B52" s="30"/>
      <c r="C52" s="30"/>
      <c r="D52" s="30"/>
      <c r="E52" s="30"/>
      <c r="F52" s="30"/>
      <c r="G52" s="41"/>
      <c r="H52" s="30"/>
      <c r="I52" s="2"/>
      <c r="J52" s="2"/>
    </row>
    <row r="53" ht="15" customHeight="1">
      <c r="A53" s="28" t="s">
        <v>445</v>
      </c>
      <c r="B53" s="49">
        <f t="shared" si="9" ref="B53:G53">B23+B31</f>
        <v>735.5999999999999</v>
      </c>
      <c r="C53" s="49">
        <f t="shared" si="9"/>
        <v>730</v>
      </c>
      <c r="D53" s="49">
        <f t="shared" si="9"/>
        <v>808.6</v>
      </c>
      <c r="E53" s="49">
        <f t="shared" si="9"/>
        <v>948.3999999999997</v>
      </c>
      <c r="F53" s="49">
        <f t="shared" si="9"/>
        <v>2490.7</v>
      </c>
      <c r="G53" s="50">
        <f t="shared" si="9"/>
        <v>898.7089332875</v>
      </c>
      <c r="H53" s="2"/>
      <c r="I53" s="2"/>
      <c r="J53" s="2"/>
    </row>
    <row r="54" ht="15" customHeight="1">
      <c r="A54" s="31" t="s">
        <v>446</v>
      </c>
      <c r="B54" s="32">
        <f>B53/'Income Statement'!B13</f>
        <v>0.2936409724162708</v>
      </c>
      <c r="C54" s="32">
        <f>C53/'Income Statement'!C13</f>
        <v>0.25469262438071316</v>
      </c>
      <c r="D54" s="32">
        <f>D53/'Income Statement'!D13</f>
        <v>0.29182907463548435</v>
      </c>
      <c r="E54" s="32">
        <f>E53/'Income Statement'!E13</f>
        <v>0.32790512740725364</v>
      </c>
      <c r="F54" s="32">
        <f>F53/'Income Statement'!F13</f>
        <v>0.2474688763698868</v>
      </c>
      <c r="G54" s="94">
        <f>G53/'Income Statement'!G13</f>
        <v>0.30542848563098496</v>
      </c>
      <c r="H54" s="2"/>
      <c r="I54" s="2"/>
      <c r="J54" s="2"/>
    </row>
    <row r="55" ht="15" customHeight="1">
      <c r="A55" s="43" t="s">
        <v>107</v>
      </c>
      <c r="B55" s="60" t="s">
        <v>78</v>
      </c>
      <c r="C55" s="60" t="s">
        <v>78</v>
      </c>
      <c r="D55" s="60" t="s">
        <v>78</v>
      </c>
      <c r="E55" s="60" t="s">
        <v>78</v>
      </c>
      <c r="F55" s="60" t="s">
        <v>78</v>
      </c>
      <c r="G55" s="59">
        <f t="shared" si="11" ref="G55:G58">_xlfn.IFERROR((G54-B54)*10000,"n.a.")</f>
        <v>117.87513214714163</v>
      </c>
      <c r="H55" s="2"/>
      <c r="I55" s="2"/>
      <c r="J55" s="2"/>
    </row>
    <row r="56" ht="15" customHeight="1">
      <c r="A56" s="43" t="s">
        <v>108</v>
      </c>
      <c r="B56" s="60" t="s">
        <v>78</v>
      </c>
      <c r="C56" s="60">
        <f t="shared" si="10" ref="C56:E59">_xlfn.IFERROR((C54-B54)*10000,"n.a.")</f>
        <v>-389.4834803555763</v>
      </c>
      <c r="D56" s="60">
        <f t="shared" si="10"/>
        <v>371.36450254771194</v>
      </c>
      <c r="E56" s="60">
        <f t="shared" si="10"/>
        <v>360.76052771769287</v>
      </c>
      <c r="F56" s="60" t="s">
        <v>78</v>
      </c>
      <c r="G56" s="59">
        <f t="shared" si="12" ref="G56:G59">_xlfn.IFERROR((G54-E54)*10000,"n.a.")</f>
        <v>-224.76641776268679</v>
      </c>
      <c r="H56" s="2"/>
      <c r="I56" s="2"/>
      <c r="J56" s="2"/>
    </row>
    <row r="57" ht="15" customHeight="1">
      <c r="A57" s="31" t="s">
        <v>447</v>
      </c>
      <c r="B57" s="32">
        <f>-B31/'Income Statement'!B13</f>
        <v>0.04207416869586046</v>
      </c>
      <c r="C57" s="32">
        <f>-C31/'Income Statement'!C13</f>
        <v>0.05669527597515873</v>
      </c>
      <c r="D57" s="32">
        <f>-D31/'Income Statement'!D13</f>
        <v>0.03728165150858957</v>
      </c>
      <c r="E57" s="32">
        <f>-E31/'Income Statement'!E13</f>
        <v>0.03893095460360267</v>
      </c>
      <c r="F57" s="32">
        <f>-F31/'Income Statement'!F13</f>
        <v>0.05363299452542052</v>
      </c>
      <c r="G57" s="94">
        <f>-G31/'Income Statement'!G13</f>
        <v>0.04418082613998681</v>
      </c>
      <c r="H57" s="2"/>
      <c r="I57" s="2"/>
      <c r="J57" s="2"/>
    </row>
    <row r="58" ht="15" customHeight="1">
      <c r="A58" s="43" t="s">
        <v>107</v>
      </c>
      <c r="B58" s="60" t="s">
        <v>78</v>
      </c>
      <c r="C58" s="60" t="s">
        <v>78</v>
      </c>
      <c r="D58" s="60" t="s">
        <v>78</v>
      </c>
      <c r="E58" s="60" t="s">
        <v>78</v>
      </c>
      <c r="F58" s="60" t="s">
        <v>78</v>
      </c>
      <c r="G58" s="59">
        <f t="shared" si="11"/>
        <v>21.066574441263516</v>
      </c>
      <c r="H58" s="2"/>
      <c r="I58" s="2"/>
      <c r="J58" s="2"/>
    </row>
    <row r="59" ht="15" customHeight="1">
      <c r="A59" s="43" t="s">
        <v>108</v>
      </c>
      <c r="B59" s="60" t="s">
        <v>78</v>
      </c>
      <c r="C59" s="60">
        <f t="shared" si="10"/>
        <v>146.21107279298266</v>
      </c>
      <c r="D59" s="60">
        <f t="shared" si="10"/>
        <v>-194.13624466569155</v>
      </c>
      <c r="E59" s="60">
        <f t="shared" si="10"/>
        <v>16.493030950130994</v>
      </c>
      <c r="F59" s="60" t="s">
        <v>78</v>
      </c>
      <c r="G59" s="59">
        <f t="shared" si="12"/>
        <v>52.49871536384142</v>
      </c>
      <c r="H59" s="2"/>
      <c r="I59" s="2"/>
      <c r="J59" s="2"/>
    </row>
    <row r="60" ht="15" customHeight="1">
      <c r="A60" s="2" t="s">
        <v>448</v>
      </c>
      <c r="B60" s="18" t="s">
        <v>81</v>
      </c>
      <c r="C60" s="18" t="s">
        <v>81</v>
      </c>
      <c r="D60" s="18" t="s">
        <v>81</v>
      </c>
      <c r="E60" s="18" t="s">
        <v>81</v>
      </c>
      <c r="F60" s="18" t="s">
        <v>81</v>
      </c>
      <c r="G60" s="53">
        <v>210</v>
      </c>
      <c r="H60" s="2" t="s">
        <v>449</v>
      </c>
      <c r="I60" s="2"/>
      <c r="J60" s="2"/>
    </row>
    <row r="61" ht="15" customHeight="1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ht="15" customHeight="1">
      <c r="A62" s="2"/>
      <c r="B62" s="2"/>
      <c r="C62" s="2"/>
      <c r="D62" s="2"/>
      <c r="E62" s="2"/>
      <c r="F62" s="2"/>
      <c r="G62" s="2"/>
      <c r="H62" s="2"/>
      <c r="I62" s="2"/>
      <c r="J62" s="2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6B45AC5-AF08-20B8-9008-694300270E6A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4.00390625" customWidth="1"/>
    <col min="2" max="7" width="12.00390625" customWidth="1"/>
    <col min="8" max="8" width="30.00390625" customWidth="1"/>
    <col min="9" max="10" width="12.00390625" customWidth="1"/>
  </cols>
  <sheetData>
    <row r="1" ht="15" customHeight="1">
      <c r="A1" s="35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" customHeight="1">
      <c r="A2" s="28" t="s">
        <v>450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>
      <c r="A3" s="31" t="s">
        <v>2</v>
      </c>
      <c r="B3" s="2"/>
      <c r="C3" s="2"/>
      <c r="D3" s="2"/>
      <c r="E3" s="2"/>
      <c r="F3" s="2"/>
      <c r="G3" s="2"/>
      <c r="H3" s="2"/>
      <c r="I3" s="2"/>
      <c r="J3" s="2"/>
    </row>
    <row r="4" ht="15" customHeight="1">
      <c r="A4" s="5" t="s">
        <v>3</v>
      </c>
      <c r="B4" s="6" t="s">
        <v>33</v>
      </c>
      <c r="C4" s="6" t="s">
        <v>68</v>
      </c>
      <c r="D4" s="6" t="s">
        <v>69</v>
      </c>
      <c r="E4" s="6" t="s">
        <v>70</v>
      </c>
      <c r="F4" s="6" t="s">
        <v>71</v>
      </c>
      <c r="G4" s="36" t="s">
        <v>4</v>
      </c>
      <c r="H4" s="37" t="s">
        <v>72</v>
      </c>
      <c r="I4" s="2"/>
      <c r="J4" s="2"/>
    </row>
    <row r="5" ht="15" customHeight="1">
      <c r="A5" s="7" t="s">
        <v>5</v>
      </c>
      <c r="B5" s="8">
        <f>DATE(2025,9,30)</f>
        <v>45930</v>
      </c>
      <c r="C5" s="8">
        <f t="shared" si="0" ref="C5:F5">DATE(2025,12,31)</f>
        <v>46022</v>
      </c>
      <c r="D5" s="8">
        <f>DATE(2026,3,31)</f>
        <v>46112</v>
      </c>
      <c r="E5" s="8">
        <f>DATE(2026,6,30)</f>
        <v>46203</v>
      </c>
      <c r="F5" s="8">
        <f t="shared" si="0"/>
        <v>46022</v>
      </c>
      <c r="G5" s="38">
        <f>DATE(2026,9,30)</f>
        <v>46295</v>
      </c>
      <c r="H5" s="9"/>
      <c r="I5" s="2"/>
      <c r="J5" s="2"/>
    </row>
    <row r="6" ht="15" customHeight="1">
      <c r="A6" s="10" t="s">
        <v>6</v>
      </c>
      <c r="B6" s="11">
        <f t="shared" si="1" ref="B6:G6">B5-EOMONTH(B5,-3)</f>
        <v>92</v>
      </c>
      <c r="C6" s="11">
        <f t="shared" si="1"/>
        <v>92</v>
      </c>
      <c r="D6" s="11">
        <f t="shared" si="1"/>
        <v>90</v>
      </c>
      <c r="E6" s="11">
        <f t="shared" si="1"/>
        <v>91</v>
      </c>
      <c r="F6" s="11">
        <f>F5-DATE(YEAR(F5)-1,12,31)</f>
        <v>365</v>
      </c>
      <c r="G6" s="39">
        <f t="shared" si="1"/>
        <v>92</v>
      </c>
      <c r="H6" s="12"/>
      <c r="I6" s="2"/>
      <c r="J6" s="2"/>
    </row>
    <row r="7" ht="15" customHeight="1">
      <c r="A7" s="2"/>
      <c r="B7" s="2"/>
      <c r="C7" s="2"/>
      <c r="D7" s="2"/>
      <c r="E7" s="2"/>
      <c r="F7" s="2"/>
      <c r="G7" s="40"/>
      <c r="H7" s="2"/>
      <c r="I7" s="2"/>
      <c r="J7" s="2"/>
    </row>
    <row r="8" ht="15" customHeight="1">
      <c r="A8" s="30" t="s">
        <v>451</v>
      </c>
      <c r="B8" s="30"/>
      <c r="C8" s="30"/>
      <c r="D8" s="30"/>
      <c r="E8" s="30"/>
      <c r="F8" s="30"/>
      <c r="G8" s="41"/>
      <c r="H8" s="30"/>
      <c r="I8" s="2"/>
      <c r="J8" s="2"/>
    </row>
    <row r="9" ht="15" customHeight="1">
      <c r="A9" s="2" t="s">
        <v>452</v>
      </c>
      <c r="B9" s="52">
        <v>1062</v>
      </c>
      <c r="C9" s="52">
        <v>1160.3</v>
      </c>
      <c r="D9" s="52">
        <v>1121.8</v>
      </c>
      <c r="E9" s="52">
        <v>1180.4</v>
      </c>
      <c r="F9" s="17">
        <f>Inputs!D64+Inputs!E64+B9+C9</f>
        <v>4203.4</v>
      </c>
      <c r="G9" s="84">
        <f>'Revenue summary'!G351-G39</f>
        <v>1204.301454</v>
      </c>
      <c r="H9" s="2" t="s">
        <v>76</v>
      </c>
      <c r="I9" s="2"/>
      <c r="J9" s="2"/>
    </row>
    <row r="10" ht="15" customHeight="1">
      <c r="A10" s="43" t="s">
        <v>34</v>
      </c>
      <c r="B10" s="44">
        <f>_xlfn.IFERROR(B9/Inputs!B64-1,"n.a.")</f>
        <v>0.17374005305039786</v>
      </c>
      <c r="C10" s="44">
        <f>_xlfn.IFERROR(C9/Inputs!C64-1,"n.a.")</f>
        <v>0.15131970629093083</v>
      </c>
      <c r="D10" s="44">
        <f>_xlfn.IFERROR(D9/Inputs!D64-1,"n.a.")</f>
        <v>0.16393442622950816</v>
      </c>
      <c r="E10" s="44">
        <f>_xlfn.IFERROR(E9/Inputs!E64-1,"n.a.")</f>
        <v>0.160326354074511</v>
      </c>
      <c r="F10" s="44">
        <f>_xlfn.IFERROR(F9/Inputs!F64-1,"n.a.")</f>
        <v>0.1591109640414734</v>
      </c>
      <c r="G10" s="45">
        <f t="shared" si="5" ref="G10:G61">_xlfn.IFERROR(G9/B9-1,"n.a.")</f>
        <v>0.13399383615819205</v>
      </c>
      <c r="H10" s="2"/>
      <c r="I10" s="2"/>
      <c r="J10" s="2"/>
    </row>
    <row r="11" ht="15" customHeight="1">
      <c r="A11" s="43" t="s">
        <v>77</v>
      </c>
      <c r="B11" s="44">
        <f>_xlfn.IFERROR(B9/Inputs!E64-1,"n.a.")</f>
        <v>0.04393984075493962</v>
      </c>
      <c r="C11" s="46">
        <f t="shared" si="2" ref="C11:E62">_xlfn.IFERROR(C9/B9-1,"n.a.")</f>
        <v>0.09256120527306955</v>
      </c>
      <c r="D11" s="46">
        <f t="shared" si="2"/>
        <v>-0.03318107386020852</v>
      </c>
      <c r="E11" s="46">
        <f t="shared" si="2"/>
        <v>0.05223747548582658</v>
      </c>
      <c r="F11" s="46" t="s">
        <v>78</v>
      </c>
      <c r="G11" s="45">
        <f t="shared" si="6" ref="G11:G62">_xlfn.IFERROR(G9/E9-1,"n.a.")</f>
        <v>0.020248605557438015</v>
      </c>
      <c r="H11" s="2"/>
      <c r="I11" s="2"/>
      <c r="J11" s="2"/>
    </row>
    <row r="12" ht="15" customHeight="1">
      <c r="A12" s="43" t="s">
        <v>80</v>
      </c>
      <c r="B12" s="48">
        <v>0</v>
      </c>
      <c r="C12" s="48">
        <v>0</v>
      </c>
      <c r="D12" s="48">
        <v>0</v>
      </c>
      <c r="E12" s="48">
        <v>0</v>
      </c>
      <c r="F12" s="48">
        <v>0</v>
      </c>
      <c r="G12" s="85">
        <v>0</v>
      </c>
      <c r="H12" s="2" t="s">
        <v>453</v>
      </c>
      <c r="I12" s="2"/>
      <c r="J12" s="2"/>
    </row>
    <row r="13" ht="15" customHeight="1">
      <c r="A13" s="43" t="s">
        <v>82</v>
      </c>
      <c r="B13" s="48">
        <v>0</v>
      </c>
      <c r="C13" s="48">
        <v>0</v>
      </c>
      <c r="D13" s="48">
        <v>0</v>
      </c>
      <c r="E13" s="48">
        <v>0</v>
      </c>
      <c r="F13" s="48">
        <v>0</v>
      </c>
      <c r="G13" s="85">
        <v>0</v>
      </c>
      <c r="H13" s="2"/>
      <c r="I13" s="2"/>
      <c r="J13" s="2"/>
    </row>
    <row r="14" ht="15" customHeight="1">
      <c r="A14" s="43" t="s">
        <v>83</v>
      </c>
      <c r="B14" s="46">
        <f t="shared" si="3" ref="B14:G58">IF(AND(ISNUMBER(B12),ISNUMBER(B13),ISNUMBER(B10)),(1+B10)/((1+B12)*(1+B13))-1,"n.d.")</f>
        <v>0.17374005305039786</v>
      </c>
      <c r="C14" s="46">
        <f t="shared" si="3"/>
        <v>0.15131970629093083</v>
      </c>
      <c r="D14" s="46">
        <f t="shared" si="3"/>
        <v>0.16393442622950816</v>
      </c>
      <c r="E14" s="46">
        <f t="shared" si="3"/>
        <v>0.160326354074511</v>
      </c>
      <c r="F14" s="46">
        <f t="shared" si="3"/>
        <v>0.1591109640414734</v>
      </c>
      <c r="G14" s="45">
        <f t="shared" si="3"/>
        <v>0.13399383615819205</v>
      </c>
      <c r="H14" s="2"/>
      <c r="I14" s="2"/>
      <c r="J14" s="2"/>
    </row>
    <row r="15" ht="15" customHeight="1">
      <c r="A15" s="43" t="s">
        <v>84</v>
      </c>
      <c r="B15" s="46">
        <f t="shared" si="4" ref="B15:G59">B10</f>
        <v>0.17374005305039786</v>
      </c>
      <c r="C15" s="46">
        <f t="shared" si="4"/>
        <v>0.15131970629093083</v>
      </c>
      <c r="D15" s="46">
        <f t="shared" si="4"/>
        <v>0.16393442622950816</v>
      </c>
      <c r="E15" s="46">
        <f t="shared" si="4"/>
        <v>0.160326354074511</v>
      </c>
      <c r="F15" s="46">
        <f t="shared" si="4"/>
        <v>0.1591109640414734</v>
      </c>
      <c r="G15" s="45">
        <f t="shared" si="4"/>
        <v>0.13399383615819205</v>
      </c>
      <c r="H15" s="2"/>
      <c r="I15" s="2"/>
      <c r="J15" s="2"/>
    </row>
    <row r="16" ht="15" customHeight="1">
      <c r="A16" s="2" t="s">
        <v>454</v>
      </c>
      <c r="B16" s="52">
        <v>397.5</v>
      </c>
      <c r="C16" s="52">
        <v>494.4</v>
      </c>
      <c r="D16" s="52">
        <v>379.8</v>
      </c>
      <c r="E16" s="52">
        <v>442.1</v>
      </c>
      <c r="F16" s="17">
        <f>Inputs!D65+Inputs!E65+B16+C16</f>
        <v>1581.8000000000002</v>
      </c>
      <c r="G16" s="84">
        <f>'Revenue summary'!G413-G46</f>
        <v>456.88948800000003</v>
      </c>
      <c r="H16" s="2" t="s">
        <v>76</v>
      </c>
      <c r="I16" s="2"/>
      <c r="J16" s="2"/>
    </row>
    <row r="17" ht="15" customHeight="1">
      <c r="A17" s="43" t="s">
        <v>34</v>
      </c>
      <c r="B17" s="44">
        <f>_xlfn.IFERROR(B16/Inputs!B65-1,"n.a.")</f>
        <v>0.49773926149208747</v>
      </c>
      <c r="C17" s="44">
        <f>_xlfn.IFERROR(C16/Inputs!C65-1,"n.a.")</f>
        <v>0.17602283539486208</v>
      </c>
      <c r="D17" s="44">
        <f>_xlfn.IFERROR(D16/Inputs!D65-1,"n.a.")</f>
        <v>0.130693658827032</v>
      </c>
      <c r="E17" s="44">
        <f>_xlfn.IFERROR(E16/Inputs!E65-1,"n.a.")</f>
        <v>0.2488700564971753</v>
      </c>
      <c r="F17" s="44">
        <f>_xlfn.IFERROR(F16/Inputs!F65-1,"n.a.")</f>
        <v>0.4090504186709427</v>
      </c>
      <c r="G17" s="45">
        <f t="shared" si="5"/>
        <v>0.1494075169811322</v>
      </c>
      <c r="H17" s="2"/>
      <c r="I17" s="2"/>
      <c r="J17" s="2"/>
    </row>
    <row r="18" ht="15" customHeight="1">
      <c r="A18" s="43" t="s">
        <v>77</v>
      </c>
      <c r="B18" s="44">
        <f>_xlfn.IFERROR(B16/Inputs!E65-1,"n.a.")</f>
        <v>0.12288135593220328</v>
      </c>
      <c r="C18" s="46">
        <f t="shared" si="2"/>
        <v>0.24377358490566037</v>
      </c>
      <c r="D18" s="46">
        <f t="shared" si="2"/>
        <v>-0.23179611650485432</v>
      </c>
      <c r="E18" s="46">
        <f t="shared" si="2"/>
        <v>0.16403370194839395</v>
      </c>
      <c r="F18" s="46" t="s">
        <v>78</v>
      </c>
      <c r="G18" s="45">
        <f t="shared" si="6"/>
        <v>0.03345281158109037</v>
      </c>
      <c r="H18" s="2"/>
      <c r="I18" s="2"/>
      <c r="J18" s="2"/>
    </row>
    <row r="19" ht="15" customHeight="1">
      <c r="A19" s="43" t="s">
        <v>80</v>
      </c>
      <c r="B19" s="48">
        <v>0</v>
      </c>
      <c r="C19" s="48">
        <v>0</v>
      </c>
      <c r="D19" s="48">
        <v>0</v>
      </c>
      <c r="E19" s="48">
        <v>0</v>
      </c>
      <c r="F19" s="48">
        <v>0</v>
      </c>
      <c r="G19" s="85">
        <v>0</v>
      </c>
      <c r="H19" s="2" t="s">
        <v>453</v>
      </c>
      <c r="I19" s="2"/>
      <c r="J19" s="2"/>
    </row>
    <row r="20" ht="15" customHeight="1">
      <c r="A20" s="43" t="s">
        <v>82</v>
      </c>
      <c r="B20" s="48">
        <v>0</v>
      </c>
      <c r="C20" s="48">
        <v>0</v>
      </c>
      <c r="D20" s="48">
        <v>0</v>
      </c>
      <c r="E20" s="48">
        <v>0</v>
      </c>
      <c r="F20" s="48">
        <v>0</v>
      </c>
      <c r="G20" s="85">
        <v>0</v>
      </c>
      <c r="H20" s="2"/>
      <c r="I20" s="2"/>
      <c r="J20" s="2"/>
    </row>
    <row r="21" ht="15" customHeight="1">
      <c r="A21" s="43" t="s">
        <v>83</v>
      </c>
      <c r="B21" s="46">
        <f t="shared" si="3"/>
        <v>0.49773926149208747</v>
      </c>
      <c r="C21" s="46">
        <f t="shared" si="3"/>
        <v>0.17602283539486208</v>
      </c>
      <c r="D21" s="46">
        <f t="shared" si="3"/>
        <v>0.130693658827032</v>
      </c>
      <c r="E21" s="46">
        <f t="shared" si="3"/>
        <v>0.2488700564971753</v>
      </c>
      <c r="F21" s="46">
        <f t="shared" si="3"/>
        <v>0.4090504186709427</v>
      </c>
      <c r="G21" s="45">
        <f t="shared" si="3"/>
        <v>0.1494075169811322</v>
      </c>
      <c r="H21" s="2"/>
      <c r="I21" s="2"/>
      <c r="J21" s="2"/>
    </row>
    <row r="22" ht="15" customHeight="1">
      <c r="A22" s="43" t="s">
        <v>84</v>
      </c>
      <c r="B22" s="46">
        <f t="shared" si="4"/>
        <v>0.49773926149208747</v>
      </c>
      <c r="C22" s="46">
        <f t="shared" si="4"/>
        <v>0.17602283539486208</v>
      </c>
      <c r="D22" s="46">
        <f t="shared" si="4"/>
        <v>0.130693658827032</v>
      </c>
      <c r="E22" s="46">
        <f t="shared" si="4"/>
        <v>0.2488700564971753</v>
      </c>
      <c r="F22" s="46">
        <f t="shared" si="4"/>
        <v>0.4090504186709427</v>
      </c>
      <c r="G22" s="45">
        <f t="shared" si="4"/>
        <v>0.1494075169811322</v>
      </c>
      <c r="H22" s="2"/>
      <c r="I22" s="2"/>
      <c r="J22" s="2"/>
    </row>
    <row r="23" ht="15" customHeight="1">
      <c r="A23" s="2" t="s">
        <v>455</v>
      </c>
      <c r="B23" s="52">
        <v>258.1</v>
      </c>
      <c r="C23" s="52">
        <v>275.9</v>
      </c>
      <c r="D23" s="52">
        <v>281.7</v>
      </c>
      <c r="E23" s="52">
        <v>310.7</v>
      </c>
      <c r="F23" s="17">
        <f>Inputs!D66+Inputs!E66+B23+C23</f>
        <v>1030.6</v>
      </c>
      <c r="G23" s="84">
        <f>'Revenue summary'!G466-G53</f>
        <v>315.2902739</v>
      </c>
      <c r="H23" s="2" t="s">
        <v>76</v>
      </c>
      <c r="I23" s="2"/>
      <c r="J23" s="2"/>
    </row>
    <row r="24" ht="15" customHeight="1">
      <c r="A24" s="43" t="s">
        <v>34</v>
      </c>
      <c r="B24" s="44">
        <f>_xlfn.IFERROR(B23/Inputs!B66-1,"n.a.")</f>
        <v>0.23374760994263877</v>
      </c>
      <c r="C24" s="44">
        <f>_xlfn.IFERROR(C23/Inputs!C66-1,"n.a.")</f>
        <v>0.23114680946006239</v>
      </c>
      <c r="D24" s="44">
        <f>_xlfn.IFERROR(D23/Inputs!D66-1,"n.a.")</f>
        <v>0.18113207547169807</v>
      </c>
      <c r="E24" s="44">
        <f>_xlfn.IFERROR(E23/Inputs!E66-1,"n.a.")</f>
        <v>0.20379697791553641</v>
      </c>
      <c r="F24" s="44">
        <f>_xlfn.IFERROR(F23/Inputs!F66-1,"n.a.")</f>
        <v>0.2263207996192289</v>
      </c>
      <c r="G24" s="45">
        <f t="shared" si="5"/>
        <v>0.22158184385896917</v>
      </c>
      <c r="H24" s="2"/>
      <c r="I24" s="2"/>
      <c r="J24" s="2"/>
    </row>
    <row r="25" ht="15" customHeight="1">
      <c r="A25" s="43" t="s">
        <v>77</v>
      </c>
      <c r="B25" s="44">
        <f>_xlfn.IFERROR(B23/Inputs!E66-1,"n.a.")</f>
        <v>0</v>
      </c>
      <c r="C25" s="46">
        <f t="shared" si="2"/>
        <v>0.06896551724137923</v>
      </c>
      <c r="D25" s="46">
        <f t="shared" si="2"/>
        <v>0.0210221094599492</v>
      </c>
      <c r="E25" s="46">
        <f t="shared" si="2"/>
        <v>0.10294639687610929</v>
      </c>
      <c r="F25" s="46" t="s">
        <v>78</v>
      </c>
      <c r="G25" s="45">
        <f t="shared" si="6"/>
        <v>0.014773974573543569</v>
      </c>
      <c r="H25" s="2"/>
      <c r="I25" s="2"/>
      <c r="J25" s="2"/>
    </row>
    <row r="26" ht="15" customHeight="1">
      <c r="A26" s="43" t="s">
        <v>80</v>
      </c>
      <c r="B26" s="48">
        <v>0</v>
      </c>
      <c r="C26" s="48">
        <v>0</v>
      </c>
      <c r="D26" s="48">
        <v>0</v>
      </c>
      <c r="E26" s="48">
        <v>0</v>
      </c>
      <c r="F26" s="48">
        <v>0</v>
      </c>
      <c r="G26" s="85">
        <v>0</v>
      </c>
      <c r="H26" s="2" t="s">
        <v>453</v>
      </c>
      <c r="I26" s="2"/>
      <c r="J26" s="2"/>
    </row>
    <row r="27" ht="15" customHeight="1">
      <c r="A27" s="43" t="s">
        <v>82</v>
      </c>
      <c r="B27" s="48">
        <v>0</v>
      </c>
      <c r="C27" s="48">
        <v>0</v>
      </c>
      <c r="D27" s="48">
        <v>0</v>
      </c>
      <c r="E27" s="48">
        <v>0</v>
      </c>
      <c r="F27" s="48">
        <v>0</v>
      </c>
      <c r="G27" s="85">
        <v>0</v>
      </c>
      <c r="H27" s="2"/>
      <c r="I27" s="2"/>
      <c r="J27" s="2"/>
    </row>
    <row r="28" ht="15" customHeight="1">
      <c r="A28" s="43" t="s">
        <v>83</v>
      </c>
      <c r="B28" s="46">
        <f t="shared" si="3"/>
        <v>0.23374760994263877</v>
      </c>
      <c r="C28" s="46">
        <f t="shared" si="3"/>
        <v>0.23114680946006239</v>
      </c>
      <c r="D28" s="46">
        <f t="shared" si="3"/>
        <v>0.18113207547169807</v>
      </c>
      <c r="E28" s="46">
        <f t="shared" si="3"/>
        <v>0.20379697791553641</v>
      </c>
      <c r="F28" s="46">
        <f t="shared" si="3"/>
        <v>0.2263207996192289</v>
      </c>
      <c r="G28" s="45">
        <f t="shared" si="3"/>
        <v>0.22158184385896917</v>
      </c>
      <c r="H28" s="2"/>
      <c r="I28" s="2"/>
      <c r="J28" s="2"/>
    </row>
    <row r="29" ht="15" customHeight="1">
      <c r="A29" s="43" t="s">
        <v>84</v>
      </c>
      <c r="B29" s="46">
        <f t="shared" si="4"/>
        <v>0.23374760994263877</v>
      </c>
      <c r="C29" s="46">
        <f t="shared" si="4"/>
        <v>0.23114680946006239</v>
      </c>
      <c r="D29" s="46">
        <f t="shared" si="4"/>
        <v>0.18113207547169807</v>
      </c>
      <c r="E29" s="46">
        <f t="shared" si="4"/>
        <v>0.20379697791553641</v>
      </c>
      <c r="F29" s="46">
        <f t="shared" si="4"/>
        <v>0.2263207996192289</v>
      </c>
      <c r="G29" s="45">
        <f t="shared" si="4"/>
        <v>0.22158184385896917</v>
      </c>
      <c r="H29" s="2"/>
      <c r="I29" s="2"/>
      <c r="J29" s="2"/>
    </row>
    <row r="30" ht="15" customHeight="1">
      <c r="A30" s="28" t="s">
        <v>456</v>
      </c>
      <c r="B30" s="49">
        <f t="shared" si="7" ref="B30:G60">B9+B16+B23</f>
        <v>1717.6</v>
      </c>
      <c r="C30" s="49">
        <f t="shared" si="7"/>
        <v>1930.6</v>
      </c>
      <c r="D30" s="49">
        <f t="shared" si="7"/>
        <v>1783.3</v>
      </c>
      <c r="E30" s="49">
        <f t="shared" si="7"/>
        <v>1933.2</v>
      </c>
      <c r="F30" s="49">
        <f t="shared" si="7"/>
        <v>6815.799999999999</v>
      </c>
      <c r="G30" s="50">
        <f t="shared" si="7"/>
        <v>1976.4812158999998</v>
      </c>
      <c r="H30" s="2"/>
      <c r="I30" s="2"/>
      <c r="J30" s="2"/>
    </row>
    <row r="31" ht="15" customHeight="1">
      <c r="A31" s="43" t="s">
        <v>34</v>
      </c>
      <c r="B31" s="44">
        <f>_xlfn.IFERROR(B30/Inputs!B70-1,"n.a.")</f>
        <v>0.2451790633608817</v>
      </c>
      <c r="C31" s="44">
        <f>_xlfn.IFERROR(C30/Inputs!C70-1,"n.a.")</f>
        <v>0.16843188282999466</v>
      </c>
      <c r="D31" s="44">
        <f>_xlfn.IFERROR(D30/Inputs!D70-1,"n.a.")</f>
        <v>0.15934208815498652</v>
      </c>
      <c r="E31" s="44">
        <f>_xlfn.IFERROR(E30/Inputs!E70-1,"n.a.")</f>
        <v>0.1864489996317662</v>
      </c>
      <c r="F31" s="44">
        <f>_xlfn.IFERROR(F30/Inputs!F70-1,"n.a.")</f>
        <v>0.2194153218592334</v>
      </c>
      <c r="G31" s="45">
        <f t="shared" si="5"/>
        <v>0.15072264549371206</v>
      </c>
      <c r="H31" s="2"/>
      <c r="I31" s="2"/>
      <c r="J31" s="2"/>
    </row>
    <row r="32" ht="15" customHeight="1">
      <c r="A32" s="43" t="s">
        <v>77</v>
      </c>
      <c r="B32" s="44">
        <f>_xlfn.IFERROR(B30/Inputs!E70-1,"n.a.")</f>
        <v>0.054130354731803054</v>
      </c>
      <c r="C32" s="46">
        <f t="shared" si="2"/>
        <v>0.1240102468560782</v>
      </c>
      <c r="D32" s="46">
        <f t="shared" si="2"/>
        <v>-0.07629752408577639</v>
      </c>
      <c r="E32" s="46">
        <f t="shared" si="2"/>
        <v>0.08405764593730725</v>
      </c>
      <c r="F32" s="46" t="s">
        <v>78</v>
      </c>
      <c r="G32" s="45">
        <f t="shared" si="6"/>
        <v>0.022388379836540295</v>
      </c>
      <c r="H32" s="2"/>
      <c r="I32" s="2"/>
      <c r="J32" s="2"/>
    </row>
    <row r="33" ht="15" customHeight="1">
      <c r="A33" s="43" t="s">
        <v>79</v>
      </c>
      <c r="B33" s="32">
        <f>B30/'Revenue summary'!B34</f>
        <v>0.6856412917647998</v>
      </c>
      <c r="C33" s="32">
        <f>C30/'Revenue summary'!C34</f>
        <v>0.673574767985486</v>
      </c>
      <c r="D33" s="32">
        <f>D30/'Revenue summary'!D34</f>
        <v>0.6436047350945575</v>
      </c>
      <c r="E33" s="32">
        <f>E30/'Revenue summary'!E34</f>
        <v>0.6683953946686028</v>
      </c>
      <c r="F33" s="32">
        <f>F30/'Revenue summary'!F34</f>
        <v>0.6771985255397577</v>
      </c>
      <c r="G33" s="94">
        <f>G30/'Revenue summary'!G34</f>
        <v>0.6717120997586741</v>
      </c>
      <c r="H33" s="2"/>
      <c r="I33" s="2"/>
      <c r="J33" s="2"/>
    </row>
    <row r="34" ht="15" customHeight="1">
      <c r="A34" s="43" t="s">
        <v>80</v>
      </c>
      <c r="B34" s="48">
        <v>0</v>
      </c>
      <c r="C34" s="48">
        <v>0</v>
      </c>
      <c r="D34" s="48">
        <v>0</v>
      </c>
      <c r="E34" s="48">
        <v>0</v>
      </c>
      <c r="F34" s="48">
        <v>0</v>
      </c>
      <c r="G34" s="85">
        <v>0</v>
      </c>
      <c r="H34" s="2" t="s">
        <v>453</v>
      </c>
      <c r="I34" s="2"/>
      <c r="J34" s="2"/>
    </row>
    <row r="35" ht="15" customHeight="1">
      <c r="A35" s="43" t="s">
        <v>82</v>
      </c>
      <c r="B35" s="48">
        <v>0</v>
      </c>
      <c r="C35" s="48">
        <v>0</v>
      </c>
      <c r="D35" s="48">
        <v>0</v>
      </c>
      <c r="E35" s="48">
        <v>0</v>
      </c>
      <c r="F35" s="48">
        <v>0</v>
      </c>
      <c r="G35" s="85">
        <v>0</v>
      </c>
      <c r="H35" s="2"/>
      <c r="I35" s="2"/>
      <c r="J35" s="2"/>
    </row>
    <row r="36" ht="15" customHeight="1">
      <c r="A36" s="43" t="s">
        <v>83</v>
      </c>
      <c r="B36" s="46">
        <f t="shared" si="8" ref="B36:G66">IF(AND(ISNUMBER(B34),ISNUMBER(B35),ISNUMBER(B31)),(1+B31)/((1+B34)*(1+B35))-1,"n.d.")</f>
        <v>0.2451790633608817</v>
      </c>
      <c r="C36" s="46">
        <f t="shared" si="8"/>
        <v>0.16843188282999466</v>
      </c>
      <c r="D36" s="46">
        <f t="shared" si="8"/>
        <v>0.15934208815498652</v>
      </c>
      <c r="E36" s="46">
        <f t="shared" si="8"/>
        <v>0.1864489996317662</v>
      </c>
      <c r="F36" s="46">
        <f t="shared" si="8"/>
        <v>0.2194153218592334</v>
      </c>
      <c r="G36" s="45">
        <f t="shared" si="8"/>
        <v>0.15072264549371206</v>
      </c>
      <c r="H36" s="2"/>
      <c r="I36" s="2"/>
      <c r="J36" s="2"/>
    </row>
    <row r="37" ht="15" customHeight="1">
      <c r="A37" s="43" t="s">
        <v>84</v>
      </c>
      <c r="B37" s="46">
        <f t="shared" si="9" ref="B37:G37">B31</f>
        <v>0.2451790633608817</v>
      </c>
      <c r="C37" s="46">
        <f t="shared" si="9"/>
        <v>0.16843188282999466</v>
      </c>
      <c r="D37" s="46">
        <f t="shared" si="9"/>
        <v>0.15934208815498652</v>
      </c>
      <c r="E37" s="46">
        <f t="shared" si="9"/>
        <v>0.1864489996317662</v>
      </c>
      <c r="F37" s="46">
        <f t="shared" si="9"/>
        <v>0.2194153218592334</v>
      </c>
      <c r="G37" s="45">
        <f t="shared" si="9"/>
        <v>0.15072264549371206</v>
      </c>
      <c r="H37" s="2"/>
      <c r="I37" s="2"/>
      <c r="J37" s="2"/>
    </row>
    <row r="38" ht="15" customHeight="1">
      <c r="A38" s="30" t="s">
        <v>457</v>
      </c>
      <c r="B38" s="30"/>
      <c r="C38" s="30"/>
      <c r="D38" s="30"/>
      <c r="E38" s="30"/>
      <c r="F38" s="30"/>
      <c r="G38" s="41"/>
      <c r="H38" s="30"/>
      <c r="I38" s="2"/>
      <c r="J38" s="2"/>
    </row>
    <row r="39" ht="15" customHeight="1">
      <c r="A39" s="2" t="s">
        <v>458</v>
      </c>
      <c r="B39" s="52">
        <v>456.8</v>
      </c>
      <c r="C39" s="52">
        <v>498</v>
      </c>
      <c r="D39" s="52">
        <v>564.6</v>
      </c>
      <c r="E39" s="52">
        <v>554.5</v>
      </c>
      <c r="F39" s="17">
        <f>Inputs!D67+Inputs!E67+B39+C39</f>
        <v>1815.5</v>
      </c>
      <c r="G39" s="84">
        <f>'Revenue summary'!G351*G70</f>
        <v>566.730096</v>
      </c>
      <c r="H39" s="2" t="s">
        <v>76</v>
      </c>
      <c r="I39" s="2"/>
      <c r="J39" s="2"/>
    </row>
    <row r="40" ht="15" customHeight="1">
      <c r="A40" s="43" t="s">
        <v>34</v>
      </c>
      <c r="B40" s="44">
        <f>_xlfn.IFERROR(B39/Inputs!B67-1,"n.a.")</f>
        <v>0.2710072342793546</v>
      </c>
      <c r="C40" s="44">
        <f>_xlfn.IFERROR(C39/Inputs!C67-1,"n.a.")</f>
        <v>0.2335892989843944</v>
      </c>
      <c r="D40" s="44">
        <f>_xlfn.IFERROR(D39/Inputs!D67-1,"n.a.")</f>
        <v>0.39787076008913114</v>
      </c>
      <c r="E40" s="44">
        <f>_xlfn.IFERROR(E39/Inputs!E67-1,"n.a.")</f>
        <v>0.21387915936952706</v>
      </c>
      <c r="F40" s="44">
        <f>_xlfn.IFERROR(F39/Inputs!F67-1,"n.a.")</f>
        <v>0.24982789480930756</v>
      </c>
      <c r="G40" s="45">
        <f t="shared" si="5"/>
        <v>0.240652574430823</v>
      </c>
      <c r="H40" s="2"/>
      <c r="I40" s="2"/>
      <c r="J40" s="2"/>
    </row>
    <row r="41" ht="15" customHeight="1">
      <c r="A41" s="43" t="s">
        <v>77</v>
      </c>
      <c r="B41" s="44">
        <f>_xlfn.IFERROR(B39/Inputs!E67-1,"n.a.")</f>
        <v>0</v>
      </c>
      <c r="C41" s="46">
        <f t="shared" si="2"/>
        <v>0.0901926444833625</v>
      </c>
      <c r="D41" s="46">
        <f t="shared" si="2"/>
        <v>0.13373493975903616</v>
      </c>
      <c r="E41" s="46">
        <f t="shared" si="2"/>
        <v>-0.017888770811193777</v>
      </c>
      <c r="F41" s="46" t="s">
        <v>78</v>
      </c>
      <c r="G41" s="45">
        <f t="shared" si="6"/>
        <v>0.022056079350766478</v>
      </c>
      <c r="H41" s="2"/>
      <c r="I41" s="2"/>
      <c r="J41" s="2"/>
    </row>
    <row r="42" ht="15" customHeight="1">
      <c r="A42" s="43" t="s">
        <v>80</v>
      </c>
      <c r="B42" s="48">
        <v>0</v>
      </c>
      <c r="C42" s="48">
        <v>0</v>
      </c>
      <c r="D42" s="19" t="s">
        <v>81</v>
      </c>
      <c r="E42" s="19" t="s">
        <v>81</v>
      </c>
      <c r="F42" s="48">
        <v>0</v>
      </c>
      <c r="G42" s="47" t="s">
        <v>81</v>
      </c>
      <c r="H42" s="2"/>
      <c r="I42" s="2"/>
      <c r="J42" s="2"/>
    </row>
    <row r="43" ht="15" customHeight="1">
      <c r="A43" s="43" t="s">
        <v>82</v>
      </c>
      <c r="B43" s="19" t="s">
        <v>81</v>
      </c>
      <c r="C43" s="19" t="s">
        <v>81</v>
      </c>
      <c r="D43" s="19" t="s">
        <v>81</v>
      </c>
      <c r="E43" s="19" t="s">
        <v>81</v>
      </c>
      <c r="F43" s="19" t="s">
        <v>81</v>
      </c>
      <c r="G43" s="47" t="s">
        <v>81</v>
      </c>
      <c r="H43" s="2"/>
      <c r="I43" s="2"/>
      <c r="J43" s="2"/>
    </row>
    <row r="44" ht="15" customHeight="1">
      <c r="A44" s="43" t="s">
        <v>83</v>
      </c>
      <c r="B44" s="46" t="str">
        <f t="shared" si="3"/>
        <v>n.d.</v>
      </c>
      <c r="C44" s="46" t="str">
        <f t="shared" si="3"/>
        <v>n.d.</v>
      </c>
      <c r="D44" s="46" t="str">
        <f t="shared" si="3"/>
        <v>n.d.</v>
      </c>
      <c r="E44" s="46" t="str">
        <f t="shared" si="3"/>
        <v>n.d.</v>
      </c>
      <c r="F44" s="46" t="str">
        <f t="shared" si="3"/>
        <v>n.d.</v>
      </c>
      <c r="G44" s="45" t="str">
        <f t="shared" si="3"/>
        <v>n.d.</v>
      </c>
      <c r="H44" s="2"/>
      <c r="I44" s="2"/>
      <c r="J44" s="2"/>
    </row>
    <row r="45" ht="15" customHeight="1">
      <c r="A45" s="43" t="s">
        <v>84</v>
      </c>
      <c r="B45" s="46">
        <f t="shared" si="4"/>
        <v>0.2710072342793546</v>
      </c>
      <c r="C45" s="46">
        <f t="shared" si="4"/>
        <v>0.2335892989843944</v>
      </c>
      <c r="D45" s="46">
        <f t="shared" si="4"/>
        <v>0.39787076008913114</v>
      </c>
      <c r="E45" s="46">
        <f t="shared" si="4"/>
        <v>0.21387915936952706</v>
      </c>
      <c r="F45" s="46">
        <f t="shared" si="4"/>
        <v>0.24982789480930756</v>
      </c>
      <c r="G45" s="45">
        <f t="shared" si="4"/>
        <v>0.240652574430823</v>
      </c>
      <c r="H45" s="2"/>
      <c r="I45" s="2"/>
      <c r="J45" s="2"/>
    </row>
    <row r="46" ht="15" customHeight="1">
      <c r="A46" s="2" t="s">
        <v>459</v>
      </c>
      <c r="B46" s="52">
        <v>192.9</v>
      </c>
      <c r="C46" s="52">
        <v>291.5</v>
      </c>
      <c r="D46" s="52">
        <v>270.9</v>
      </c>
      <c r="E46" s="52">
        <v>242.9</v>
      </c>
      <c r="F46" s="17">
        <f>Inputs!D68+Inputs!E68+B46+C46</f>
        <v>891.9</v>
      </c>
      <c r="G46" s="84">
        <f>'Revenue summary'!G413*G73</f>
        <v>235.36731200000006</v>
      </c>
      <c r="H46" s="2" t="s">
        <v>76</v>
      </c>
      <c r="I46" s="2"/>
      <c r="J46" s="2"/>
    </row>
    <row r="47" ht="15" customHeight="1">
      <c r="A47" s="43" t="s">
        <v>34</v>
      </c>
      <c r="B47" s="44">
        <f>_xlfn.IFERROR(B46/Inputs!B68-1,"n.a.")</f>
        <v>0.07405345211581293</v>
      </c>
      <c r="C47" s="44">
        <f>_xlfn.IFERROR(C46/Inputs!C68-1,"n.a.")</f>
        <v>0.2446626814688302</v>
      </c>
      <c r="D47" s="44">
        <f>_xlfn.IFERROR(D46/Inputs!D68-1,"n.a.")</f>
        <v>0.45021413276231237</v>
      </c>
      <c r="E47" s="44">
        <f>_xlfn.IFERROR(E46/Inputs!E68-1,"n.a.")</f>
        <v>0.10058903488898974</v>
      </c>
      <c r="F47" s="44">
        <f>_xlfn.IFERROR(F46/Inputs!F68-1,"n.a.")</f>
        <v>0.05750533554659709</v>
      </c>
      <c r="G47" s="45">
        <f t="shared" si="5"/>
        <v>0.22015195438050839</v>
      </c>
      <c r="H47" s="2"/>
      <c r="I47" s="2"/>
      <c r="J47" s="2"/>
    </row>
    <row r="48" ht="15" customHeight="1">
      <c r="A48" s="43" t="s">
        <v>77</v>
      </c>
      <c r="B48" s="44">
        <f>_xlfn.IFERROR(B46/Inputs!E68-1,"n.a.")</f>
        <v>-0.12596284549161751</v>
      </c>
      <c r="C48" s="46">
        <f t="shared" si="2"/>
        <v>0.5111456713322964</v>
      </c>
      <c r="D48" s="46">
        <f t="shared" si="2"/>
        <v>-0.07066895368782167</v>
      </c>
      <c r="E48" s="46">
        <f t="shared" si="2"/>
        <v>-0.10335917312661491</v>
      </c>
      <c r="F48" s="46" t="s">
        <v>78</v>
      </c>
      <c r="G48" s="45">
        <f t="shared" si="6"/>
        <v>-0.0310114779744749</v>
      </c>
      <c r="H48" s="2"/>
      <c r="I48" s="2"/>
      <c r="J48" s="2"/>
    </row>
    <row r="49" ht="15" customHeight="1">
      <c r="A49" s="43" t="s">
        <v>80</v>
      </c>
      <c r="B49" s="48">
        <v>0</v>
      </c>
      <c r="C49" s="48">
        <v>0</v>
      </c>
      <c r="D49" s="19" t="s">
        <v>81</v>
      </c>
      <c r="E49" s="19" t="s">
        <v>81</v>
      </c>
      <c r="F49" s="48">
        <v>0</v>
      </c>
      <c r="G49" s="47" t="s">
        <v>81</v>
      </c>
      <c r="H49" s="2"/>
      <c r="I49" s="2"/>
      <c r="J49" s="2"/>
    </row>
    <row r="50" ht="15" customHeight="1">
      <c r="A50" s="43" t="s">
        <v>82</v>
      </c>
      <c r="B50" s="19" t="s">
        <v>81</v>
      </c>
      <c r="C50" s="19" t="s">
        <v>81</v>
      </c>
      <c r="D50" s="19" t="s">
        <v>81</v>
      </c>
      <c r="E50" s="19" t="s">
        <v>81</v>
      </c>
      <c r="F50" s="19" t="s">
        <v>81</v>
      </c>
      <c r="G50" s="47" t="s">
        <v>81</v>
      </c>
      <c r="H50" s="2"/>
      <c r="I50" s="2"/>
      <c r="J50" s="2"/>
    </row>
    <row r="51" ht="15" customHeight="1">
      <c r="A51" s="43" t="s">
        <v>83</v>
      </c>
      <c r="B51" s="46" t="str">
        <f t="shared" si="3"/>
        <v>n.d.</v>
      </c>
      <c r="C51" s="46" t="str">
        <f t="shared" si="3"/>
        <v>n.d.</v>
      </c>
      <c r="D51" s="46" t="str">
        <f t="shared" si="3"/>
        <v>n.d.</v>
      </c>
      <c r="E51" s="46" t="str">
        <f t="shared" si="3"/>
        <v>n.d.</v>
      </c>
      <c r="F51" s="46" t="str">
        <f t="shared" si="3"/>
        <v>n.d.</v>
      </c>
      <c r="G51" s="45" t="str">
        <f t="shared" si="3"/>
        <v>n.d.</v>
      </c>
      <c r="H51" s="2"/>
      <c r="I51" s="2"/>
      <c r="J51" s="2"/>
    </row>
    <row r="52" ht="15" customHeight="1">
      <c r="A52" s="43" t="s">
        <v>84</v>
      </c>
      <c r="B52" s="46">
        <f t="shared" si="4"/>
        <v>0.07405345211581293</v>
      </c>
      <c r="C52" s="46">
        <f t="shared" si="4"/>
        <v>0.2446626814688302</v>
      </c>
      <c r="D52" s="46">
        <f t="shared" si="4"/>
        <v>0.45021413276231237</v>
      </c>
      <c r="E52" s="46">
        <f t="shared" si="4"/>
        <v>0.10058903488898974</v>
      </c>
      <c r="F52" s="46">
        <f t="shared" si="4"/>
        <v>0.05750533554659709</v>
      </c>
      <c r="G52" s="45">
        <f t="shared" si="4"/>
        <v>0.22015195438050839</v>
      </c>
      <c r="H52" s="2"/>
      <c r="I52" s="2"/>
      <c r="J52" s="2"/>
    </row>
    <row r="53" ht="15" customHeight="1">
      <c r="A53" s="2" t="s">
        <v>460</v>
      </c>
      <c r="B53" s="52">
        <v>137.8</v>
      </c>
      <c r="C53" s="52">
        <v>146.1</v>
      </c>
      <c r="D53" s="52">
        <v>152</v>
      </c>
      <c r="E53" s="52">
        <v>161.7</v>
      </c>
      <c r="F53" s="17">
        <f>Inputs!D69+Inputs!E69+B53+C53</f>
        <v>541.5</v>
      </c>
      <c r="G53" s="84">
        <f>'Revenue summary'!G466*G76</f>
        <v>163.87427610000003</v>
      </c>
      <c r="H53" s="2" t="s">
        <v>76</v>
      </c>
      <c r="I53" s="2"/>
      <c r="J53" s="2"/>
    </row>
    <row r="54" ht="15" customHeight="1">
      <c r="A54" s="43" t="s">
        <v>34</v>
      </c>
      <c r="B54" s="44">
        <f>_xlfn.IFERROR(B53/Inputs!B69-1,"n.a.")</f>
        <v>0.15121136173767757</v>
      </c>
      <c r="C54" s="44">
        <f>_xlfn.IFERROR(C53/Inputs!C69-1,"n.a.")</f>
        <v>0.18491484184914841</v>
      </c>
      <c r="D54" s="44">
        <f>_xlfn.IFERROR(D53/Inputs!D69-1,"n.a.")</f>
        <v>0.22088353413654627</v>
      </c>
      <c r="E54" s="44">
        <f>_xlfn.IFERROR(E53/Inputs!E69-1,"n.a.")</f>
        <v>0.2148760330578512</v>
      </c>
      <c r="F54" s="44">
        <f>_xlfn.IFERROR(F53/Inputs!F69-1,"n.a.")</f>
        <v>0.16027426612384832</v>
      </c>
      <c r="G54" s="45">
        <f t="shared" si="5"/>
        <v>0.18921825907111778</v>
      </c>
      <c r="H54" s="2"/>
      <c r="I54" s="2"/>
      <c r="J54" s="2"/>
    </row>
    <row r="55" ht="15" customHeight="1">
      <c r="A55" s="43" t="s">
        <v>77</v>
      </c>
      <c r="B55" s="44">
        <f>_xlfn.IFERROR(B53/Inputs!E69-1,"n.a.")</f>
        <v>0.0353117956423743</v>
      </c>
      <c r="C55" s="46">
        <f t="shared" si="2"/>
        <v>0.06023222060957889</v>
      </c>
      <c r="D55" s="46">
        <f t="shared" si="2"/>
        <v>0.040383299110198445</v>
      </c>
      <c r="E55" s="46">
        <f t="shared" si="2"/>
        <v>0.06381578947368416</v>
      </c>
      <c r="F55" s="46" t="s">
        <v>78</v>
      </c>
      <c r="G55" s="45">
        <f t="shared" si="6"/>
        <v>0.013446358070501097</v>
      </c>
      <c r="H55" s="2"/>
      <c r="I55" s="2"/>
      <c r="J55" s="2"/>
    </row>
    <row r="56" ht="15" customHeight="1">
      <c r="A56" s="43" t="s">
        <v>80</v>
      </c>
      <c r="B56" s="48">
        <v>0</v>
      </c>
      <c r="C56" s="48">
        <v>0</v>
      </c>
      <c r="D56" s="19" t="s">
        <v>81</v>
      </c>
      <c r="E56" s="19" t="s">
        <v>81</v>
      </c>
      <c r="F56" s="48">
        <v>0</v>
      </c>
      <c r="G56" s="47" t="s">
        <v>81</v>
      </c>
      <c r="H56" s="2"/>
      <c r="I56" s="2"/>
      <c r="J56" s="2"/>
    </row>
    <row r="57" ht="15" customHeight="1">
      <c r="A57" s="43" t="s">
        <v>82</v>
      </c>
      <c r="B57" s="19" t="s">
        <v>81</v>
      </c>
      <c r="C57" s="19" t="s">
        <v>81</v>
      </c>
      <c r="D57" s="19" t="s">
        <v>81</v>
      </c>
      <c r="E57" s="19" t="s">
        <v>81</v>
      </c>
      <c r="F57" s="19" t="s">
        <v>81</v>
      </c>
      <c r="G57" s="47" t="s">
        <v>81</v>
      </c>
      <c r="H57" s="2"/>
      <c r="I57" s="2"/>
      <c r="J57" s="2"/>
    </row>
    <row r="58" ht="15" customHeight="1">
      <c r="A58" s="43" t="s">
        <v>83</v>
      </c>
      <c r="B58" s="46" t="str">
        <f t="shared" si="3"/>
        <v>n.d.</v>
      </c>
      <c r="C58" s="46" t="str">
        <f t="shared" si="3"/>
        <v>n.d.</v>
      </c>
      <c r="D58" s="46" t="str">
        <f t="shared" si="3"/>
        <v>n.d.</v>
      </c>
      <c r="E58" s="46" t="str">
        <f t="shared" si="3"/>
        <v>n.d.</v>
      </c>
      <c r="F58" s="46" t="str">
        <f t="shared" si="3"/>
        <v>n.d.</v>
      </c>
      <c r="G58" s="45" t="str">
        <f t="shared" si="3"/>
        <v>n.d.</v>
      </c>
      <c r="H58" s="2"/>
      <c r="I58" s="2"/>
      <c r="J58" s="2"/>
    </row>
    <row r="59" ht="15" customHeight="1">
      <c r="A59" s="43" t="s">
        <v>84</v>
      </c>
      <c r="B59" s="46">
        <f t="shared" si="4"/>
        <v>0.15121136173767757</v>
      </c>
      <c r="C59" s="46">
        <f t="shared" si="4"/>
        <v>0.18491484184914841</v>
      </c>
      <c r="D59" s="46">
        <f t="shared" si="4"/>
        <v>0.22088353413654627</v>
      </c>
      <c r="E59" s="46">
        <f t="shared" si="4"/>
        <v>0.2148760330578512</v>
      </c>
      <c r="F59" s="46">
        <f t="shared" si="4"/>
        <v>0.16027426612384832</v>
      </c>
      <c r="G59" s="45">
        <f t="shared" si="4"/>
        <v>0.18921825907111778</v>
      </c>
      <c r="H59" s="2"/>
      <c r="I59" s="2"/>
      <c r="J59" s="2"/>
    </row>
    <row r="60" ht="15" customHeight="1">
      <c r="A60" s="28" t="s">
        <v>461</v>
      </c>
      <c r="B60" s="49">
        <f t="shared" si="7"/>
        <v>787.5</v>
      </c>
      <c r="C60" s="49">
        <f t="shared" si="7"/>
        <v>935.6</v>
      </c>
      <c r="D60" s="49">
        <f t="shared" si="7"/>
        <v>987.5</v>
      </c>
      <c r="E60" s="49">
        <f t="shared" si="7"/>
        <v>959.0999999999999</v>
      </c>
      <c r="F60" s="49">
        <f t="shared" si="7"/>
        <v>3248.9</v>
      </c>
      <c r="G60" s="50">
        <f t="shared" si="7"/>
        <v>965.9716841000002</v>
      </c>
      <c r="H60" s="2"/>
      <c r="I60" s="2"/>
      <c r="J60" s="2"/>
    </row>
    <row r="61" ht="15" customHeight="1">
      <c r="A61" s="43" t="s">
        <v>34</v>
      </c>
      <c r="B61" s="44">
        <f>_xlfn.IFERROR(B60/Inputs!B71-1,"n.a.")</f>
        <v>0.19553666312433582</v>
      </c>
      <c r="C61" s="44">
        <f>_xlfn.IFERROR(C60/Inputs!C71-1,"n.a.")</f>
        <v>0.22911192853389406</v>
      </c>
      <c r="D61" s="44">
        <f>_xlfn.IFERROR(D60/Inputs!D71-1,"n.a.")</f>
        <v>0.38073266219239366</v>
      </c>
      <c r="E61" s="44">
        <f>_xlfn.IFERROR(E60/Inputs!E71-1,"n.a.")</f>
        <v>0.18319763138415968</v>
      </c>
      <c r="F61" s="44">
        <f>_xlfn.IFERROR(F60/Inputs!F71-1,"n.a.")</f>
        <v>0.17598725884098898</v>
      </c>
      <c r="G61" s="45">
        <f t="shared" si="5"/>
        <v>0.2266307099682543</v>
      </c>
      <c r="H61" s="2"/>
      <c r="I61" s="2"/>
      <c r="J61" s="2"/>
    </row>
    <row r="62" ht="15" customHeight="1">
      <c r="A62" s="43" t="s">
        <v>77</v>
      </c>
      <c r="B62" s="44">
        <f>_xlfn.IFERROR(B60/Inputs!E71-1,"n.a.")</f>
        <v>-0.02849740932642486</v>
      </c>
      <c r="C62" s="46">
        <f t="shared" si="2"/>
        <v>0.18806349206349204</v>
      </c>
      <c r="D62" s="46">
        <f t="shared" si="2"/>
        <v>0.05547242411286879</v>
      </c>
      <c r="E62" s="46">
        <f t="shared" si="2"/>
        <v>-0.02875949367088615</v>
      </c>
      <c r="F62" s="46" t="s">
        <v>78</v>
      </c>
      <c r="G62" s="45">
        <f t="shared" si="6"/>
        <v>0.007164721196955659</v>
      </c>
      <c r="H62" s="2"/>
      <c r="I62" s="2"/>
      <c r="J62" s="2"/>
    </row>
    <row r="63" ht="15" customHeight="1">
      <c r="A63" s="43" t="s">
        <v>79</v>
      </c>
      <c r="B63" s="32">
        <f>B60/'Revenue summary'!B34</f>
        <v>0.3143587082352002</v>
      </c>
      <c r="C63" s="32">
        <f>C60/'Revenue summary'!C34</f>
        <v>0.326425232014514</v>
      </c>
      <c r="D63" s="32">
        <f>D60/'Revenue summary'!D34</f>
        <v>0.35639526490544243</v>
      </c>
      <c r="E63" s="32">
        <f>E60/'Revenue summary'!E34</f>
        <v>0.33160460533139713</v>
      </c>
      <c r="F63" s="32">
        <f>F60/'Revenue summary'!F34</f>
        <v>0.3228014744602422</v>
      </c>
      <c r="G63" s="94">
        <f>G60/'Revenue summary'!G34</f>
        <v>0.328287900241326</v>
      </c>
      <c r="H63" s="2"/>
      <c r="I63" s="2"/>
      <c r="J63" s="2"/>
    </row>
    <row r="64" ht="15" customHeight="1">
      <c r="A64" s="43" t="s">
        <v>80</v>
      </c>
      <c r="B64" s="48">
        <v>0</v>
      </c>
      <c r="C64" s="48">
        <v>0</v>
      </c>
      <c r="D64" s="19" t="s">
        <v>81</v>
      </c>
      <c r="E64" s="19" t="s">
        <v>81</v>
      </c>
      <c r="F64" s="48">
        <v>0</v>
      </c>
      <c r="G64" s="47" t="s">
        <v>81</v>
      </c>
      <c r="H64" s="2"/>
      <c r="I64" s="2"/>
      <c r="J64" s="2"/>
    </row>
    <row r="65" ht="15" customHeight="1">
      <c r="A65" s="43" t="s">
        <v>462</v>
      </c>
      <c r="B65" s="32">
        <f>IF(ISNUMBER('Revenue summary'!B39),'Revenue summary'!B39/(B60-'Revenue summary'!B39),"n.d.")</f>
        <v>0.0038240917782026767</v>
      </c>
      <c r="C65" s="32" t="str">
        <f>IF(ISNUMBER('Revenue summary'!C39),'Revenue summary'!C39/(C60-'Revenue summary'!C39),"n.d.")</f>
        <v>n.d.</v>
      </c>
      <c r="D65" s="32">
        <f>IF(ISNUMBER('Revenue summary'!D39),'Revenue summary'!D39/(D60-'Revenue summary'!D39),"n.d.")</f>
        <v>0.03783499737256963</v>
      </c>
      <c r="E65" s="32">
        <f>IF(ISNUMBER('Revenue summary'!E39),'Revenue summary'!E39/(E60-'Revenue summary'!E39),"n.d.")</f>
        <v>0.00418804313684431</v>
      </c>
      <c r="F65" s="19" t="s">
        <v>81</v>
      </c>
      <c r="G65" s="94">
        <f>IF(ISNUMBER('Revenue summary'!G39),'Revenue summary'!G39/(G60-'Revenue summary'!G39),"n.d.")</f>
        <v>-0.005149480754049519</v>
      </c>
      <c r="H65" s="2"/>
      <c r="I65" s="2"/>
      <c r="J65" s="2"/>
    </row>
    <row r="66" ht="15" customHeight="1">
      <c r="A66" s="43" t="s">
        <v>83</v>
      </c>
      <c r="B66" s="46">
        <f t="shared" si="8"/>
        <v>0.1909822377410051</v>
      </c>
      <c r="C66" s="46" t="str">
        <f t="shared" si="8"/>
        <v>n.d.</v>
      </c>
      <c r="D66" s="46" t="str">
        <f t="shared" si="8"/>
        <v>n.d.</v>
      </c>
      <c r="E66" s="46" t="str">
        <f t="shared" si="8"/>
        <v>n.d.</v>
      </c>
      <c r="F66" s="46" t="str">
        <f t="shared" si="8"/>
        <v>n.d.</v>
      </c>
      <c r="G66" s="45" t="str">
        <f t="shared" si="8"/>
        <v>n.d.</v>
      </c>
      <c r="H66" s="2"/>
      <c r="I66" s="2"/>
      <c r="J66" s="2"/>
    </row>
    <row r="67" ht="15" customHeight="1">
      <c r="A67" s="43" t="s">
        <v>463</v>
      </c>
      <c r="B67" s="46">
        <f t="shared" si="10" ref="B67:G67">IF(ISNUMBER(B65),(1+B61)/(1+B65)-1,"n.d.")</f>
        <v>0.1909822377410051</v>
      </c>
      <c r="C67" s="46" t="str">
        <f t="shared" si="10"/>
        <v>n.d.</v>
      </c>
      <c r="D67" s="46">
        <f t="shared" si="10"/>
        <v>0.3303970917225951</v>
      </c>
      <c r="E67" s="46">
        <f t="shared" si="10"/>
        <v>0.1782630150505795</v>
      </c>
      <c r="F67" s="46" t="str">
        <f t="shared" si="10"/>
        <v>n.d.</v>
      </c>
      <c r="G67" s="45">
        <f t="shared" si="10"/>
        <v>0.23297991631746062</v>
      </c>
      <c r="H67" s="2"/>
      <c r="I67" s="2"/>
      <c r="J67" s="2"/>
    </row>
    <row r="68" ht="15" customHeight="1">
      <c r="A68" s="43" t="s">
        <v>84</v>
      </c>
      <c r="B68" s="46">
        <f t="shared" si="11" ref="B68:G68">B61</f>
        <v>0.19553666312433582</v>
      </c>
      <c r="C68" s="46">
        <f t="shared" si="11"/>
        <v>0.22911192853389406</v>
      </c>
      <c r="D68" s="46">
        <f t="shared" si="11"/>
        <v>0.38073266219239366</v>
      </c>
      <c r="E68" s="46">
        <f t="shared" si="11"/>
        <v>0.18319763138415968</v>
      </c>
      <c r="F68" s="46">
        <f t="shared" si="11"/>
        <v>0.17598725884098898</v>
      </c>
      <c r="G68" s="45">
        <f t="shared" si="11"/>
        <v>0.2266307099682543</v>
      </c>
      <c r="H68" s="2"/>
      <c r="I68" s="2"/>
      <c r="J68" s="2"/>
    </row>
    <row r="69" ht="15" customHeight="1">
      <c r="A69" s="30" t="s">
        <v>464</v>
      </c>
      <c r="B69" s="30"/>
      <c r="C69" s="30"/>
      <c r="D69" s="30"/>
      <c r="E69" s="30"/>
      <c r="F69" s="30"/>
      <c r="G69" s="41"/>
      <c r="H69" s="30"/>
      <c r="I69" s="2"/>
      <c r="J69" s="2"/>
    </row>
    <row r="70" ht="15" customHeight="1">
      <c r="A70" s="31" t="s">
        <v>465</v>
      </c>
      <c r="B70" s="32">
        <f>B39/'Revenue summary'!B351</f>
        <v>0.3007637608638399</v>
      </c>
      <c r="C70" s="32">
        <f>C39/'Revenue summary'!C351</f>
        <v>0.30030754387022857</v>
      </c>
      <c r="D70" s="32">
        <f>D39/'Revenue summary'!D351</f>
        <v>0.33479601518026564</v>
      </c>
      <c r="E70" s="32">
        <f>E39/'Revenue summary'!E351</f>
        <v>0.31961496339846673</v>
      </c>
      <c r="F70" s="32">
        <f>F39/'Revenue summary'!F351</f>
        <v>0.3016331887886491</v>
      </c>
      <c r="G70" s="85">
        <v>0.32</v>
      </c>
      <c r="H70" s="2"/>
      <c r="I70" s="2"/>
      <c r="J70" s="2"/>
    </row>
    <row r="71" ht="15" customHeight="1">
      <c r="A71" s="43" t="s">
        <v>107</v>
      </c>
      <c r="B71" s="58">
        <f>_xlfn.IFERROR((B70-Inputs!B160)*10000,"n.a.")</f>
        <v>164.73300493645314</v>
      </c>
      <c r="C71" s="58">
        <f>_xlfn.IFERROR((C70-Inputs!C160)*10000,"n.a.")</f>
        <v>142.99750742350403</v>
      </c>
      <c r="D71" s="58">
        <f>_xlfn.IFERROR((D70-Inputs!D160)*10000,"n.a.")</f>
        <v>394.8271548003901</v>
      </c>
      <c r="E71" s="58">
        <f>_xlfn.IFERROR((E70-Inputs!E160)*10000,"n.a.")</f>
        <v>97.30966383338813</v>
      </c>
      <c r="F71" s="58">
        <f>_xlfn.IFERROR((F70-Inputs!F160)*10000,"n.a.")</f>
        <v>156.32007453740658</v>
      </c>
      <c r="G71" s="59">
        <f t="shared" si="13" ref="G71:G77">_xlfn.IFERROR((G70-B70)*10000,"n.a.")</f>
        <v>192.36239136160128</v>
      </c>
      <c r="H71" s="2"/>
      <c r="I71" s="2"/>
      <c r="J71" s="2"/>
    </row>
    <row r="72" ht="15" customHeight="1">
      <c r="A72" s="43" t="s">
        <v>108</v>
      </c>
      <c r="B72" s="58">
        <f>_xlfn.IFERROR((B70-Inputs!E160)*10000,"n.a.")</f>
        <v>-91.20236151288042</v>
      </c>
      <c r="C72" s="60">
        <f t="shared" si="12" ref="C72:E78">_xlfn.IFERROR((C70-B70)*10000,"n.a.")</f>
        <v>-4.562169936113136</v>
      </c>
      <c r="D72" s="60">
        <f t="shared" si="12"/>
        <v>344.88471310037073</v>
      </c>
      <c r="E72" s="60">
        <f t="shared" si="12"/>
        <v>-151.81051781798905</v>
      </c>
      <c r="F72" s="60" t="s">
        <v>78</v>
      </c>
      <c r="G72" s="59">
        <f t="shared" si="14" ref="G72:G78">_xlfn.IFERROR((G70-E70)*10000,"n.a.")</f>
        <v>3.850366015332729</v>
      </c>
      <c r="H72" s="2"/>
      <c r="I72" s="2"/>
      <c r="J72" s="2"/>
    </row>
    <row r="73" ht="15" customHeight="1">
      <c r="A73" s="31" t="s">
        <v>466</v>
      </c>
      <c r="B73" s="32">
        <f>B46/'Revenue summary'!B413</f>
        <v>0.3267276422764228</v>
      </c>
      <c r="C73" s="32">
        <f>C46/'Revenue summary'!C413</f>
        <v>0.3709123298129533</v>
      </c>
      <c r="D73" s="32">
        <f>D46/'Revenue summary'!D413</f>
        <v>0.41632088520055316</v>
      </c>
      <c r="E73" s="32">
        <f>E46/'Revenue summary'!E413</f>
        <v>0.3545985401459854</v>
      </c>
      <c r="F73" s="32">
        <f>F46/'Revenue summary'!F413</f>
        <v>0.3605530177466952</v>
      </c>
      <c r="G73" s="85">
        <v>0.34</v>
      </c>
      <c r="H73" s="2"/>
      <c r="I73" s="2"/>
      <c r="J73" s="2"/>
    </row>
    <row r="74" ht="15" customHeight="1">
      <c r="A74" s="43" t="s">
        <v>107</v>
      </c>
      <c r="B74" s="58">
        <f>_xlfn.IFERROR((B73-Inputs!B161)*10000,"n.a.")</f>
        <v>-768.6786334155471</v>
      </c>
      <c r="C74" s="58">
        <f>_xlfn.IFERROR((C73-Inputs!C161)*10000,"n.a.")</f>
        <v>131.36588902473656</v>
      </c>
      <c r="D74" s="58">
        <f>_xlfn.IFERROR((D73-Inputs!D161)*10000,"n.a.")</f>
        <v>589.4571780051489</v>
      </c>
      <c r="E74" s="58">
        <f>_xlfn.IFERROR((E73-Inputs!E161)*10000,"n.a.")</f>
        <v>-294.2790843588333</v>
      </c>
      <c r="F74" s="58">
        <f>_xlfn.IFERROR((F73-Inputs!F161)*10000,"n.a.")</f>
        <v>-684.3986119531903</v>
      </c>
      <c r="G74" s="59">
        <f t="shared" si="13"/>
        <v>132.7235772357721</v>
      </c>
      <c r="H74" s="2"/>
      <c r="I74" s="2"/>
      <c r="J74" s="2"/>
    </row>
    <row r="75" ht="15" customHeight="1">
      <c r="A75" s="43" t="s">
        <v>108</v>
      </c>
      <c r="B75" s="58">
        <f>_xlfn.IFERROR((B73-Inputs!E161)*10000,"n.a.")</f>
        <v>-572.9880630544593</v>
      </c>
      <c r="C75" s="60">
        <f t="shared" si="12"/>
        <v>441.84687536530487</v>
      </c>
      <c r="D75" s="60">
        <f t="shared" si="12"/>
        <v>454.0855538759986</v>
      </c>
      <c r="E75" s="60">
        <f t="shared" si="12"/>
        <v>-617.2234505456776</v>
      </c>
      <c r="F75" s="60" t="s">
        <v>78</v>
      </c>
      <c r="G75" s="59">
        <f t="shared" si="14"/>
        <v>-145.98540145985385</v>
      </c>
      <c r="H75" s="2"/>
      <c r="I75" s="2"/>
      <c r="J75" s="2"/>
    </row>
    <row r="76" ht="15" customHeight="1">
      <c r="A76" s="31" t="s">
        <v>467</v>
      </c>
      <c r="B76" s="32">
        <f>B53/'Revenue summary'!B466</f>
        <v>0.3480676938620864</v>
      </c>
      <c r="C76" s="32">
        <f>C53/'Revenue summary'!C466</f>
        <v>0.3462085308056872</v>
      </c>
      <c r="D76" s="32">
        <f>D53/'Revenue summary'!D466</f>
        <v>0.35047267696564444</v>
      </c>
      <c r="E76" s="32">
        <f>E53/'Revenue summary'!E466</f>
        <v>0.3422946655376799</v>
      </c>
      <c r="F76" s="32">
        <f>F53/'Revenue summary'!F466</f>
        <v>0.3444437376757204</v>
      </c>
      <c r="G76" s="85">
        <v>0.342</v>
      </c>
      <c r="H76" s="2"/>
      <c r="I76" s="2"/>
      <c r="J76" s="2"/>
    </row>
    <row r="77" ht="15" customHeight="1">
      <c r="A77" s="43" t="s">
        <v>107</v>
      </c>
      <c r="B77" s="58">
        <f>_xlfn.IFERROR((B76-Inputs!B162)*10000,"n.a.")</f>
        <v>-158.7271355658193</v>
      </c>
      <c r="C77" s="58">
        <f>_xlfn.IFERROR((C76-Inputs!C162)*10000,"n.a.")</f>
        <v>-87.13748987058956</v>
      </c>
      <c r="D77" s="58">
        <f>_xlfn.IFERROR((D76-Inputs!D162)*10000,"n.a.")</f>
        <v>74.97470354074164</v>
      </c>
      <c r="E77" s="58">
        <f>_xlfn.IFERROR((E76-Inputs!E162)*10000,"n.a.")</f>
        <v>20.59491713549022</v>
      </c>
      <c r="F77" s="58">
        <f>_xlfn.IFERROR((F76-Inputs!F162)*10000,"n.a.")</f>
        <v>-126.06220246397292</v>
      </c>
      <c r="G77" s="59">
        <f t="shared" si="13"/>
        <v>-60.67693862086387</v>
      </c>
      <c r="H77" s="2"/>
      <c r="I77" s="2"/>
      <c r="J77" s="2"/>
    </row>
    <row r="78" ht="15" customHeight="1">
      <c r="A78" s="43" t="s">
        <v>108</v>
      </c>
      <c r="B78" s="58">
        <f>_xlfn.IFERROR((B76-Inputs!E162)*10000,"n.a.")</f>
        <v>78.32520037955537</v>
      </c>
      <c r="C78" s="60">
        <f t="shared" si="12"/>
        <v>-18.591630563992155</v>
      </c>
      <c r="D78" s="60">
        <f t="shared" si="12"/>
        <v>42.64146159957238</v>
      </c>
      <c r="E78" s="60">
        <f t="shared" si="12"/>
        <v>-81.78011427964537</v>
      </c>
      <c r="F78" s="60" t="s">
        <v>78</v>
      </c>
      <c r="G78" s="59">
        <f t="shared" si="14"/>
        <v>-2.9466553767987236</v>
      </c>
      <c r="H78" s="2"/>
      <c r="I78" s="2"/>
      <c r="J78" s="2"/>
    </row>
    <row r="79" ht="15" customHeight="1">
      <c r="A79" s="28" t="s">
        <v>468</v>
      </c>
      <c r="B79" s="49">
        <f t="shared" si="15" ref="B79:G79">B30+B60</f>
        <v>2505.1</v>
      </c>
      <c r="C79" s="49">
        <f t="shared" si="15"/>
        <v>2866.2</v>
      </c>
      <c r="D79" s="49">
        <f t="shared" si="15"/>
        <v>2770.8</v>
      </c>
      <c r="E79" s="49">
        <f t="shared" si="15"/>
        <v>2892.3</v>
      </c>
      <c r="F79" s="49">
        <f t="shared" si="15"/>
        <v>10064.699999999999</v>
      </c>
      <c r="G79" s="50">
        <f t="shared" si="15"/>
        <v>2942.4529</v>
      </c>
      <c r="H79" s="2"/>
      <c r="I79" s="2"/>
      <c r="J79" s="2"/>
    </row>
    <row r="80" ht="15" customHeight="1">
      <c r="A80" s="33" t="s">
        <v>469</v>
      </c>
      <c r="B80" s="17">
        <f>ROUND(B79-'Revenue summary'!B34,6)</f>
        <v>0</v>
      </c>
      <c r="C80" s="17">
        <f>ROUND(C79-'Revenue summary'!C34,6)</f>
        <v>0</v>
      </c>
      <c r="D80" s="17">
        <f>ROUND(D79-'Revenue summary'!D34,6)</f>
        <v>0</v>
      </c>
      <c r="E80" s="17">
        <f>ROUND(E79-'Revenue summary'!E34,6)</f>
        <v>0</v>
      </c>
      <c r="F80" s="17">
        <f>ROUND(F79-'Revenue summary'!F34,6)</f>
        <v>0</v>
      </c>
      <c r="G80" s="84">
        <f>ROUND(G79-'Revenue summary'!G34,6)</f>
        <v>0</v>
      </c>
      <c r="H80" s="2"/>
      <c r="I80" s="2"/>
      <c r="J80" s="2"/>
    </row>
    <row r="81" ht="15" customHeight="1">
      <c r="A81" s="34" t="s">
        <v>470</v>
      </c>
      <c r="B81" s="17">
        <f>ROUND(B9+B39-'Revenue summary'!B351,6)</f>
        <v>0</v>
      </c>
      <c r="C81" s="17">
        <f>ROUND(C9+C39-'Revenue summary'!C351,6)</f>
        <v>0</v>
      </c>
      <c r="D81" s="17">
        <f>ROUND(D9+D39-'Revenue summary'!D351,6)</f>
        <v>0</v>
      </c>
      <c r="E81" s="17">
        <f>ROUND(E9+E39-'Revenue summary'!E351,6)</f>
        <v>0</v>
      </c>
      <c r="F81" s="17">
        <f>ROUND(F9+F39-'Revenue summary'!F351,6)</f>
        <v>0</v>
      </c>
      <c r="G81" s="84">
        <f>ROUND(G9+G39-'Revenue summary'!G351,6)</f>
        <v>0</v>
      </c>
      <c r="H81" s="2"/>
      <c r="I81" s="2"/>
      <c r="J81" s="2"/>
    </row>
    <row r="82" ht="15" customHeight="1">
      <c r="A82" s="34" t="s">
        <v>471</v>
      </c>
      <c r="B82" s="17">
        <f>ROUND(B16+B46-'Revenue summary'!B413,6)</f>
        <v>0</v>
      </c>
      <c r="C82" s="17">
        <f>ROUND(C16+C46-'Revenue summary'!C413,6)</f>
        <v>0</v>
      </c>
      <c r="D82" s="17">
        <f>ROUND(D16+D46-'Revenue summary'!D413,6)</f>
        <v>0</v>
      </c>
      <c r="E82" s="17">
        <f>ROUND(E16+E46-'Revenue summary'!E413,6)</f>
        <v>0</v>
      </c>
      <c r="F82" s="17">
        <f>ROUND(F16+F46-'Revenue summary'!F413,6)</f>
        <v>0</v>
      </c>
      <c r="G82" s="84">
        <f>ROUND(G16+G46-'Revenue summary'!G413,6)</f>
        <v>0</v>
      </c>
      <c r="H82" s="2"/>
      <c r="I82" s="2"/>
      <c r="J82" s="2"/>
    </row>
    <row r="83" ht="15" customHeight="1">
      <c r="A83" s="34" t="s">
        <v>472</v>
      </c>
      <c r="B83" s="17">
        <f>ROUND(B23+B53-'Revenue summary'!B466,6)</f>
        <v>0</v>
      </c>
      <c r="C83" s="17">
        <f>ROUND(C23+C53-'Revenue summary'!C466,6)</f>
        <v>0</v>
      </c>
      <c r="D83" s="17">
        <f>ROUND(D23+D53-'Revenue summary'!D466,6)</f>
        <v>0</v>
      </c>
      <c r="E83" s="17">
        <f>ROUND(E23+E53-'Revenue summary'!E466,6)</f>
        <v>0</v>
      </c>
      <c r="F83" s="17">
        <f>ROUND(F23+F53-'Revenue summary'!F466,6)</f>
        <v>0</v>
      </c>
      <c r="G83" s="84">
        <f>ROUND(G23+G53-'Revenue summary'!G466,6)</f>
        <v>0</v>
      </c>
      <c r="H83" s="2"/>
      <c r="I83" s="2"/>
      <c r="J83" s="2"/>
    </row>
    <row r="84" ht="15" customHeight="1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ht="15" customHeight="1">
      <c r="A85" s="2"/>
      <c r="B85" s="2"/>
      <c r="C85" s="2"/>
      <c r="D85" s="2"/>
      <c r="E85" s="2"/>
      <c r="F85" s="2"/>
      <c r="G85" s="2"/>
      <c r="H85" s="2"/>
      <c r="I85" s="2"/>
      <c r="J85" s="2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0737828-EC78-0F28-8CC8-6DBE1B6CCC6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4.00390625" customWidth="1"/>
    <col min="2" max="7" width="12.00390625" customWidth="1"/>
    <col min="8" max="8" width="30.00390625" customWidth="1"/>
    <col min="9" max="10" width="12.00390625" customWidth="1"/>
  </cols>
  <sheetData>
    <row r="1" ht="15" customHeight="1">
      <c r="A1" s="35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" customHeight="1">
      <c r="A2" s="28" t="s">
        <v>473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>
      <c r="A3" s="31" t="s">
        <v>2</v>
      </c>
      <c r="B3" s="2"/>
      <c r="C3" s="2"/>
      <c r="D3" s="2"/>
      <c r="E3" s="2"/>
      <c r="F3" s="2"/>
      <c r="G3" s="2"/>
      <c r="H3" s="2"/>
      <c r="I3" s="2"/>
      <c r="J3" s="2"/>
    </row>
    <row r="4" ht="15" customHeight="1">
      <c r="A4" s="5" t="s">
        <v>3</v>
      </c>
      <c r="B4" s="6" t="s">
        <v>33</v>
      </c>
      <c r="C4" s="6" t="s">
        <v>68</v>
      </c>
      <c r="D4" s="6" t="s">
        <v>69</v>
      </c>
      <c r="E4" s="6" t="s">
        <v>70</v>
      </c>
      <c r="F4" s="6" t="s">
        <v>71</v>
      </c>
      <c r="G4" s="36" t="s">
        <v>4</v>
      </c>
      <c r="H4" s="37" t="s">
        <v>72</v>
      </c>
      <c r="I4" s="2"/>
      <c r="J4" s="2"/>
    </row>
    <row r="5" ht="15" customHeight="1">
      <c r="A5" s="7" t="s">
        <v>5</v>
      </c>
      <c r="B5" s="8">
        <f>DATE(2025,9,30)</f>
        <v>45930</v>
      </c>
      <c r="C5" s="8">
        <f t="shared" si="0" ref="C5:F5">DATE(2025,12,31)</f>
        <v>46022</v>
      </c>
      <c r="D5" s="8">
        <f>DATE(2026,3,31)</f>
        <v>46112</v>
      </c>
      <c r="E5" s="8">
        <f>DATE(2026,6,30)</f>
        <v>46203</v>
      </c>
      <c r="F5" s="8">
        <f t="shared" si="0"/>
        <v>46022</v>
      </c>
      <c r="G5" s="38">
        <f>DATE(2026,9,30)</f>
        <v>46295</v>
      </c>
      <c r="H5" s="9"/>
      <c r="I5" s="2"/>
      <c r="J5" s="2"/>
    </row>
    <row r="6" ht="15" customHeight="1">
      <c r="A6" s="10" t="s">
        <v>6</v>
      </c>
      <c r="B6" s="11">
        <f t="shared" si="1" ref="B6:G6">B5-EOMONTH(B5,-3)</f>
        <v>92</v>
      </c>
      <c r="C6" s="11">
        <f t="shared" si="1"/>
        <v>92</v>
      </c>
      <c r="D6" s="11">
        <f t="shared" si="1"/>
        <v>90</v>
      </c>
      <c r="E6" s="11">
        <f t="shared" si="1"/>
        <v>91</v>
      </c>
      <c r="F6" s="11">
        <f>F5-DATE(YEAR(F5)-1,12,31)</f>
        <v>365</v>
      </c>
      <c r="G6" s="39">
        <f t="shared" si="1"/>
        <v>92</v>
      </c>
      <c r="H6" s="12"/>
      <c r="I6" s="2"/>
      <c r="J6" s="2"/>
    </row>
    <row r="7" ht="15" customHeight="1">
      <c r="A7" s="2"/>
      <c r="B7" s="2"/>
      <c r="C7" s="2"/>
      <c r="D7" s="2"/>
      <c r="E7" s="2"/>
      <c r="F7" s="2"/>
      <c r="G7" s="40"/>
      <c r="H7" s="2"/>
      <c r="I7" s="2"/>
      <c r="J7" s="2"/>
    </row>
    <row r="8" ht="15" customHeight="1">
      <c r="A8" s="30" t="s">
        <v>474</v>
      </c>
      <c r="B8" s="30"/>
      <c r="C8" s="30"/>
      <c r="D8" s="30"/>
      <c r="E8" s="30"/>
      <c r="F8" s="30"/>
      <c r="G8" s="41"/>
      <c r="H8" s="30"/>
      <c r="I8" s="2"/>
      <c r="J8" s="2"/>
    </row>
    <row r="9" ht="15" customHeight="1">
      <c r="A9" s="2" t="s">
        <v>475</v>
      </c>
      <c r="B9" s="18" t="s">
        <v>81</v>
      </c>
      <c r="C9" s="18">
        <f t="shared" si="2" ref="C9:E9">B14</f>
        <v>354.9</v>
      </c>
      <c r="D9" s="18">
        <f t="shared" si="2"/>
        <v>355.1</v>
      </c>
      <c r="E9" s="18">
        <f t="shared" si="2"/>
        <v>354.4</v>
      </c>
      <c r="F9" s="52">
        <v>356.6</v>
      </c>
      <c r="G9" s="42">
        <f>E14</f>
        <v>353.9</v>
      </c>
      <c r="H9" s="2" t="s">
        <v>476</v>
      </c>
      <c r="I9" s="2"/>
      <c r="J9" s="2"/>
    </row>
    <row r="10" ht="15" customHeight="1">
      <c r="A10" s="51" t="s">
        <v>477</v>
      </c>
      <c r="B10" s="18" t="s">
        <v>81</v>
      </c>
      <c r="C10" s="18" t="s">
        <v>81</v>
      </c>
      <c r="D10" s="18">
        <f t="shared" si="3" ref="D10:E10">D14-D9+D13</f>
        <v>1.5999999999999543</v>
      </c>
      <c r="E10" s="18">
        <f t="shared" si="3"/>
        <v>0.4</v>
      </c>
      <c r="F10" s="18" t="s">
        <v>81</v>
      </c>
      <c r="G10" s="53">
        <v>0.8</v>
      </c>
      <c r="H10" s="2"/>
      <c r="I10" s="2"/>
      <c r="J10" s="2"/>
    </row>
    <row r="11" ht="15" customHeight="1">
      <c r="A11" s="43" t="s">
        <v>34</v>
      </c>
      <c r="B11" s="46" t="s">
        <v>78</v>
      </c>
      <c r="C11" s="46" t="s">
        <v>78</v>
      </c>
      <c r="D11" s="46" t="s">
        <v>78</v>
      </c>
      <c r="E11" s="46" t="s">
        <v>78</v>
      </c>
      <c r="F11" s="46" t="s">
        <v>78</v>
      </c>
      <c r="G11" s="45" t="str">
        <f t="shared" si="5" ref="G11:G31">_xlfn.IFERROR(G10/B10-1,"n.a.")</f>
        <v>n.a.</v>
      </c>
      <c r="H11" s="2"/>
      <c r="I11" s="2"/>
      <c r="J11" s="2"/>
    </row>
    <row r="12" ht="15" customHeight="1">
      <c r="A12" s="51" t="s">
        <v>101</v>
      </c>
      <c r="B12" s="56" t="s">
        <v>78</v>
      </c>
      <c r="C12" s="56" t="str">
        <f t="shared" si="4" ref="C12:E32">_xlfn.IFERROR(C10-B10,"n.a.")</f>
        <v>n.a.</v>
      </c>
      <c r="D12" s="56" t="str">
        <f t="shared" si="4"/>
        <v>n.a.</v>
      </c>
      <c r="E12" s="56">
        <f t="shared" si="4"/>
        <v>-1.1999999999999544</v>
      </c>
      <c r="F12" s="56" t="s">
        <v>78</v>
      </c>
      <c r="G12" s="57">
        <f t="shared" si="6" ref="G12:G32">_xlfn.IFERROR(G10-E10,"n.a.")</f>
        <v>0.4</v>
      </c>
      <c r="H12" s="2"/>
      <c r="I12" s="2"/>
      <c r="J12" s="2"/>
    </row>
    <row r="13" ht="15" customHeight="1">
      <c r="A13" s="51" t="s">
        <v>478</v>
      </c>
      <c r="B13" s="52">
        <v>4</v>
      </c>
      <c r="C13" s="18" t="s">
        <v>81</v>
      </c>
      <c r="D13" s="52">
        <v>2.3</v>
      </c>
      <c r="E13" s="52">
        <v>0.9</v>
      </c>
      <c r="F13" s="18" t="s">
        <v>81</v>
      </c>
      <c r="G13" s="42">
        <f>G16/G19</f>
        <v>1.3333333333333333</v>
      </c>
      <c r="H13" s="2" t="s">
        <v>135</v>
      </c>
      <c r="I13" s="2"/>
      <c r="J13" s="2"/>
    </row>
    <row r="14" ht="15" customHeight="1">
      <c r="A14" s="28" t="s">
        <v>479</v>
      </c>
      <c r="B14" s="82">
        <f>'Balance Sheet'!B50</f>
        <v>354.9</v>
      </c>
      <c r="C14" s="82">
        <f>'Balance Sheet'!C50</f>
        <v>355.1</v>
      </c>
      <c r="D14" s="82">
        <f>'Balance Sheet'!D50</f>
        <v>354.4</v>
      </c>
      <c r="E14" s="82">
        <f>'Balance Sheet'!E50</f>
        <v>353.9</v>
      </c>
      <c r="F14" s="49">
        <f>C14</f>
        <v>355.1</v>
      </c>
      <c r="G14" s="50">
        <f>G9+G10-G13</f>
        <v>353.3666666666667</v>
      </c>
      <c r="H14" s="2"/>
      <c r="I14" s="2"/>
      <c r="J14" s="2"/>
    </row>
    <row r="15" ht="15" customHeight="1">
      <c r="A15" s="30" t="s">
        <v>480</v>
      </c>
      <c r="B15" s="30"/>
      <c r="C15" s="30"/>
      <c r="D15" s="30"/>
      <c r="E15" s="30"/>
      <c r="F15" s="30"/>
      <c r="G15" s="41"/>
      <c r="H15" s="30"/>
      <c r="I15" s="2"/>
      <c r="J15" s="2"/>
    </row>
    <row r="16" ht="15" customHeight="1">
      <c r="A16" s="2" t="s">
        <v>481</v>
      </c>
      <c r="B16" s="52">
        <v>1919.6</v>
      </c>
      <c r="C16" s="52">
        <v>200.3</v>
      </c>
      <c r="D16" s="52">
        <v>1127.5</v>
      </c>
      <c r="E16" s="52">
        <v>379</v>
      </c>
      <c r="F16" s="17">
        <f>Inputs!D144+Inputs!E144+B16+C16</f>
        <v>2300.9</v>
      </c>
      <c r="G16" s="53">
        <v>500</v>
      </c>
      <c r="H16" s="2" t="s">
        <v>482</v>
      </c>
      <c r="I16" s="2"/>
      <c r="J16" s="2"/>
    </row>
    <row r="17" ht="15" customHeight="1">
      <c r="A17" s="43" t="s">
        <v>34</v>
      </c>
      <c r="B17" s="44" t="str">
        <f>_xlfn.IFERROR(B16/Inputs!B144-1,"n.a.")</f>
        <v>n.a.</v>
      </c>
      <c r="C17" s="44" t="str">
        <f>_xlfn.IFERROR(C16/Inputs!C144-1,"n.a.")</f>
        <v>n.a.</v>
      </c>
      <c r="D17" s="44" t="str">
        <f>_xlfn.IFERROR(D16/Inputs!D144-1,"n.a.")</f>
        <v>n.a.</v>
      </c>
      <c r="E17" s="44">
        <f>_xlfn.IFERROR(E16/Inputs!E144-1,"n.a.")</f>
        <v>1.0939226519337018</v>
      </c>
      <c r="F17" s="44" t="str">
        <f>_xlfn.IFERROR(F16/Inputs!F144-1,"n.a.")</f>
        <v>n.a.</v>
      </c>
      <c r="G17" s="45">
        <f t="shared" si="5"/>
        <v>-0.7395290685559491</v>
      </c>
      <c r="H17" s="2"/>
      <c r="I17" s="2"/>
      <c r="J17" s="2"/>
    </row>
    <row r="18" ht="15" customHeight="1">
      <c r="A18" s="51" t="s">
        <v>101</v>
      </c>
      <c r="B18" s="55">
        <f>_xlfn.IFERROR(B16-Inputs!E144,"n.a.")</f>
        <v>1738.6</v>
      </c>
      <c r="C18" s="56">
        <f t="shared" si="4"/>
        <v>-1719.3</v>
      </c>
      <c r="D18" s="56">
        <f t="shared" si="4"/>
        <v>927.2</v>
      </c>
      <c r="E18" s="56">
        <f t="shared" si="4"/>
        <v>-748.5</v>
      </c>
      <c r="F18" s="56" t="s">
        <v>78</v>
      </c>
      <c r="G18" s="57">
        <f t="shared" si="6"/>
        <v>121</v>
      </c>
      <c r="H18" s="2"/>
      <c r="I18" s="2"/>
      <c r="J18" s="2"/>
    </row>
    <row r="19" ht="15" customHeight="1">
      <c r="A19" s="2" t="s">
        <v>483</v>
      </c>
      <c r="B19" s="89">
        <v>479.6</v>
      </c>
      <c r="C19" s="23" t="s">
        <v>81</v>
      </c>
      <c r="D19" s="89">
        <v>489.55</v>
      </c>
      <c r="E19" s="89">
        <v>438.68</v>
      </c>
      <c r="F19" s="23" t="s">
        <v>81</v>
      </c>
      <c r="G19" s="95">
        <v>375</v>
      </c>
      <c r="H19" s="2" t="s">
        <v>484</v>
      </c>
      <c r="I19" s="2"/>
      <c r="J19" s="2"/>
    </row>
    <row r="20" ht="15" customHeight="1">
      <c r="A20" s="43" t="s">
        <v>34</v>
      </c>
      <c r="B20" s="44" t="str">
        <f>_xlfn.IFERROR(B19/Inputs!B184-1,"n.a.")</f>
        <v>n.a.</v>
      </c>
      <c r="C20" s="44" t="str">
        <f>_xlfn.IFERROR(C19/Inputs!C184-1,"n.a.")</f>
        <v>n.a.</v>
      </c>
      <c r="D20" s="44" t="str">
        <f>_xlfn.IFERROR(D19/Inputs!D184-1,"n.a.")</f>
        <v>n.a.</v>
      </c>
      <c r="E20" s="44">
        <f>_xlfn.IFERROR(E19/Inputs!E184-1,"n.a.")</f>
        <v>-0.15263666215955196</v>
      </c>
      <c r="F20" s="44" t="str">
        <f>_xlfn.IFERROR(F19/Inputs!F184-1,"n.a.")</f>
        <v>n.a.</v>
      </c>
      <c r="G20" s="45">
        <f t="shared" si="5"/>
        <v>-0.21809841534612184</v>
      </c>
      <c r="H20" s="2"/>
      <c r="I20" s="2"/>
      <c r="J20" s="2"/>
    </row>
    <row r="21" ht="15" customHeight="1">
      <c r="A21" s="51" t="s">
        <v>101</v>
      </c>
      <c r="B21" s="90">
        <f>_xlfn.IFERROR(B19-Inputs!E184,"n.a.")</f>
        <v>-38.10000000000002</v>
      </c>
      <c r="C21" s="91" t="str">
        <f t="shared" si="4"/>
        <v>n.a.</v>
      </c>
      <c r="D21" s="91" t="str">
        <f t="shared" si="4"/>
        <v>n.a.</v>
      </c>
      <c r="E21" s="91">
        <f t="shared" si="4"/>
        <v>-50.870000000000005</v>
      </c>
      <c r="F21" s="91" t="s">
        <v>78</v>
      </c>
      <c r="G21" s="92">
        <f t="shared" si="6"/>
        <v>-63.68000000000001</v>
      </c>
      <c r="H21" s="2"/>
      <c r="I21" s="2"/>
      <c r="J21" s="2"/>
    </row>
    <row r="22" ht="15" customHeight="1">
      <c r="A22" s="51" t="s">
        <v>485</v>
      </c>
      <c r="B22" s="17">
        <f>-'Cash Flow Statement'!B39</f>
        <v>1913.3000000000002</v>
      </c>
      <c r="C22" s="17">
        <f>-'Cash Flow Statement'!C39</f>
        <v>201</v>
      </c>
      <c r="D22" s="17">
        <f>-'Cash Flow Statement'!D39</f>
        <v>1123.2</v>
      </c>
      <c r="E22" s="17">
        <f>-'Cash Flow Statement'!E39</f>
        <v>320.29999999999995</v>
      </c>
      <c r="F22" s="17">
        <f>-'Cash Flow Statement'!F39</f>
        <v>2295.3</v>
      </c>
      <c r="G22" s="84">
        <f>-'Cash Flow Statement'!G39</f>
        <v>500</v>
      </c>
      <c r="H22" s="2"/>
      <c r="I22" s="2"/>
      <c r="J22" s="2"/>
    </row>
    <row r="23" ht="15" customHeight="1">
      <c r="A23" s="30" t="s">
        <v>486</v>
      </c>
      <c r="B23" s="30"/>
      <c r="C23" s="30"/>
      <c r="D23" s="30"/>
      <c r="E23" s="30"/>
      <c r="F23" s="30"/>
      <c r="G23" s="41"/>
      <c r="H23" s="30"/>
      <c r="I23" s="2"/>
      <c r="J23" s="2"/>
    </row>
    <row r="24" ht="15" customHeight="1">
      <c r="A24" s="28" t="s">
        <v>487</v>
      </c>
      <c r="B24" s="96">
        <f>'Income Statement'!B68</f>
        <v>356.6</v>
      </c>
      <c r="C24" s="96">
        <f>'Income Statement'!C68</f>
        <v>354.9</v>
      </c>
      <c r="D24" s="96">
        <f>'Income Statement'!D68</f>
        <v>354.9</v>
      </c>
      <c r="E24" s="96">
        <f>'Income Statement'!E68</f>
        <v>354.1</v>
      </c>
      <c r="F24" s="96">
        <f>'Income Statement'!F68</f>
        <v>356.9</v>
      </c>
      <c r="G24" s="97">
        <f>(G9+G14)/2</f>
        <v>353.6333333333333</v>
      </c>
      <c r="H24" s="2"/>
      <c r="I24" s="2"/>
      <c r="J24" s="2"/>
    </row>
    <row r="25" ht="15" customHeight="1">
      <c r="A25" s="43" t="s">
        <v>34</v>
      </c>
      <c r="B25" s="44">
        <f>_xlfn.IFERROR(B24/Inputs!B87-1,"n.a.")</f>
        <v>0.0022484541877458852</v>
      </c>
      <c r="C25" s="44">
        <f>_xlfn.IFERROR(C24/Inputs!C87-1,"n.a.")</f>
        <v>-0.004208754208754217</v>
      </c>
      <c r="D25" s="44">
        <f>_xlfn.IFERROR(D24/Inputs!D87-1,"n.a.")</f>
        <v>-0.0072727272727273196</v>
      </c>
      <c r="E25" s="44">
        <f>_xlfn.IFERROR(E24/Inputs!E87-1,"n.a.")</f>
        <v>-0.012273361227336022</v>
      </c>
      <c r="F25" s="44">
        <f>_xlfn.IFERROR(F24/Inputs!F87-1,"n.a.")</f>
        <v>0.004786036036036112</v>
      </c>
      <c r="G25" s="45">
        <f t="shared" si="5"/>
        <v>-0.008319312020938607</v>
      </c>
      <c r="H25" s="2"/>
      <c r="I25" s="2"/>
      <c r="J25" s="2"/>
    </row>
    <row r="26" ht="15" customHeight="1">
      <c r="A26" s="51" t="s">
        <v>101</v>
      </c>
      <c r="B26" s="55">
        <f>_xlfn.IFERROR(B24-Inputs!E87,"n.a.")</f>
        <v>-1.8999999999999773</v>
      </c>
      <c r="C26" s="56">
        <f t="shared" si="4"/>
        <v>-1.7000000000000455</v>
      </c>
      <c r="D26" s="56">
        <f t="shared" si="4"/>
        <v>0</v>
      </c>
      <c r="E26" s="56">
        <f t="shared" si="4"/>
        <v>-0.7999999999999545</v>
      </c>
      <c r="F26" s="56" t="s">
        <v>78</v>
      </c>
      <c r="G26" s="57">
        <f t="shared" si="6"/>
        <v>-0.466666666666697</v>
      </c>
      <c r="H26" s="2"/>
      <c r="I26" s="2"/>
      <c r="J26" s="2"/>
    </row>
    <row r="27" ht="15" customHeight="1">
      <c r="A27" s="51" t="s">
        <v>488</v>
      </c>
      <c r="B27" s="17">
        <f>'Income Statement'!B69-'Income Statement'!B68</f>
        <v>5.199999999999989</v>
      </c>
      <c r="C27" s="17">
        <f>'Income Statement'!C69-'Income Statement'!C68</f>
        <v>5.5</v>
      </c>
      <c r="D27" s="17">
        <f>'Income Statement'!D69-'Income Statement'!D68</f>
        <v>4.900000000000034</v>
      </c>
      <c r="E27" s="17">
        <f>'Income Statement'!E69-'Income Statement'!E68</f>
        <v>3.1999999999999886</v>
      </c>
      <c r="F27" s="17">
        <f>'Income Statement'!F69-'Income Statement'!F68</f>
        <v>5.800000000000011</v>
      </c>
      <c r="G27" s="53">
        <v>3</v>
      </c>
      <c r="H27" s="2"/>
      <c r="I27" s="2"/>
      <c r="J27" s="2"/>
    </row>
    <row r="28" ht="15" customHeight="1">
      <c r="A28" s="43" t="s">
        <v>34</v>
      </c>
      <c r="B28" s="44">
        <f>_xlfn.IFERROR(B27/Inputs!B183-1,"n.a.")</f>
        <v>-0.2463768115942021</v>
      </c>
      <c r="C28" s="44">
        <f>_xlfn.IFERROR(C27/Inputs!C183-1,"n.a.")</f>
        <v>-0.2666666666666667</v>
      </c>
      <c r="D28" s="44">
        <f>_xlfn.IFERROR(D27/Inputs!D183-1,"n.a.")</f>
        <v>-0.30985915492957483</v>
      </c>
      <c r="E28" s="44">
        <f>_xlfn.IFERROR(E27/Inputs!E183-1,"n.a.")</f>
        <v>-0.42857142857143293</v>
      </c>
      <c r="F28" s="44">
        <f>_xlfn.IFERROR(F27/Inputs!F183-1,"n.a.")</f>
        <v>-0.14705882352941146</v>
      </c>
      <c r="G28" s="45">
        <f t="shared" si="5"/>
        <v>-0.4230769230769218</v>
      </c>
      <c r="H28" s="2"/>
      <c r="I28" s="2"/>
      <c r="J28" s="2"/>
    </row>
    <row r="29" ht="15" customHeight="1">
      <c r="A29" s="51" t="s">
        <v>101</v>
      </c>
      <c r="B29" s="55">
        <f>_xlfn.IFERROR(B27-Inputs!E183,"n.a.")</f>
        <v>-0.4000000000000341</v>
      </c>
      <c r="C29" s="56">
        <f t="shared" si="4"/>
        <v>0.30000000000001137</v>
      </c>
      <c r="D29" s="56">
        <f t="shared" si="4"/>
        <v>-0.5999999999999659</v>
      </c>
      <c r="E29" s="56">
        <f t="shared" si="4"/>
        <v>-1.7000000000000455</v>
      </c>
      <c r="F29" s="56" t="s">
        <v>78</v>
      </c>
      <c r="G29" s="57">
        <f t="shared" si="6"/>
        <v>-0.19999999999998863</v>
      </c>
      <c r="H29" s="2"/>
      <c r="I29" s="2"/>
      <c r="J29" s="2"/>
    </row>
    <row r="30" ht="15" customHeight="1">
      <c r="A30" s="28" t="s">
        <v>489</v>
      </c>
      <c r="B30" s="82">
        <f>'Income Statement'!B69</f>
        <v>361.8</v>
      </c>
      <c r="C30" s="82">
        <f>'Income Statement'!C69</f>
        <v>360.4</v>
      </c>
      <c r="D30" s="82">
        <f>'Income Statement'!D69</f>
        <v>359.8</v>
      </c>
      <c r="E30" s="82">
        <f>'Income Statement'!E69</f>
        <v>357.3</v>
      </c>
      <c r="F30" s="82">
        <f>'Income Statement'!F69</f>
        <v>362.7</v>
      </c>
      <c r="G30" s="50">
        <f>G24+G27</f>
        <v>356.6333333333333</v>
      </c>
      <c r="H30" s="2"/>
      <c r="I30" s="2"/>
      <c r="J30" s="2"/>
    </row>
    <row r="31" ht="15" customHeight="1">
      <c r="A31" s="43" t="s">
        <v>34</v>
      </c>
      <c r="B31" s="44">
        <f>_xlfn.IFERROR(B30/Inputs!B86-1,"n.a.")</f>
        <v>-0.002481389578163684</v>
      </c>
      <c r="C31" s="44">
        <f>_xlfn.IFERROR(C30/Inputs!C86-1,"n.a.")</f>
        <v>-0.00961802693047542</v>
      </c>
      <c r="D31" s="44">
        <f>_xlfn.IFERROR(D30/Inputs!D86-1,"n.a.")</f>
        <v>-0.013165112452002248</v>
      </c>
      <c r="E31" s="44">
        <f>_xlfn.IFERROR(E30/Inputs!E86-1,"n.a.")</f>
        <v>-0.018676187860477866</v>
      </c>
      <c r="F31" s="44">
        <f>_xlfn.IFERROR(F30/Inputs!F86-1,"n.a.")</f>
        <v>0.001933701657458542</v>
      </c>
      <c r="G31" s="45">
        <f t="shared" si="5"/>
        <v>-0.01428044960383279</v>
      </c>
      <c r="H31" s="2"/>
      <c r="I31" s="2"/>
      <c r="J31" s="2"/>
    </row>
    <row r="32" ht="15" customHeight="1">
      <c r="A32" s="51" t="s">
        <v>101</v>
      </c>
      <c r="B32" s="55">
        <f>_xlfn.IFERROR(B30-Inputs!E86,"n.a.")</f>
        <v>-2.3000000000000114</v>
      </c>
      <c r="C32" s="56">
        <f t="shared" si="4"/>
        <v>-1.400000000000034</v>
      </c>
      <c r="D32" s="56">
        <f t="shared" si="4"/>
        <v>-0.5999999999999659</v>
      </c>
      <c r="E32" s="56">
        <f t="shared" si="4"/>
        <v>-2.5</v>
      </c>
      <c r="F32" s="56" t="s">
        <v>78</v>
      </c>
      <c r="G32" s="57">
        <f t="shared" si="6"/>
        <v>-0.6666666666666856</v>
      </c>
      <c r="H32" s="2"/>
      <c r="I32" s="2"/>
      <c r="J32" s="2"/>
    </row>
    <row r="33" ht="15" customHeight="1">
      <c r="A33" s="30" t="s">
        <v>490</v>
      </c>
      <c r="B33" s="30"/>
      <c r="C33" s="30"/>
      <c r="D33" s="30"/>
      <c r="E33" s="30"/>
      <c r="F33" s="30"/>
      <c r="G33" s="41"/>
      <c r="H33" s="30"/>
      <c r="I33" s="2"/>
      <c r="J33" s="2"/>
    </row>
    <row r="34" ht="15" customHeight="1">
      <c r="A34" s="2" t="s">
        <v>37</v>
      </c>
      <c r="B34" s="17">
        <f>'Income Statement'!B92</f>
        <v>867.2</v>
      </c>
      <c r="C34" s="17">
        <f>'Income Statement'!C92</f>
        <v>913.5999999999995</v>
      </c>
      <c r="D34" s="17">
        <f>'Income Statement'!D92</f>
        <v>901.1000000000003</v>
      </c>
      <c r="E34" s="17">
        <f>'Income Statement'!E92</f>
        <v>1002.1</v>
      </c>
      <c r="F34" s="17">
        <f>'Income Statement'!F92</f>
        <v>3240.2000000000003</v>
      </c>
      <c r="G34" s="84">
        <f>'Income Statement'!G92</f>
        <v>983.9389332875</v>
      </c>
      <c r="H34" s="2"/>
      <c r="I34" s="2"/>
      <c r="J34" s="2"/>
    </row>
    <row r="35" ht="15" customHeight="1">
      <c r="A35" s="28" t="s">
        <v>491</v>
      </c>
      <c r="B35" s="98">
        <f t="shared" si="7" ref="B35:G35">B34/B30</f>
        <v>2.396904367053621</v>
      </c>
      <c r="C35" s="98">
        <f t="shared" si="7"/>
        <v>2.5349611542730286</v>
      </c>
      <c r="D35" s="98">
        <f t="shared" si="7"/>
        <v>2.504446914952752</v>
      </c>
      <c r="E35" s="98">
        <f t="shared" si="7"/>
        <v>2.804645955779457</v>
      </c>
      <c r="F35" s="98">
        <f t="shared" si="7"/>
        <v>8.933553901295838</v>
      </c>
      <c r="G35" s="99">
        <f t="shared" si="7"/>
        <v>2.7589651368001684</v>
      </c>
      <c r="H35" s="2"/>
      <c r="I35" s="2"/>
      <c r="J35" s="2"/>
    </row>
    <row r="36" ht="15" customHeight="1">
      <c r="A36" s="2" t="s">
        <v>492</v>
      </c>
      <c r="B36" s="17">
        <f>'Income Statement'!B62</f>
        <v>704.4</v>
      </c>
      <c r="C36" s="17">
        <f>'Income Statement'!C62</f>
        <v>794.7999999999996</v>
      </c>
      <c r="D36" s="17">
        <f>'Income Statement'!D62</f>
        <v>821.5000000000003</v>
      </c>
      <c r="E36" s="17">
        <f>'Income Statement'!E62</f>
        <v>818.1000000000001</v>
      </c>
      <c r="F36" s="17">
        <f>'Income Statement'!F62</f>
        <v>2856.0000000000005</v>
      </c>
      <c r="G36" s="84">
        <f>'Income Statement'!G62</f>
        <v>790.7089332875</v>
      </c>
      <c r="H36" s="2"/>
      <c r="I36" s="2"/>
      <c r="J36" s="2"/>
    </row>
    <row r="37" ht="15" customHeight="1">
      <c r="A37" s="28" t="s">
        <v>493</v>
      </c>
      <c r="B37" s="98">
        <f t="shared" si="8" ref="B37:G37">B36/B30</f>
        <v>1.946932006633499</v>
      </c>
      <c r="C37" s="98">
        <f t="shared" si="8"/>
        <v>2.205327413984461</v>
      </c>
      <c r="D37" s="98">
        <f t="shared" si="8"/>
        <v>2.2832128960533637</v>
      </c>
      <c r="E37" s="98">
        <f t="shared" si="8"/>
        <v>2.289672544080605</v>
      </c>
      <c r="F37" s="98">
        <f t="shared" si="8"/>
        <v>7.874276261373037</v>
      </c>
      <c r="G37" s="99">
        <f t="shared" si="8"/>
        <v>2.217148144557903</v>
      </c>
      <c r="H37" s="2"/>
      <c r="I37" s="2"/>
      <c r="J37" s="2"/>
    </row>
    <row r="38" ht="15" customHeight="1">
      <c r="A38" s="33" t="s">
        <v>494</v>
      </c>
      <c r="B38" s="22">
        <f>ROUND(B35-'Income Statement'!B97,9)+ROUND(B37-'Income Statement'!B71,9)</f>
        <v>0</v>
      </c>
      <c r="C38" s="22">
        <f>ROUND(C35-'Income Statement'!C97,9)+ROUND(C37-'Income Statement'!C71,9)</f>
        <v>0</v>
      </c>
      <c r="D38" s="22">
        <f>ROUND(D35-'Income Statement'!D97,9)+ROUND(D37-'Income Statement'!D71,9)</f>
        <v>0</v>
      </c>
      <c r="E38" s="22">
        <f>ROUND(E35-'Income Statement'!E97,9)+ROUND(E37-'Income Statement'!E71,9)</f>
        <v>0</v>
      </c>
      <c r="F38" s="22">
        <f>ROUND(F35-'Income Statement'!F97,9)+ROUND(F37-'Income Statement'!F71,9)</f>
        <v>0</v>
      </c>
      <c r="G38" s="93">
        <f>ROUND(G35-'Income Statement'!G97,9)+ROUND(G37-'Income Statement'!G71,9)</f>
        <v>0</v>
      </c>
      <c r="H38" s="2"/>
      <c r="I38" s="2"/>
      <c r="J38" s="2"/>
    </row>
    <row r="39" ht="15" customHeight="1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ht="15" customHeight="1">
      <c r="A40" s="2"/>
      <c r="B40" s="2"/>
      <c r="C40" s="2"/>
      <c r="D40" s="2"/>
      <c r="E40" s="2"/>
      <c r="F40" s="2"/>
      <c r="G40" s="2"/>
      <c r="H40" s="2"/>
      <c r="I40" s="2"/>
      <c r="J40" s="2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ACC85E2-C028-EF48-8088-F169AD37B90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4.00390625" customWidth="1"/>
    <col min="2" max="7" width="12.00390625" customWidth="1"/>
    <col min="8" max="8" width="22.00390625" customWidth="1"/>
    <col min="9" max="10" width="12.00390625" customWidth="1"/>
  </cols>
  <sheetData>
    <row r="1" ht="15" customHeight="1">
      <c r="A1" s="35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" customHeight="1">
      <c r="A2" s="28" t="s">
        <v>495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>
      <c r="A3" s="31" t="s">
        <v>2</v>
      </c>
      <c r="B3" s="2"/>
      <c r="C3" s="2"/>
      <c r="D3" s="2"/>
      <c r="E3" s="2"/>
      <c r="F3" s="2"/>
      <c r="G3" s="2"/>
      <c r="H3" s="2"/>
      <c r="I3" s="2"/>
      <c r="J3" s="2"/>
    </row>
    <row r="4" ht="15" customHeight="1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2"/>
      <c r="J4" s="2"/>
    </row>
    <row r="5" ht="15" customHeight="1">
      <c r="A5" s="7" t="s">
        <v>5</v>
      </c>
      <c r="B5" s="8">
        <f>DATE(2026,9,30)</f>
        <v>46295</v>
      </c>
      <c r="C5" s="8"/>
      <c r="D5" s="8"/>
      <c r="E5" s="8"/>
      <c r="F5" s="8"/>
      <c r="G5" s="8"/>
      <c r="H5" s="9"/>
      <c r="I5" s="2"/>
      <c r="J5" s="2"/>
    </row>
    <row r="6" ht="15" customHeight="1">
      <c r="A6" s="10" t="s">
        <v>6</v>
      </c>
      <c r="B6" s="11">
        <f>B5-EOMONTH(B5,-3)</f>
        <v>92</v>
      </c>
      <c r="C6" s="11"/>
      <c r="D6" s="11"/>
      <c r="E6" s="11"/>
      <c r="F6" s="11"/>
      <c r="G6" s="11"/>
      <c r="H6" s="12"/>
      <c r="I6" s="2"/>
      <c r="J6" s="2"/>
    </row>
    <row r="7" ht="15" customHeight="1">
      <c r="A7" s="2"/>
      <c r="B7" s="2"/>
      <c r="C7" s="2"/>
      <c r="D7" s="2"/>
      <c r="E7" s="2"/>
      <c r="F7" s="2"/>
      <c r="G7" s="2"/>
      <c r="H7" s="2"/>
      <c r="I7" s="2"/>
      <c r="J7" s="2"/>
    </row>
    <row r="8" ht="15" customHeight="1">
      <c r="A8" s="100" t="s">
        <v>496</v>
      </c>
      <c r="B8" s="15" t="s">
        <v>497</v>
      </c>
      <c r="C8" s="15" t="s">
        <v>3</v>
      </c>
      <c r="D8" s="15" t="s">
        <v>498</v>
      </c>
      <c r="E8" s="15" t="s">
        <v>499</v>
      </c>
      <c r="F8" s="15" t="s">
        <v>500</v>
      </c>
      <c r="G8" s="15" t="s">
        <v>501</v>
      </c>
      <c r="H8" s="15" t="s">
        <v>502</v>
      </c>
      <c r="I8" s="14" t="s">
        <v>72</v>
      </c>
      <c r="J8" s="2"/>
    </row>
    <row r="9" ht="15" customHeight="1">
      <c r="A9" s="2" t="s">
        <v>503</v>
      </c>
      <c r="B9" s="101">
        <f t="shared" si="0" ref="B9:B11">DATE(2025,10,21)</f>
        <v>45951</v>
      </c>
      <c r="C9" s="20" t="s">
        <v>504</v>
      </c>
      <c r="D9" s="102">
        <v>0.17</v>
      </c>
      <c r="E9" s="102">
        <v>0.175</v>
      </c>
      <c r="F9" s="103">
        <f t="shared" si="1" ref="F9:F29">AVERAGE(D9:E9)</f>
        <v>0.1725</v>
      </c>
      <c r="G9" s="104">
        <f>'Revenue summary'!F78</f>
        <v>0.1751770406261648</v>
      </c>
      <c r="H9" s="103" t="str">
        <f t="shared" si="2" ref="H9:H28">IF(ISNUMBER(G9),IF(G9&gt;F9,"Beat",IF(G9&lt;F9,"Miss","In line")),"Pending")</f>
        <v>Beat</v>
      </c>
      <c r="I9" s="105" t="s">
        <v>506</v>
      </c>
      <c r="J9" s="2"/>
    </row>
    <row r="10" ht="15" customHeight="1">
      <c r="A10" s="2" t="s">
        <v>507</v>
      </c>
      <c r="B10" s="101">
        <f t="shared" si="0"/>
        <v>45951</v>
      </c>
      <c r="C10" s="20" t="s">
        <v>504</v>
      </c>
      <c r="D10" s="102">
        <v>0.67</v>
      </c>
      <c r="E10" s="102">
        <v>0.675</v>
      </c>
      <c r="F10" s="103">
        <f t="shared" si="1"/>
        <v>0.6725000000000001</v>
      </c>
      <c r="G10" s="104">
        <f>'Income Statement'!F109</f>
        <v>0.67558893956104</v>
      </c>
      <c r="H10" s="103" t="str">
        <f t="shared" si="2"/>
        <v>Beat</v>
      </c>
      <c r="I10" s="105" t="s">
        <v>506</v>
      </c>
      <c r="J10" s="2"/>
    </row>
    <row r="11" ht="15" customHeight="1">
      <c r="A11" s="2" t="s">
        <v>508</v>
      </c>
      <c r="B11" s="101">
        <f t="shared" si="0"/>
        <v>45951</v>
      </c>
      <c r="C11" s="20" t="s">
        <v>504</v>
      </c>
      <c r="D11" s="102">
        <v>0.11</v>
      </c>
      <c r="E11" s="102">
        <v>0.13</v>
      </c>
      <c r="F11" s="103">
        <f t="shared" si="1"/>
        <v>0.12</v>
      </c>
      <c r="G11" s="104">
        <f>'Income Statement'!F118/Inputs!F108-1</f>
        <v>0.12383981067189276</v>
      </c>
      <c r="H11" s="18" t="str">
        <f t="shared" si="4" ref="H11:H29">IF(ISNUMBER(G11),IF(G11&lt;F11,"Below (favourable)",IF(G11&gt;F11,"Above (unfavourable)","In line")),"Pending")</f>
        <v>Above (unfavourable)</v>
      </c>
      <c r="I11" s="105" t="s">
        <v>506</v>
      </c>
      <c r="J11" s="2"/>
    </row>
    <row r="12" ht="15" customHeight="1">
      <c r="A12" s="2" t="s">
        <v>503</v>
      </c>
      <c r="B12" s="101">
        <f t="shared" si="3" ref="B12:B17">DATE(2026,1,22)</f>
        <v>46044</v>
      </c>
      <c r="C12" s="20" t="s">
        <v>510</v>
      </c>
      <c r="D12" s="102">
        <v>0.13</v>
      </c>
      <c r="E12" s="102">
        <v>0.15</v>
      </c>
      <c r="F12" s="103">
        <f t="shared" si="1"/>
        <v>0.14</v>
      </c>
      <c r="G12" s="103" t="s">
        <v>511</v>
      </c>
      <c r="H12" s="20" t="str">
        <f t="shared" si="2"/>
        <v>Pending</v>
      </c>
      <c r="I12" s="105" t="s">
        <v>512</v>
      </c>
      <c r="J12" s="2"/>
    </row>
    <row r="13" ht="15" customHeight="1">
      <c r="A13" s="2" t="s">
        <v>507</v>
      </c>
      <c r="B13" s="101">
        <f t="shared" si="3"/>
        <v>46044</v>
      </c>
      <c r="C13" s="20" t="s">
        <v>510</v>
      </c>
      <c r="D13" s="102">
        <v>0.67</v>
      </c>
      <c r="E13" s="102">
        <v>0.68</v>
      </c>
      <c r="F13" s="103">
        <f t="shared" si="1"/>
        <v>0.675</v>
      </c>
      <c r="G13" s="103" t="s">
        <v>511</v>
      </c>
      <c r="H13" s="20" t="str">
        <f t="shared" si="2"/>
        <v>Pending</v>
      </c>
      <c r="I13" s="105" t="s">
        <v>512</v>
      </c>
      <c r="J13" s="2"/>
    </row>
    <row r="14" ht="15" customHeight="1">
      <c r="A14" s="2" t="s">
        <v>508</v>
      </c>
      <c r="B14" s="101">
        <f t="shared" si="3"/>
        <v>46044</v>
      </c>
      <c r="C14" s="20" t="s">
        <v>510</v>
      </c>
      <c r="D14" s="102">
        <v>0.11</v>
      </c>
      <c r="E14" s="102">
        <v>0.15</v>
      </c>
      <c r="F14" s="103">
        <f t="shared" si="1"/>
        <v>0.13</v>
      </c>
      <c r="G14" s="103" t="s">
        <v>511</v>
      </c>
      <c r="H14" s="20" t="str">
        <f t="shared" si="4"/>
        <v>Pending</v>
      </c>
      <c r="I14" s="105" t="s">
        <v>512</v>
      </c>
      <c r="J14" s="2"/>
    </row>
    <row r="15" ht="15" customHeight="1">
      <c r="A15" s="2" t="s">
        <v>513</v>
      </c>
      <c r="B15" s="101">
        <f t="shared" si="3"/>
        <v>46044</v>
      </c>
      <c r="C15" s="20" t="s">
        <v>510</v>
      </c>
      <c r="D15" s="61">
        <v>890</v>
      </c>
      <c r="E15" s="61">
        <v>920</v>
      </c>
      <c r="F15" s="70">
        <f t="shared" si="1"/>
        <v>905</v>
      </c>
      <c r="G15" s="70" t="s">
        <v>511</v>
      </c>
      <c r="H15" s="20" t="str">
        <f t="shared" si="6" ref="H15:H27">IF(ISNUMBER(G15),"Reported","Pending")</f>
        <v>Pending</v>
      </c>
      <c r="I15" s="105" t="s">
        <v>512</v>
      </c>
      <c r="J15" s="2"/>
    </row>
    <row r="16" ht="15" customHeight="1">
      <c r="A16" s="2" t="s">
        <v>514</v>
      </c>
      <c r="B16" s="101">
        <f t="shared" si="3"/>
        <v>46044</v>
      </c>
      <c r="C16" s="20" t="s">
        <v>510</v>
      </c>
      <c r="D16" s="61">
        <v>355</v>
      </c>
      <c r="E16" s="61">
        <v>375</v>
      </c>
      <c r="F16" s="70">
        <f t="shared" si="1"/>
        <v>365</v>
      </c>
      <c r="G16" s="70" t="s">
        <v>511</v>
      </c>
      <c r="H16" s="20" t="str">
        <f t="shared" si="2"/>
        <v>Pending</v>
      </c>
      <c r="I16" s="105" t="s">
        <v>512</v>
      </c>
      <c r="J16" s="2"/>
    </row>
    <row r="17" ht="15" customHeight="1">
      <c r="A17" s="2" t="s">
        <v>515</v>
      </c>
      <c r="B17" s="101">
        <f t="shared" si="3"/>
        <v>46044</v>
      </c>
      <c r="C17" s="20" t="s">
        <v>510</v>
      </c>
      <c r="D17" s="102">
        <v>0.22</v>
      </c>
      <c r="E17" s="102">
        <v>0.23</v>
      </c>
      <c r="F17" s="103">
        <f t="shared" si="1"/>
        <v>0.225</v>
      </c>
      <c r="G17" s="103" t="s">
        <v>511</v>
      </c>
      <c r="H17" s="20" t="str">
        <f t="shared" si="4"/>
        <v>Pending</v>
      </c>
      <c r="I17" s="105" t="s">
        <v>512</v>
      </c>
      <c r="J17" s="2"/>
    </row>
    <row r="18" ht="15" customHeight="1">
      <c r="A18" s="2" t="s">
        <v>503</v>
      </c>
      <c r="B18" s="101">
        <f t="shared" si="5" ref="B18:B23">DATE(2026,4,21)</f>
        <v>46133</v>
      </c>
      <c r="C18" s="20" t="s">
        <v>510</v>
      </c>
      <c r="D18" s="102">
        <v>0.135</v>
      </c>
      <c r="E18" s="102">
        <v>0.155</v>
      </c>
      <c r="F18" s="103">
        <f t="shared" si="1"/>
        <v>0.14500000000000002</v>
      </c>
      <c r="G18" s="103" t="s">
        <v>511</v>
      </c>
      <c r="H18" s="20" t="str">
        <f t="shared" si="2"/>
        <v>Pending</v>
      </c>
      <c r="I18" s="105" t="s">
        <v>516</v>
      </c>
      <c r="J18" s="2"/>
    </row>
    <row r="19" ht="15" customHeight="1">
      <c r="A19" s="2" t="s">
        <v>507</v>
      </c>
      <c r="B19" s="101">
        <f t="shared" si="5"/>
        <v>46133</v>
      </c>
      <c r="C19" s="20" t="s">
        <v>510</v>
      </c>
      <c r="D19" s="102">
        <v>0.675</v>
      </c>
      <c r="E19" s="102">
        <v>0.685</v>
      </c>
      <c r="F19" s="103">
        <f t="shared" si="1"/>
        <v>0.68</v>
      </c>
      <c r="G19" s="103" t="s">
        <v>511</v>
      </c>
      <c r="H19" s="20" t="str">
        <f t="shared" si="2"/>
        <v>Pending</v>
      </c>
      <c r="I19" s="105" t="s">
        <v>516</v>
      </c>
      <c r="J19" s="2"/>
    </row>
    <row r="20" ht="15" customHeight="1">
      <c r="A20" s="2" t="s">
        <v>508</v>
      </c>
      <c r="B20" s="101">
        <f t="shared" si="5"/>
        <v>46133</v>
      </c>
      <c r="C20" s="20" t="s">
        <v>510</v>
      </c>
      <c r="D20" s="102">
        <v>0.11</v>
      </c>
      <c r="E20" s="102">
        <v>0.14</v>
      </c>
      <c r="F20" s="103">
        <f t="shared" si="1"/>
        <v>0.125</v>
      </c>
      <c r="G20" s="103" t="s">
        <v>511</v>
      </c>
      <c r="H20" s="20" t="str">
        <f t="shared" si="4"/>
        <v>Pending</v>
      </c>
      <c r="I20" s="105" t="s">
        <v>516</v>
      </c>
      <c r="J20" s="2"/>
    </row>
    <row r="21" ht="15" customHeight="1">
      <c r="A21" s="2" t="s">
        <v>513</v>
      </c>
      <c r="B21" s="101">
        <f t="shared" si="5"/>
        <v>46133</v>
      </c>
      <c r="C21" s="20" t="s">
        <v>510</v>
      </c>
      <c r="D21" s="61">
        <v>890</v>
      </c>
      <c r="E21" s="61">
        <v>920</v>
      </c>
      <c r="F21" s="70">
        <f t="shared" si="1"/>
        <v>905</v>
      </c>
      <c r="G21" s="70" t="s">
        <v>511</v>
      </c>
      <c r="H21" s="20" t="str">
        <f t="shared" si="6"/>
        <v>Pending</v>
      </c>
      <c r="I21" s="105" t="s">
        <v>516</v>
      </c>
      <c r="J21" s="2"/>
    </row>
    <row r="22" ht="15" customHeight="1">
      <c r="A22" s="2" t="s">
        <v>514</v>
      </c>
      <c r="B22" s="101">
        <f t="shared" si="5"/>
        <v>46133</v>
      </c>
      <c r="C22" s="20" t="s">
        <v>510</v>
      </c>
      <c r="D22" s="61">
        <v>315</v>
      </c>
      <c r="E22" s="61">
        <v>335</v>
      </c>
      <c r="F22" s="70">
        <f t="shared" si="1"/>
        <v>325</v>
      </c>
      <c r="G22" s="70" t="s">
        <v>511</v>
      </c>
      <c r="H22" s="20" t="str">
        <f t="shared" si="2"/>
        <v>Pending</v>
      </c>
      <c r="I22" s="105" t="s">
        <v>516</v>
      </c>
      <c r="J22" s="2"/>
    </row>
    <row r="23" ht="15" customHeight="1">
      <c r="A23" s="2" t="s">
        <v>515</v>
      </c>
      <c r="B23" s="101">
        <f t="shared" si="5"/>
        <v>46133</v>
      </c>
      <c r="C23" s="20" t="s">
        <v>510</v>
      </c>
      <c r="D23" s="102">
        <v>0.22</v>
      </c>
      <c r="E23" s="102">
        <v>0.23</v>
      </c>
      <c r="F23" s="103">
        <f t="shared" si="1"/>
        <v>0.225</v>
      </c>
      <c r="G23" s="103" t="s">
        <v>511</v>
      </c>
      <c r="H23" s="20" t="str">
        <f t="shared" si="4"/>
        <v>Pending</v>
      </c>
      <c r="I23" s="105" t="s">
        <v>516</v>
      </c>
      <c r="J23" s="2"/>
    </row>
    <row r="24" ht="15" customHeight="1">
      <c r="A24" s="2" t="s">
        <v>503</v>
      </c>
      <c r="B24" s="101">
        <f t="shared" si="7" ref="B24:B30">DATE(2026,7,16)</f>
        <v>46219</v>
      </c>
      <c r="C24" s="20" t="s">
        <v>510</v>
      </c>
      <c r="D24" s="102">
        <v>0.135</v>
      </c>
      <c r="E24" s="102">
        <v>0.155</v>
      </c>
      <c r="F24" s="103">
        <f t="shared" si="1"/>
        <v>0.14500000000000002</v>
      </c>
      <c r="G24" s="103" t="s">
        <v>511</v>
      </c>
      <c r="H24" s="20" t="str">
        <f t="shared" si="2"/>
        <v>Pending</v>
      </c>
      <c r="I24" s="105" t="s">
        <v>517</v>
      </c>
      <c r="J24" s="2"/>
    </row>
    <row r="25" ht="15" customHeight="1">
      <c r="A25" s="2" t="s">
        <v>507</v>
      </c>
      <c r="B25" s="101">
        <f t="shared" si="7"/>
        <v>46219</v>
      </c>
      <c r="C25" s="20" t="s">
        <v>510</v>
      </c>
      <c r="D25" s="102">
        <v>0.68</v>
      </c>
      <c r="E25" s="102">
        <v>0.69</v>
      </c>
      <c r="F25" s="103">
        <f t="shared" si="1"/>
        <v>0.685</v>
      </c>
      <c r="G25" s="103" t="s">
        <v>511</v>
      </c>
      <c r="H25" s="20" t="str">
        <f t="shared" si="2"/>
        <v>Pending</v>
      </c>
      <c r="I25" s="105" t="s">
        <v>517</v>
      </c>
      <c r="J25" s="2"/>
    </row>
    <row r="26" ht="15" customHeight="1">
      <c r="A26" s="2" t="s">
        <v>508</v>
      </c>
      <c r="B26" s="101">
        <f t="shared" si="7"/>
        <v>46219</v>
      </c>
      <c r="C26" s="20" t="s">
        <v>510</v>
      </c>
      <c r="D26" s="102">
        <v>0.11</v>
      </c>
      <c r="E26" s="102">
        <v>0.13</v>
      </c>
      <c r="F26" s="103">
        <f t="shared" si="1"/>
        <v>0.12</v>
      </c>
      <c r="G26" s="103" t="s">
        <v>511</v>
      </c>
      <c r="H26" s="20" t="str">
        <f t="shared" si="4"/>
        <v>Pending</v>
      </c>
      <c r="I26" s="105" t="s">
        <v>517</v>
      </c>
      <c r="J26" s="2"/>
    </row>
    <row r="27" ht="15" customHeight="1">
      <c r="A27" s="2" t="s">
        <v>513</v>
      </c>
      <c r="B27" s="101">
        <f t="shared" si="7"/>
        <v>46219</v>
      </c>
      <c r="C27" s="20" t="s">
        <v>510</v>
      </c>
      <c r="D27" s="61">
        <v>880</v>
      </c>
      <c r="E27" s="61">
        <v>900</v>
      </c>
      <c r="F27" s="70">
        <f t="shared" si="1"/>
        <v>890</v>
      </c>
      <c r="G27" s="70" t="s">
        <v>511</v>
      </c>
      <c r="H27" s="20" t="str">
        <f t="shared" si="6"/>
        <v>Pending</v>
      </c>
      <c r="I27" s="105" t="s">
        <v>518</v>
      </c>
      <c r="J27" s="2"/>
    </row>
    <row r="28" ht="15" customHeight="1">
      <c r="A28" s="2" t="s">
        <v>514</v>
      </c>
      <c r="B28" s="101">
        <f t="shared" si="7"/>
        <v>46219</v>
      </c>
      <c r="C28" s="20" t="s">
        <v>510</v>
      </c>
      <c r="D28" s="61">
        <v>315</v>
      </c>
      <c r="E28" s="61">
        <v>335</v>
      </c>
      <c r="F28" s="70">
        <f t="shared" si="1"/>
        <v>325</v>
      </c>
      <c r="G28" s="70" t="s">
        <v>511</v>
      </c>
      <c r="H28" s="20" t="str">
        <f t="shared" si="2"/>
        <v>Pending</v>
      </c>
      <c r="I28" s="105" t="s">
        <v>518</v>
      </c>
      <c r="J28" s="2"/>
    </row>
    <row r="29" ht="15" customHeight="1">
      <c r="A29" s="2" t="s">
        <v>515</v>
      </c>
      <c r="B29" s="101">
        <f t="shared" si="7"/>
        <v>46219</v>
      </c>
      <c r="C29" s="20" t="s">
        <v>510</v>
      </c>
      <c r="D29" s="102">
        <v>0.22</v>
      </c>
      <c r="E29" s="102">
        <v>0.23</v>
      </c>
      <c r="F29" s="103">
        <f t="shared" si="1"/>
        <v>0.225</v>
      </c>
      <c r="G29" s="103" t="s">
        <v>511</v>
      </c>
      <c r="H29" s="20" t="str">
        <f t="shared" si="4"/>
        <v>Pending</v>
      </c>
      <c r="I29" s="105" t="s">
        <v>518</v>
      </c>
      <c r="J29" s="2"/>
    </row>
    <row r="30" ht="15" customHeight="1">
      <c r="A30" s="2" t="s">
        <v>519</v>
      </c>
      <c r="B30" s="101">
        <f t="shared" si="7"/>
        <v>46219</v>
      </c>
      <c r="C30" s="20" t="s">
        <v>520</v>
      </c>
      <c r="D30" s="103" t="s">
        <v>78</v>
      </c>
      <c r="E30" s="103" t="s">
        <v>78</v>
      </c>
      <c r="F30" s="103" t="s">
        <v>78</v>
      </c>
      <c r="G30" s="103" t="s">
        <v>78</v>
      </c>
      <c r="H30" s="20" t="s">
        <v>36</v>
      </c>
      <c r="I30" s="105" t="s">
        <v>517</v>
      </c>
      <c r="J30" s="2"/>
    </row>
    <row r="31" ht="15" customHeight="1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ht="15" customHeight="1">
      <c r="A32" s="2" t="s">
        <v>521</v>
      </c>
      <c r="B32" s="2"/>
      <c r="C32" s="2"/>
      <c r="D32" s="2"/>
      <c r="E32" s="2"/>
      <c r="F32" s="2"/>
      <c r="G32" s="2"/>
      <c r="H32" s="2"/>
      <c r="I32" s="2"/>
      <c r="J32" s="2"/>
    </row>
    <row r="33" ht="15" customHeight="1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ht="15" customHeight="1">
      <c r="A34" s="2"/>
      <c r="B34" s="2"/>
      <c r="C34" s="2"/>
      <c r="D34" s="2"/>
      <c r="E34" s="2"/>
      <c r="F34" s="2"/>
      <c r="G34" s="2"/>
      <c r="H34" s="2"/>
      <c r="I34" s="2"/>
      <c r="J34" s="2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6273238-95D8-2EE8-8B28-9B529E40B98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2.00390625" customWidth="1"/>
    <col min="2" max="2" width="15.00390625" customWidth="1"/>
    <col min="3" max="3" width="38.00390625" customWidth="1"/>
    <col min="4" max="4" width="30.00390625" customWidth="1"/>
    <col min="5" max="5" width="15.00390625" customWidth="1"/>
    <col min="6" max="6" width="75.00390625" customWidth="1"/>
  </cols>
  <sheetData>
    <row r="1" ht="15" customHeight="1">
      <c r="A1" s="35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" customHeight="1">
      <c r="A2" s="28" t="s">
        <v>522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>
      <c r="A3" s="31" t="s">
        <v>2</v>
      </c>
      <c r="B3" s="2"/>
      <c r="C3" s="2"/>
      <c r="D3" s="2"/>
      <c r="E3" s="2"/>
      <c r="F3" s="2"/>
      <c r="G3" s="2"/>
      <c r="H3" s="2"/>
      <c r="I3" s="2"/>
      <c r="J3" s="2"/>
    </row>
    <row r="4" ht="15" customHeight="1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2"/>
      <c r="J4" s="2"/>
    </row>
    <row r="5" ht="15" customHeight="1">
      <c r="A5" s="7" t="s">
        <v>5</v>
      </c>
      <c r="B5" s="8">
        <f>DATE(2026,9,30)</f>
        <v>46295</v>
      </c>
      <c r="C5" s="8"/>
      <c r="D5" s="8"/>
      <c r="E5" s="8"/>
      <c r="F5" s="8"/>
      <c r="G5" s="8"/>
      <c r="H5" s="9"/>
      <c r="I5" s="2"/>
      <c r="J5" s="2"/>
    </row>
    <row r="6" ht="15" customHeight="1">
      <c r="A6" s="10" t="s">
        <v>6</v>
      </c>
      <c r="B6" s="11">
        <f>B5-EOMONTH(B5,-3)</f>
        <v>92</v>
      </c>
      <c r="C6" s="11"/>
      <c r="D6" s="11"/>
      <c r="E6" s="11"/>
      <c r="F6" s="11"/>
      <c r="G6" s="11"/>
      <c r="H6" s="12"/>
      <c r="I6" s="2"/>
      <c r="J6" s="2"/>
    </row>
    <row r="7" ht="15" customHeight="1">
      <c r="A7" s="2"/>
      <c r="B7" s="2"/>
      <c r="C7" s="2"/>
      <c r="D7" s="2"/>
      <c r="E7" s="2"/>
      <c r="F7" s="2"/>
      <c r="G7" s="2"/>
      <c r="H7" s="2"/>
      <c r="I7" s="2"/>
      <c r="J7" s="2"/>
    </row>
    <row r="8" ht="15" customHeight="1">
      <c r="A8" s="100" t="s">
        <v>523</v>
      </c>
      <c r="B8" s="15" t="s">
        <v>524</v>
      </c>
      <c r="C8" s="14" t="s">
        <v>525</v>
      </c>
      <c r="D8" s="14" t="s">
        <v>526</v>
      </c>
      <c r="E8" s="15" t="s">
        <v>527</v>
      </c>
      <c r="F8" s="14" t="s">
        <v>528</v>
      </c>
      <c r="G8" s="15"/>
      <c r="H8" s="15"/>
      <c r="I8" s="15"/>
      <c r="J8" s="2"/>
    </row>
    <row r="9" ht="26.25" customHeight="1">
      <c r="A9" s="2" t="s">
        <v>76</v>
      </c>
      <c r="B9" s="101">
        <f t="shared" si="0" ref="B9:B17">DATE(2026,7,16)</f>
        <v>46219</v>
      </c>
      <c r="C9" s="2" t="s">
        <v>529</v>
      </c>
      <c r="D9" s="2" t="s">
        <v>530</v>
      </c>
      <c r="E9" s="101">
        <f t="shared" si="1" ref="E9:E35">DATE(2026,10,19)</f>
        <v>46314</v>
      </c>
      <c r="F9" s="106" t="s">
        <v>531</v>
      </c>
      <c r="G9" s="2"/>
      <c r="H9" s="2"/>
      <c r="I9" s="2"/>
      <c r="J9" s="2"/>
    </row>
    <row r="10" ht="26.25" customHeight="1">
      <c r="A10" s="2" t="s">
        <v>517</v>
      </c>
      <c r="B10" s="101">
        <f t="shared" si="0"/>
        <v>46219</v>
      </c>
      <c r="C10" s="2" t="s">
        <v>532</v>
      </c>
      <c r="D10" s="2" t="s">
        <v>533</v>
      </c>
      <c r="E10" s="101">
        <f t="shared" si="1"/>
        <v>46314</v>
      </c>
      <c r="F10" s="106" t="s">
        <v>534</v>
      </c>
      <c r="G10" s="2"/>
      <c r="H10" s="2"/>
      <c r="I10" s="2"/>
      <c r="J10" s="2"/>
    </row>
    <row r="11" ht="26.25" customHeight="1">
      <c r="A11" s="2" t="s">
        <v>449</v>
      </c>
      <c r="B11" s="101">
        <f>DATE(2026,7,21)</f>
        <v>46224</v>
      </c>
      <c r="C11" s="2" t="s">
        <v>535</v>
      </c>
      <c r="D11" s="2" t="s">
        <v>536</v>
      </c>
      <c r="E11" s="101">
        <f t="shared" si="1"/>
        <v>46314</v>
      </c>
      <c r="F11" s="106" t="s">
        <v>537</v>
      </c>
      <c r="G11" s="2"/>
      <c r="H11" s="2"/>
      <c r="I11" s="2"/>
      <c r="J11" s="2"/>
    </row>
    <row r="12" ht="26.25" customHeight="1">
      <c r="A12" s="2" t="s">
        <v>538</v>
      </c>
      <c r="B12" s="101">
        <f>DATE(2026,4,22)</f>
        <v>46134</v>
      </c>
      <c r="C12" s="2" t="s">
        <v>539</v>
      </c>
      <c r="D12" s="2" t="s">
        <v>536</v>
      </c>
      <c r="E12" s="101">
        <f t="shared" si="1"/>
        <v>46314</v>
      </c>
      <c r="F12" s="106" t="s">
        <v>540</v>
      </c>
      <c r="G12" s="2"/>
      <c r="H12" s="2"/>
      <c r="I12" s="2"/>
      <c r="J12" s="2"/>
    </row>
    <row r="13" ht="26.25" customHeight="1">
      <c r="A13" s="2" t="s">
        <v>541</v>
      </c>
      <c r="B13" s="101">
        <f>DATE(2025,10,22)</f>
        <v>45952</v>
      </c>
      <c r="C13" s="2" t="s">
        <v>542</v>
      </c>
      <c r="D13" s="2" t="s">
        <v>536</v>
      </c>
      <c r="E13" s="101">
        <f t="shared" si="1"/>
        <v>46314</v>
      </c>
      <c r="F13" s="106" t="s">
        <v>543</v>
      </c>
      <c r="G13" s="2"/>
      <c r="H13" s="2"/>
      <c r="I13" s="2"/>
      <c r="J13" s="2"/>
    </row>
    <row r="14" ht="26.25" customHeight="1">
      <c r="A14" s="2" t="s">
        <v>476</v>
      </c>
      <c r="B14" s="101">
        <f>DATE(2026,2,3)</f>
        <v>46056</v>
      </c>
      <c r="C14" s="2" t="s">
        <v>544</v>
      </c>
      <c r="D14" s="2" t="s">
        <v>545</v>
      </c>
      <c r="E14" s="101">
        <f t="shared" si="1"/>
        <v>46314</v>
      </c>
      <c r="F14" s="106" t="s">
        <v>546</v>
      </c>
      <c r="G14" s="2"/>
      <c r="H14" s="2"/>
      <c r="I14" s="2"/>
      <c r="J14" s="2"/>
    </row>
    <row r="15" ht="26.25" customHeight="1">
      <c r="A15" s="2" t="s">
        <v>547</v>
      </c>
      <c r="B15" s="101">
        <f t="shared" si="2" ref="B15:B19">DATE(2026,1,22)</f>
        <v>46044</v>
      </c>
      <c r="C15" s="2" t="s">
        <v>548</v>
      </c>
      <c r="D15" s="2" t="s">
        <v>549</v>
      </c>
      <c r="E15" s="101">
        <f t="shared" si="1"/>
        <v>46314</v>
      </c>
      <c r="F15" s="106" t="s">
        <v>550</v>
      </c>
      <c r="G15" s="2"/>
      <c r="H15" s="2"/>
      <c r="I15" s="2"/>
      <c r="J15" s="2"/>
    </row>
    <row r="16" ht="26.25" customHeight="1">
      <c r="A16" s="2" t="s">
        <v>506</v>
      </c>
      <c r="B16" s="101">
        <f>DATE(2025,10,21)</f>
        <v>45951</v>
      </c>
      <c r="C16" s="2" t="s">
        <v>532</v>
      </c>
      <c r="D16" s="2" t="s">
        <v>551</v>
      </c>
      <c r="E16" s="101">
        <f t="shared" si="1"/>
        <v>46314</v>
      </c>
      <c r="F16" s="106" t="s">
        <v>552</v>
      </c>
      <c r="G16" s="2"/>
      <c r="H16" s="2"/>
      <c r="I16" s="2"/>
      <c r="J16" s="2"/>
    </row>
    <row r="17" ht="15" customHeight="1">
      <c r="A17" s="2" t="s">
        <v>518</v>
      </c>
      <c r="B17" s="101">
        <f t="shared" si="0"/>
        <v>46219</v>
      </c>
      <c r="C17" s="2" t="s">
        <v>553</v>
      </c>
      <c r="D17" s="2" t="s">
        <v>554</v>
      </c>
      <c r="E17" s="101">
        <f t="shared" si="1"/>
        <v>46314</v>
      </c>
      <c r="F17" s="106" t="s">
        <v>555</v>
      </c>
      <c r="G17" s="2"/>
      <c r="H17" s="2"/>
      <c r="I17" s="2"/>
      <c r="J17" s="2"/>
    </row>
    <row r="18" ht="15" customHeight="1">
      <c r="A18" s="2" t="s">
        <v>516</v>
      </c>
      <c r="B18" s="101">
        <f>DATE(2026,4,21)</f>
        <v>46133</v>
      </c>
      <c r="C18" s="2" t="s">
        <v>553</v>
      </c>
      <c r="D18" s="2" t="s">
        <v>556</v>
      </c>
      <c r="E18" s="101">
        <f t="shared" si="1"/>
        <v>46314</v>
      </c>
      <c r="F18" s="106" t="s">
        <v>557</v>
      </c>
      <c r="G18" s="2"/>
      <c r="H18" s="2"/>
      <c r="I18" s="2"/>
      <c r="J18" s="2"/>
    </row>
    <row r="19" ht="15" customHeight="1">
      <c r="A19" s="2" t="s">
        <v>512</v>
      </c>
      <c r="B19" s="101">
        <f t="shared" si="2"/>
        <v>46044</v>
      </c>
      <c r="C19" s="2" t="s">
        <v>553</v>
      </c>
      <c r="D19" s="2" t="s">
        <v>558</v>
      </c>
      <c r="E19" s="101">
        <f t="shared" si="1"/>
        <v>46314</v>
      </c>
      <c r="F19" s="106" t="s">
        <v>559</v>
      </c>
      <c r="G19" s="2"/>
      <c r="H19" s="2"/>
      <c r="I19" s="2"/>
      <c r="J19" s="2"/>
    </row>
    <row r="20" ht="26.25" customHeight="1">
      <c r="A20" s="2" t="s">
        <v>560</v>
      </c>
      <c r="B20" s="101">
        <f>DATE(2026,9,9)</f>
        <v>46274</v>
      </c>
      <c r="C20" s="2" t="s">
        <v>561</v>
      </c>
      <c r="D20" s="2" t="s">
        <v>562</v>
      </c>
      <c r="E20" s="101">
        <f t="shared" si="1"/>
        <v>46314</v>
      </c>
      <c r="F20" s="106" t="s">
        <v>563</v>
      </c>
      <c r="G20" s="2"/>
      <c r="H20" s="2"/>
      <c r="I20" s="2"/>
      <c r="J20" s="2"/>
    </row>
    <row r="21" ht="15" customHeight="1">
      <c r="A21" s="2" t="s">
        <v>564</v>
      </c>
      <c r="B21" s="101">
        <f t="shared" si="3" ref="B21:B22">DATE(2026,10,18)</f>
        <v>46313</v>
      </c>
      <c r="C21" s="2" t="s">
        <v>565</v>
      </c>
      <c r="D21" s="2" t="s">
        <v>566</v>
      </c>
      <c r="E21" s="101">
        <f t="shared" si="1"/>
        <v>46314</v>
      </c>
      <c r="F21" s="106" t="s">
        <v>567</v>
      </c>
      <c r="G21" s="2"/>
      <c r="H21" s="2"/>
      <c r="I21" s="2"/>
      <c r="J21" s="2"/>
    </row>
    <row r="22" ht="15" customHeight="1">
      <c r="A22" s="2" t="s">
        <v>568</v>
      </c>
      <c r="B22" s="101">
        <f t="shared" si="3"/>
        <v>46313</v>
      </c>
      <c r="C22" s="2" t="s">
        <v>565</v>
      </c>
      <c r="D22" s="2" t="s">
        <v>569</v>
      </c>
      <c r="E22" s="101">
        <f t="shared" si="1"/>
        <v>46314</v>
      </c>
      <c r="F22" s="106" t="s">
        <v>570</v>
      </c>
      <c r="G22" s="2"/>
      <c r="H22" s="2"/>
      <c r="I22" s="2"/>
      <c r="J22" s="2"/>
    </row>
    <row r="23" ht="26.25" customHeight="1">
      <c r="A23" s="2" t="s">
        <v>571</v>
      </c>
      <c r="B23" s="101">
        <f t="shared" si="5" ref="B23:B33">DATE(2026,10,13)</f>
        <v>46308</v>
      </c>
      <c r="C23" s="2" t="s">
        <v>572</v>
      </c>
      <c r="D23" s="2" t="s">
        <v>573</v>
      </c>
      <c r="E23" s="101">
        <f t="shared" si="1"/>
        <v>46314</v>
      </c>
      <c r="F23" s="106" t="s">
        <v>574</v>
      </c>
      <c r="G23" s="2"/>
      <c r="H23" s="2"/>
      <c r="I23" s="2"/>
      <c r="J23" s="2"/>
    </row>
    <row r="24" ht="26.25" customHeight="1">
      <c r="A24" s="2" t="s">
        <v>575</v>
      </c>
      <c r="B24" s="101">
        <f>DATE(2026,9,29)</f>
        <v>46294</v>
      </c>
      <c r="C24" s="2" t="s">
        <v>576</v>
      </c>
      <c r="D24" s="2" t="s">
        <v>577</v>
      </c>
      <c r="E24" s="101">
        <f t="shared" si="1"/>
        <v>46314</v>
      </c>
      <c r="F24" s="106" t="s">
        <v>578</v>
      </c>
      <c r="G24" s="2"/>
      <c r="H24" s="2"/>
      <c r="I24" s="2"/>
      <c r="J24" s="2"/>
    </row>
    <row r="25" ht="26.25" customHeight="1">
      <c r="A25" s="2" t="s">
        <v>579</v>
      </c>
      <c r="B25" s="101">
        <f>DATE(2026,9,17)</f>
        <v>46282</v>
      </c>
      <c r="C25" s="2" t="s">
        <v>576</v>
      </c>
      <c r="D25" s="2" t="s">
        <v>580</v>
      </c>
      <c r="E25" s="101">
        <f t="shared" si="1"/>
        <v>46314</v>
      </c>
      <c r="F25" s="106" t="s">
        <v>581</v>
      </c>
      <c r="G25" s="2"/>
      <c r="H25" s="2"/>
      <c r="I25" s="2"/>
      <c r="J25" s="2"/>
    </row>
    <row r="26" ht="26.25" customHeight="1">
      <c r="A26" s="2" t="s">
        <v>582</v>
      </c>
      <c r="B26" s="101">
        <f>DATE(2026,7,17)</f>
        <v>46220</v>
      </c>
      <c r="C26" s="2" t="s">
        <v>583</v>
      </c>
      <c r="D26" s="2" t="s">
        <v>584</v>
      </c>
      <c r="E26" s="101">
        <f t="shared" si="1"/>
        <v>46314</v>
      </c>
      <c r="F26" s="106" t="s">
        <v>585</v>
      </c>
      <c r="G26" s="2"/>
      <c r="H26" s="2"/>
      <c r="I26" s="2"/>
      <c r="J26" s="2"/>
    </row>
    <row r="27" ht="15" customHeight="1">
      <c r="A27" s="2" t="s">
        <v>586</v>
      </c>
      <c r="B27" s="101">
        <f>DATE(2026,10,1)</f>
        <v>46296</v>
      </c>
      <c r="C27" s="2" t="s">
        <v>587</v>
      </c>
      <c r="D27" s="2" t="s">
        <v>588</v>
      </c>
      <c r="E27" s="101">
        <f t="shared" si="1"/>
        <v>46314</v>
      </c>
      <c r="F27" s="106" t="s">
        <v>589</v>
      </c>
      <c r="G27" s="2"/>
      <c r="H27" s="2"/>
      <c r="I27" s="2"/>
      <c r="J27" s="2"/>
    </row>
    <row r="28" ht="15" customHeight="1">
      <c r="A28" s="2" t="s">
        <v>590</v>
      </c>
      <c r="B28" s="101">
        <f t="shared" si="4" ref="B28:B29">DATE(2026,10,16)</f>
        <v>46311</v>
      </c>
      <c r="C28" s="2" t="s">
        <v>591</v>
      </c>
      <c r="D28" s="2" t="s">
        <v>592</v>
      </c>
      <c r="E28" s="101">
        <f t="shared" si="1"/>
        <v>46314</v>
      </c>
      <c r="F28" s="106" t="s">
        <v>593</v>
      </c>
      <c r="G28" s="2"/>
      <c r="H28" s="2"/>
      <c r="I28" s="2"/>
      <c r="J28" s="2"/>
    </row>
    <row r="29" ht="15" customHeight="1">
      <c r="A29" s="2" t="s">
        <v>594</v>
      </c>
      <c r="B29" s="101">
        <f t="shared" si="4"/>
        <v>46311</v>
      </c>
      <c r="C29" s="2" t="s">
        <v>595</v>
      </c>
      <c r="D29" s="2" t="s">
        <v>596</v>
      </c>
      <c r="E29" s="101">
        <f t="shared" si="1"/>
        <v>46314</v>
      </c>
      <c r="F29" s="106" t="s">
        <v>597</v>
      </c>
      <c r="G29" s="2"/>
      <c r="H29" s="2"/>
      <c r="I29" s="2"/>
      <c r="J29" s="2"/>
    </row>
    <row r="30" ht="26.25" customHeight="1">
      <c r="A30" s="2" t="s">
        <v>598</v>
      </c>
      <c r="B30" s="101">
        <f>DATE(2026,10,15)</f>
        <v>46310</v>
      </c>
      <c r="C30" s="2" t="s">
        <v>599</v>
      </c>
      <c r="D30" s="2" t="s">
        <v>600</v>
      </c>
      <c r="E30" s="101">
        <f t="shared" si="1"/>
        <v>46314</v>
      </c>
      <c r="F30" s="106" t="s">
        <v>601</v>
      </c>
      <c r="G30" s="2"/>
      <c r="H30" s="2"/>
      <c r="I30" s="2"/>
      <c r="J30" s="2"/>
    </row>
    <row r="31" ht="26.25" customHeight="1">
      <c r="A31" s="2" t="s">
        <v>602</v>
      </c>
      <c r="B31" s="101">
        <f t="shared" si="5"/>
        <v>46308</v>
      </c>
      <c r="C31" s="2" t="s">
        <v>603</v>
      </c>
      <c r="D31" s="2" t="s">
        <v>604</v>
      </c>
      <c r="E31" s="101">
        <f t="shared" si="1"/>
        <v>46314</v>
      </c>
      <c r="F31" s="106" t="s">
        <v>605</v>
      </c>
      <c r="G31" s="2"/>
      <c r="H31" s="2"/>
      <c r="I31" s="2"/>
      <c r="J31" s="2"/>
    </row>
    <row r="32" ht="26.25" customHeight="1">
      <c r="A32" s="2" t="s">
        <v>606</v>
      </c>
      <c r="B32" s="101">
        <f t="shared" si="5"/>
        <v>46308</v>
      </c>
      <c r="C32" s="2" t="s">
        <v>607</v>
      </c>
      <c r="D32" s="2" t="s">
        <v>608</v>
      </c>
      <c r="E32" s="101">
        <f t="shared" si="1"/>
        <v>46314</v>
      </c>
      <c r="F32" s="106" t="s">
        <v>609</v>
      </c>
      <c r="G32" s="2"/>
      <c r="H32" s="2"/>
      <c r="I32" s="2"/>
      <c r="J32" s="2"/>
    </row>
    <row r="33" ht="26.25" customHeight="1">
      <c r="A33" s="2" t="s">
        <v>610</v>
      </c>
      <c r="B33" s="101">
        <f t="shared" si="5"/>
        <v>46308</v>
      </c>
      <c r="C33" s="2" t="s">
        <v>611</v>
      </c>
      <c r="D33" s="2" t="s">
        <v>612</v>
      </c>
      <c r="E33" s="101">
        <f t="shared" si="1"/>
        <v>46314</v>
      </c>
      <c r="F33" s="106" t="s">
        <v>613</v>
      </c>
      <c r="G33" s="2"/>
      <c r="H33" s="2"/>
      <c r="I33" s="2"/>
      <c r="J33" s="2"/>
    </row>
    <row r="34" ht="26.25" customHeight="1">
      <c r="A34" s="2" t="s">
        <v>614</v>
      </c>
      <c r="B34" s="101">
        <f>DATE(2026,9,13)</f>
        <v>46278</v>
      </c>
      <c r="C34" s="2" t="s">
        <v>615</v>
      </c>
      <c r="D34" s="2" t="s">
        <v>616</v>
      </c>
      <c r="E34" s="101">
        <f t="shared" si="1"/>
        <v>46314</v>
      </c>
      <c r="F34" s="106" t="s">
        <v>617</v>
      </c>
      <c r="G34" s="2"/>
      <c r="H34" s="2"/>
      <c r="I34" s="2"/>
      <c r="J34" s="2"/>
    </row>
    <row r="35" ht="15" customHeight="1">
      <c r="A35" s="2" t="s">
        <v>618</v>
      </c>
      <c r="B35" s="101">
        <f>DATE(2026,7,27)</f>
        <v>46230</v>
      </c>
      <c r="C35" s="2" t="s">
        <v>619</v>
      </c>
      <c r="D35" s="2" t="s">
        <v>620</v>
      </c>
      <c r="E35" s="101">
        <f t="shared" si="1"/>
        <v>46314</v>
      </c>
      <c r="F35" s="106" t="s">
        <v>621</v>
      </c>
      <c r="G35" s="2"/>
      <c r="H35" s="2"/>
      <c r="I35" s="2"/>
      <c r="J35" s="2"/>
    </row>
    <row r="36" ht="15" customHeight="1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ht="15" customHeight="1">
      <c r="A37" s="28" t="s">
        <v>622</v>
      </c>
      <c r="B37" s="2"/>
      <c r="C37" s="2"/>
      <c r="D37" s="2"/>
      <c r="E37" s="2"/>
      <c r="F37" s="2"/>
      <c r="G37" s="2"/>
      <c r="H37" s="2"/>
      <c r="I37" s="2"/>
      <c r="J37" s="2"/>
    </row>
    <row r="38" ht="15" customHeight="1">
      <c r="A38" s="2" t="s">
        <v>623</v>
      </c>
      <c r="B38" s="2"/>
      <c r="C38" s="2"/>
      <c r="D38" s="2"/>
      <c r="E38" s="2"/>
      <c r="F38" s="2"/>
      <c r="G38" s="2"/>
      <c r="H38" s="2"/>
      <c r="I38" s="2"/>
      <c r="J38" s="2"/>
    </row>
    <row r="39" ht="15" customHeight="1">
      <c r="A39" s="2" t="s">
        <v>624</v>
      </c>
      <c r="B39" s="2"/>
      <c r="C39" s="2"/>
      <c r="D39" s="2"/>
      <c r="E39" s="2"/>
      <c r="F39" s="2"/>
      <c r="G39" s="2"/>
      <c r="H39" s="2"/>
      <c r="I39" s="2"/>
      <c r="J39" s="2"/>
    </row>
    <row r="40" ht="15" customHeight="1">
      <c r="A40" s="2" t="s">
        <v>625</v>
      </c>
      <c r="B40" s="2"/>
      <c r="C40" s="2"/>
      <c r="D40" s="2"/>
      <c r="E40" s="2"/>
      <c r="F40" s="2"/>
      <c r="G40" s="2"/>
      <c r="H40" s="2"/>
      <c r="I40" s="2"/>
      <c r="J40" s="2"/>
    </row>
    <row r="41" ht="15" customHeight="1">
      <c r="A41" s="2" t="s">
        <v>626</v>
      </c>
      <c r="B41" s="2"/>
      <c r="C41" s="2"/>
      <c r="D41" s="2"/>
      <c r="E41" s="2"/>
      <c r="F41" s="2"/>
      <c r="G41" s="2"/>
      <c r="H41" s="2"/>
      <c r="I41" s="2"/>
      <c r="J41" s="2"/>
    </row>
    <row r="42" ht="15" customHeight="1">
      <c r="A42" s="2" t="s">
        <v>627</v>
      </c>
      <c r="B42" s="2"/>
      <c r="C42" s="2"/>
      <c r="D42" s="2"/>
      <c r="E42" s="2"/>
      <c r="F42" s="2"/>
      <c r="G42" s="2"/>
      <c r="H42" s="2"/>
      <c r="I42" s="2"/>
      <c r="J42" s="2"/>
    </row>
    <row r="43" ht="15" customHeight="1">
      <c r="A43" s="2" t="s">
        <v>628</v>
      </c>
    </row>
    <row r="44" ht="15" customHeight="1">
      <c r="A44" s="2" t="s">
        <v>629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A760A1C-4A4D-C844-448B-90EA0775295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4.00390625" customWidth="1"/>
    <col min="2" max="7" width="12.00390625" customWidth="1"/>
    <col min="8" max="8" width="14.00390625" customWidth="1"/>
    <col min="9" max="10" width="12.00390625" customWidth="1"/>
  </cols>
  <sheetData>
    <row r="1" ht="15" customHeight="1">
      <c r="A1" s="35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" customHeight="1">
      <c r="A2" s="28" t="s">
        <v>630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>
      <c r="A3" s="31" t="s">
        <v>2</v>
      </c>
      <c r="B3" s="2"/>
      <c r="C3" s="2"/>
      <c r="D3" s="2"/>
      <c r="E3" s="2"/>
      <c r="F3" s="2"/>
      <c r="G3" s="2"/>
      <c r="H3" s="2"/>
      <c r="I3" s="2"/>
      <c r="J3" s="2"/>
    </row>
    <row r="4" ht="15" customHeight="1">
      <c r="A4" s="5" t="s">
        <v>3</v>
      </c>
      <c r="B4" s="6" t="s">
        <v>631</v>
      </c>
      <c r="C4" s="6" t="s">
        <v>632</v>
      </c>
      <c r="D4" s="6" t="s">
        <v>633</v>
      </c>
      <c r="E4" s="6" t="s">
        <v>634</v>
      </c>
      <c r="F4" s="6" t="s">
        <v>635</v>
      </c>
      <c r="G4" s="6" t="s">
        <v>636</v>
      </c>
      <c r="H4" s="37" t="s">
        <v>72</v>
      </c>
      <c r="I4" s="2"/>
      <c r="J4" s="2"/>
    </row>
    <row r="5" ht="15" customHeight="1">
      <c r="A5" s="7" t="s">
        <v>5</v>
      </c>
      <c r="B5" s="8">
        <f>DATE(2024,9,30)</f>
        <v>45565</v>
      </c>
      <c r="C5" s="8">
        <f t="shared" si="0" ref="C5:F5">DATE(2024,12,31)</f>
        <v>45657</v>
      </c>
      <c r="D5" s="8">
        <f>DATE(2025,3,31)</f>
        <v>45747</v>
      </c>
      <c r="E5" s="8">
        <f t="shared" si="1" ref="E5:G5">DATE(2025,6,30)</f>
        <v>45838</v>
      </c>
      <c r="F5" s="8">
        <f t="shared" si="0"/>
        <v>45657</v>
      </c>
      <c r="G5" s="8">
        <f t="shared" si="1"/>
        <v>45838</v>
      </c>
      <c r="H5" s="9"/>
      <c r="I5" s="2"/>
      <c r="J5" s="2"/>
    </row>
    <row r="6" ht="15" customHeight="1">
      <c r="A6" s="10" t="s">
        <v>6</v>
      </c>
      <c r="B6" s="11">
        <f t="shared" si="2" ref="B6:E6">B5-EOMONTH(B5,-3)</f>
        <v>92</v>
      </c>
      <c r="C6" s="11">
        <f t="shared" si="2"/>
        <v>92</v>
      </c>
      <c r="D6" s="11">
        <f t="shared" si="2"/>
        <v>90</v>
      </c>
      <c r="E6" s="11">
        <f t="shared" si="2"/>
        <v>91</v>
      </c>
      <c r="F6" s="11">
        <f t="shared" si="3" ref="F6:G6">F5-DATE(YEAR(F5)-1,12,31)</f>
        <v>366</v>
      </c>
      <c r="G6" s="11">
        <f t="shared" si="3"/>
        <v>181</v>
      </c>
      <c r="H6" s="12"/>
      <c r="I6" s="2"/>
      <c r="J6" s="2"/>
    </row>
    <row r="7" ht="15" customHeight="1">
      <c r="A7" s="2"/>
      <c r="B7" s="2"/>
      <c r="C7" s="2"/>
      <c r="D7" s="2"/>
      <c r="E7" s="2"/>
      <c r="F7" s="2"/>
      <c r="G7" s="2"/>
      <c r="H7" s="2"/>
      <c r="I7" s="2"/>
      <c r="J7" s="2"/>
    </row>
    <row r="8" ht="15" customHeight="1">
      <c r="A8" s="2" t="s">
        <v>637</v>
      </c>
      <c r="B8" s="2"/>
      <c r="C8" s="2"/>
      <c r="D8" s="2"/>
      <c r="E8" s="2"/>
      <c r="F8" s="2"/>
      <c r="G8" s="2"/>
      <c r="H8" s="2"/>
      <c r="I8" s="2"/>
      <c r="J8" s="2"/>
    </row>
    <row r="9" ht="15" customHeight="1">
      <c r="A9" s="2" t="s">
        <v>638</v>
      </c>
      <c r="B9" s="52">
        <v>438</v>
      </c>
      <c r="C9" s="52">
        <v>474</v>
      </c>
      <c r="D9" s="52">
        <v>465</v>
      </c>
      <c r="E9" s="52">
        <v>495</v>
      </c>
      <c r="F9" s="52">
        <v>1757</v>
      </c>
      <c r="G9" s="18"/>
      <c r="H9" s="2" t="s">
        <v>76</v>
      </c>
      <c r="I9" s="2"/>
      <c r="J9" s="2"/>
    </row>
    <row r="10" ht="15" customHeight="1">
      <c r="A10" s="2" t="s">
        <v>639</v>
      </c>
      <c r="B10" s="52">
        <v>232</v>
      </c>
      <c r="C10" s="52">
        <v>251</v>
      </c>
      <c r="D10" s="52">
        <v>267</v>
      </c>
      <c r="E10" s="52">
        <v>280</v>
      </c>
      <c r="F10" s="52">
        <v>926</v>
      </c>
      <c r="G10" s="18"/>
      <c r="H10" s="2" t="s">
        <v>76</v>
      </c>
      <c r="I10" s="2"/>
      <c r="J10" s="2"/>
    </row>
    <row r="11" ht="15" customHeight="1">
      <c r="A11" s="2" t="s">
        <v>640</v>
      </c>
      <c r="B11" s="18">
        <f t="shared" si="4" ref="B11:F108">B9+B10</f>
        <v>670</v>
      </c>
      <c r="C11" s="18">
        <f t="shared" si="4"/>
        <v>725</v>
      </c>
      <c r="D11" s="18">
        <f t="shared" si="4"/>
        <v>732</v>
      </c>
      <c r="E11" s="18">
        <f t="shared" si="4"/>
        <v>775</v>
      </c>
      <c r="F11" s="18">
        <f t="shared" si="4"/>
        <v>2683</v>
      </c>
      <c r="G11" s="18"/>
      <c r="H11" s="2" t="s">
        <v>76</v>
      </c>
      <c r="I11" s="2"/>
      <c r="J11" s="2"/>
    </row>
    <row r="12" ht="15" customHeight="1">
      <c r="A12" s="31" t="s">
        <v>106</v>
      </c>
      <c r="B12" s="19">
        <f t="shared" si="5" ref="B12:F12">B10/B11</f>
        <v>0.34626865671641793</v>
      </c>
      <c r="C12" s="19">
        <f t="shared" si="5"/>
        <v>0.34620689655172415</v>
      </c>
      <c r="D12" s="19">
        <f t="shared" si="5"/>
        <v>0.36475409836065575</v>
      </c>
      <c r="E12" s="19">
        <f t="shared" si="5"/>
        <v>0.36129032258064514</v>
      </c>
      <c r="F12" s="19">
        <f t="shared" si="5"/>
        <v>0.34513604174431606</v>
      </c>
      <c r="G12" s="19"/>
      <c r="H12" s="2" t="s">
        <v>76</v>
      </c>
      <c r="I12" s="2"/>
      <c r="J12" s="2"/>
    </row>
    <row r="13" ht="15" customHeight="1">
      <c r="A13" s="2" t="s">
        <v>641</v>
      </c>
      <c r="B13" s="52">
        <v>24.9</v>
      </c>
      <c r="C13" s="52">
        <v>27.9</v>
      </c>
      <c r="D13" s="52">
        <v>30.7</v>
      </c>
      <c r="E13" s="52">
        <v>35.3</v>
      </c>
      <c r="F13" s="52">
        <v>95.5</v>
      </c>
      <c r="G13" s="18"/>
      <c r="H13" s="2" t="s">
        <v>76</v>
      </c>
      <c r="I13" s="2"/>
      <c r="J13" s="2"/>
    </row>
    <row r="14" ht="15" customHeight="1">
      <c r="A14" s="2" t="s">
        <v>642</v>
      </c>
      <c r="B14" s="18">
        <f t="shared" si="6" ref="B14:F14">B11+B13</f>
        <v>694.9</v>
      </c>
      <c r="C14" s="18">
        <f t="shared" si="6"/>
        <v>752.9</v>
      </c>
      <c r="D14" s="18">
        <f t="shared" si="6"/>
        <v>762.7</v>
      </c>
      <c r="E14" s="18">
        <f t="shared" si="6"/>
        <v>810.3</v>
      </c>
      <c r="F14" s="18">
        <f t="shared" si="6"/>
        <v>2778.5</v>
      </c>
      <c r="G14" s="18"/>
      <c r="H14" s="2" t="s">
        <v>76</v>
      </c>
      <c r="I14" s="2"/>
      <c r="J14" s="2"/>
    </row>
    <row r="15" ht="15" customHeight="1">
      <c r="A15" s="2" t="s">
        <v>643</v>
      </c>
      <c r="B15" s="61">
        <v>0</v>
      </c>
      <c r="C15" s="61">
        <v>2</v>
      </c>
      <c r="D15" s="61">
        <v>0</v>
      </c>
      <c r="E15" s="61">
        <v>2</v>
      </c>
      <c r="F15" s="61">
        <v>5</v>
      </c>
      <c r="G15" s="70"/>
      <c r="H15" s="2" t="s">
        <v>76</v>
      </c>
      <c r="I15" s="2"/>
      <c r="J15" s="2"/>
    </row>
    <row r="16" ht="15" customHeight="1">
      <c r="A16" s="2" t="s">
        <v>644</v>
      </c>
      <c r="B16" s="61">
        <v>47</v>
      </c>
      <c r="C16" s="61">
        <v>47</v>
      </c>
      <c r="D16" s="61">
        <v>38</v>
      </c>
      <c r="E16" s="61">
        <v>47</v>
      </c>
      <c r="F16" s="61">
        <v>170</v>
      </c>
      <c r="G16" s="70"/>
      <c r="H16" s="2" t="s">
        <v>76</v>
      </c>
      <c r="I16" s="2"/>
      <c r="J16" s="2"/>
    </row>
    <row r="17" ht="15" customHeight="1">
      <c r="A17" s="2" t="s">
        <v>645</v>
      </c>
      <c r="B17" s="61">
        <v>45</v>
      </c>
      <c r="C17" s="61">
        <v>76</v>
      </c>
      <c r="D17" s="61">
        <v>40</v>
      </c>
      <c r="E17" s="61">
        <v>21</v>
      </c>
      <c r="F17" s="61">
        <v>223</v>
      </c>
      <c r="G17" s="70"/>
      <c r="H17" s="2" t="s">
        <v>76</v>
      </c>
      <c r="I17" s="2"/>
      <c r="J17" s="2"/>
    </row>
    <row r="18" ht="15" customHeight="1">
      <c r="A18" s="2" t="s">
        <v>646</v>
      </c>
      <c r="B18" s="61">
        <v>156</v>
      </c>
      <c r="C18" s="61">
        <v>164</v>
      </c>
      <c r="D18" s="61">
        <v>123</v>
      </c>
      <c r="E18" s="61">
        <v>122</v>
      </c>
      <c r="F18" s="61">
        <v>670</v>
      </c>
      <c r="G18" s="70"/>
      <c r="H18" s="2" t="s">
        <v>76</v>
      </c>
      <c r="I18" s="2"/>
      <c r="J18" s="2"/>
    </row>
    <row r="19" ht="15" customHeight="1">
      <c r="A19" s="2" t="s">
        <v>647</v>
      </c>
      <c r="B19" s="61">
        <v>8</v>
      </c>
      <c r="C19" s="61">
        <v>46</v>
      </c>
      <c r="D19" s="61">
        <v>35</v>
      </c>
      <c r="E19" s="61">
        <v>56</v>
      </c>
      <c r="F19" s="61">
        <v>58</v>
      </c>
      <c r="G19" s="70"/>
      <c r="H19" s="2" t="s">
        <v>76</v>
      </c>
      <c r="I19" s="2"/>
      <c r="J19" s="2"/>
    </row>
    <row r="20" ht="15" customHeight="1">
      <c r="A20" s="2" t="s">
        <v>648</v>
      </c>
      <c r="B20" s="61">
        <v>102</v>
      </c>
      <c r="C20" s="61">
        <v>128</v>
      </c>
      <c r="D20" s="61">
        <v>112</v>
      </c>
      <c r="E20" s="61">
        <v>124</v>
      </c>
      <c r="F20" s="61">
        <v>304</v>
      </c>
      <c r="G20" s="70"/>
      <c r="H20" s="2" t="s">
        <v>76</v>
      </c>
      <c r="I20" s="2"/>
      <c r="J20" s="2"/>
    </row>
    <row r="21" ht="15" customHeight="1">
      <c r="A21" s="2" t="s">
        <v>649</v>
      </c>
      <c r="B21" s="61">
        <v>21</v>
      </c>
      <c r="C21" s="61">
        <v>30</v>
      </c>
      <c r="D21" s="61">
        <v>19</v>
      </c>
      <c r="E21" s="61">
        <v>23</v>
      </c>
      <c r="F21" s="61">
        <v>96</v>
      </c>
      <c r="G21" s="70"/>
      <c r="H21" s="2" t="s">
        <v>76</v>
      </c>
      <c r="I21" s="2"/>
      <c r="J21" s="2"/>
    </row>
    <row r="22" ht="15" customHeight="1">
      <c r="A22" s="2" t="s">
        <v>119</v>
      </c>
      <c r="B22" s="70">
        <f t="shared" si="7" ref="B22:F22">B15+B16+B17+B18+B19+B20+B21</f>
        <v>379</v>
      </c>
      <c r="C22" s="70">
        <f t="shared" si="7"/>
        <v>493</v>
      </c>
      <c r="D22" s="70">
        <f t="shared" si="7"/>
        <v>367</v>
      </c>
      <c r="E22" s="70">
        <f t="shared" si="7"/>
        <v>395</v>
      </c>
      <c r="F22" s="70">
        <f t="shared" si="7"/>
        <v>1526</v>
      </c>
      <c r="G22" s="70"/>
      <c r="H22" s="2" t="s">
        <v>76</v>
      </c>
      <c r="I22" s="2"/>
      <c r="J22" s="2"/>
    </row>
    <row r="23" ht="15" customHeight="1">
      <c r="A23" s="31" t="s">
        <v>120</v>
      </c>
      <c r="B23" s="19">
        <f t="shared" si="8" ref="B23:F23">(B19+B20)/B22</f>
        <v>0.29023746701846964</v>
      </c>
      <c r="C23" s="19">
        <f t="shared" si="8"/>
        <v>0.35294117647058826</v>
      </c>
      <c r="D23" s="19">
        <f t="shared" si="8"/>
        <v>0.40054495912806537</v>
      </c>
      <c r="E23" s="19">
        <f t="shared" si="8"/>
        <v>0.45569620253164556</v>
      </c>
      <c r="F23" s="19">
        <f t="shared" si="8"/>
        <v>0.23722149410222804</v>
      </c>
      <c r="G23" s="19"/>
      <c r="H23" s="2" t="s">
        <v>76</v>
      </c>
      <c r="I23" s="2"/>
      <c r="J23" s="2"/>
    </row>
    <row r="24" ht="15" customHeight="1">
      <c r="A24" s="2" t="s">
        <v>121</v>
      </c>
      <c r="B24" s="61">
        <v>219</v>
      </c>
      <c r="C24" s="61">
        <v>284</v>
      </c>
      <c r="D24" s="61">
        <v>204</v>
      </c>
      <c r="E24" s="61">
        <v>216</v>
      </c>
      <c r="F24" s="61">
        <v>800</v>
      </c>
      <c r="G24" s="70"/>
      <c r="H24" s="2" t="s">
        <v>76</v>
      </c>
      <c r="I24" s="2"/>
      <c r="J24" s="2"/>
    </row>
    <row r="25" ht="15" customHeight="1">
      <c r="A25" s="2" t="s">
        <v>122</v>
      </c>
      <c r="B25" s="61">
        <v>160</v>
      </c>
      <c r="C25" s="61">
        <v>209</v>
      </c>
      <c r="D25" s="61">
        <v>163</v>
      </c>
      <c r="E25" s="61">
        <v>179</v>
      </c>
      <c r="F25" s="61">
        <v>726</v>
      </c>
      <c r="G25" s="70"/>
      <c r="H25" s="2" t="s">
        <v>76</v>
      </c>
      <c r="I25" s="2"/>
      <c r="J25" s="2"/>
    </row>
    <row r="26" ht="15" customHeight="1">
      <c r="A26" s="2" t="s">
        <v>129</v>
      </c>
      <c r="B26" s="61">
        <v>79</v>
      </c>
      <c r="C26" s="61">
        <v>82</v>
      </c>
      <c r="D26" s="61">
        <v>91</v>
      </c>
      <c r="E26" s="61">
        <v>69</v>
      </c>
      <c r="F26" s="61">
        <v>309</v>
      </c>
      <c r="G26" s="70"/>
      <c r="H26" s="2" t="s">
        <v>76</v>
      </c>
      <c r="I26" s="2"/>
      <c r="J26" s="2"/>
    </row>
    <row r="27" ht="15" customHeight="1">
      <c r="A27" s="2" t="s">
        <v>130</v>
      </c>
      <c r="B27" s="61">
        <v>141</v>
      </c>
      <c r="C27" s="61">
        <v>140</v>
      </c>
      <c r="D27" s="61">
        <v>107</v>
      </c>
      <c r="E27" s="61">
        <v>124</v>
      </c>
      <c r="F27" s="61">
        <v>467</v>
      </c>
      <c r="G27" s="70"/>
      <c r="H27" s="2" t="s">
        <v>76</v>
      </c>
      <c r="I27" s="2"/>
      <c r="J27" s="2"/>
    </row>
    <row r="28" ht="15" customHeight="1">
      <c r="A28" s="2" t="s">
        <v>650</v>
      </c>
      <c r="B28" s="70">
        <f t="shared" si="4"/>
        <v>220</v>
      </c>
      <c r="C28" s="70">
        <f t="shared" si="4"/>
        <v>222</v>
      </c>
      <c r="D28" s="70">
        <f t="shared" si="4"/>
        <v>198</v>
      </c>
      <c r="E28" s="70">
        <f t="shared" si="4"/>
        <v>193</v>
      </c>
      <c r="F28" s="70">
        <f t="shared" si="4"/>
        <v>776</v>
      </c>
      <c r="G28" s="70"/>
      <c r="H28" s="2" t="s">
        <v>76</v>
      </c>
      <c r="I28" s="2"/>
      <c r="J28" s="2"/>
    </row>
    <row r="29" ht="15" customHeight="1">
      <c r="A29" s="2" t="s">
        <v>651</v>
      </c>
      <c r="B29" s="70">
        <f t="shared" si="9" ref="B29:F29">B22-B28</f>
        <v>159</v>
      </c>
      <c r="C29" s="70">
        <f t="shared" si="9"/>
        <v>271</v>
      </c>
      <c r="D29" s="70">
        <f t="shared" si="9"/>
        <v>169</v>
      </c>
      <c r="E29" s="70">
        <f t="shared" si="9"/>
        <v>202</v>
      </c>
      <c r="F29" s="70">
        <f t="shared" si="9"/>
        <v>750</v>
      </c>
      <c r="G29" s="70"/>
      <c r="H29" s="2" t="s">
        <v>76</v>
      </c>
      <c r="I29" s="2"/>
      <c r="J29" s="2"/>
    </row>
    <row r="30" ht="15" customHeight="1">
      <c r="A30" s="31" t="s">
        <v>136</v>
      </c>
      <c r="B30" s="19">
        <f t="shared" si="10" ref="B30:F30">B28/B22</f>
        <v>0.5804749340369393</v>
      </c>
      <c r="C30" s="19">
        <f t="shared" si="10"/>
        <v>0.45030425963488846</v>
      </c>
      <c r="D30" s="19">
        <f t="shared" si="10"/>
        <v>0.5395095367847411</v>
      </c>
      <c r="E30" s="19">
        <f t="shared" si="10"/>
        <v>0.48860759493670886</v>
      </c>
      <c r="F30" s="19">
        <f t="shared" si="10"/>
        <v>0.508519003931848</v>
      </c>
      <c r="G30" s="19"/>
      <c r="H30" s="2" t="s">
        <v>76</v>
      </c>
      <c r="I30" s="2"/>
      <c r="J30" s="2"/>
    </row>
    <row r="31" ht="15" customHeight="1">
      <c r="A31" s="2" t="s">
        <v>137</v>
      </c>
      <c r="B31" s="61">
        <v>1510</v>
      </c>
      <c r="C31" s="61">
        <v>1590</v>
      </c>
      <c r="D31" s="61">
        <v>1620</v>
      </c>
      <c r="E31" s="61">
        <v>1500</v>
      </c>
      <c r="F31" s="61">
        <v>1500</v>
      </c>
      <c r="G31" s="70"/>
      <c r="H31" s="2" t="s">
        <v>76</v>
      </c>
      <c r="I31" s="2"/>
      <c r="J31" s="2"/>
    </row>
    <row r="32" ht="15" customHeight="1">
      <c r="A32" s="2" t="s">
        <v>652</v>
      </c>
      <c r="B32" s="61">
        <v>9203</v>
      </c>
      <c r="C32" s="61">
        <v>9539</v>
      </c>
      <c r="D32" s="61">
        <v>9902</v>
      </c>
      <c r="E32" s="61">
        <v>10189</v>
      </c>
      <c r="F32" s="61">
        <v>8606</v>
      </c>
      <c r="G32" s="70"/>
      <c r="H32" s="2" t="s">
        <v>76</v>
      </c>
      <c r="I32" s="2"/>
      <c r="J32" s="2"/>
    </row>
    <row r="33" ht="15" customHeight="1">
      <c r="A33" s="2" t="s">
        <v>157</v>
      </c>
      <c r="B33" s="61">
        <v>-43</v>
      </c>
      <c r="C33" s="61">
        <v>-130</v>
      </c>
      <c r="D33" s="61">
        <v>-80</v>
      </c>
      <c r="E33" s="61">
        <v>-96</v>
      </c>
      <c r="F33" s="61">
        <v>-230</v>
      </c>
      <c r="G33" s="70"/>
      <c r="H33" s="2" t="s">
        <v>76</v>
      </c>
      <c r="I33" s="2"/>
      <c r="J33" s="2"/>
    </row>
    <row r="34" ht="15" customHeight="1">
      <c r="A34" s="2" t="s">
        <v>653</v>
      </c>
      <c r="B34" s="61">
        <v>9539</v>
      </c>
      <c r="C34" s="61">
        <v>9902</v>
      </c>
      <c r="D34" s="61">
        <v>10189</v>
      </c>
      <c r="E34" s="61">
        <v>10488</v>
      </c>
      <c r="F34" s="61">
        <v>9902</v>
      </c>
      <c r="G34" s="70"/>
      <c r="H34" s="2" t="s">
        <v>76</v>
      </c>
      <c r="I34" s="2"/>
      <c r="J34" s="2"/>
    </row>
    <row r="35" ht="15" customHeight="1">
      <c r="A35" s="2" t="s">
        <v>654</v>
      </c>
      <c r="B35" s="70">
        <f t="shared" si="11" ref="B35:F35">(B32+B34)/2</f>
        <v>9371</v>
      </c>
      <c r="C35" s="70">
        <f t="shared" si="11"/>
        <v>9720.5</v>
      </c>
      <c r="D35" s="70">
        <f t="shared" si="11"/>
        <v>10045.5</v>
      </c>
      <c r="E35" s="70">
        <f t="shared" si="11"/>
        <v>10338.5</v>
      </c>
      <c r="F35" s="70">
        <f t="shared" si="11"/>
        <v>9254</v>
      </c>
      <c r="G35" s="70"/>
      <c r="H35" s="2" t="s">
        <v>76</v>
      </c>
      <c r="I35" s="2"/>
      <c r="J35" s="2"/>
    </row>
    <row r="36" ht="15" customHeight="1">
      <c r="A36" s="31" t="s">
        <v>655</v>
      </c>
      <c r="B36" s="19">
        <f t="shared" si="12" ref="B36:F36">-B33/B32</f>
        <v>0.004672389438226665</v>
      </c>
      <c r="C36" s="19">
        <f t="shared" si="12"/>
        <v>0.013628262920641577</v>
      </c>
      <c r="D36" s="19">
        <f t="shared" si="12"/>
        <v>0.008079175924055746</v>
      </c>
      <c r="E36" s="19">
        <f t="shared" si="12"/>
        <v>0.009421925606045736</v>
      </c>
      <c r="F36" s="19">
        <f t="shared" si="12"/>
        <v>0.026725540320706485</v>
      </c>
      <c r="G36" s="19"/>
      <c r="H36" s="2" t="s">
        <v>76</v>
      </c>
      <c r="I36" s="2"/>
      <c r="J36" s="2"/>
    </row>
    <row r="37" ht="15" customHeight="1">
      <c r="A37" s="2" t="s">
        <v>656</v>
      </c>
      <c r="B37" s="18">
        <f t="shared" si="13" ref="B37:F37">B11*1000/B35</f>
        <v>71.49717212677409</v>
      </c>
      <c r="C37" s="18">
        <f t="shared" si="13"/>
        <v>74.58464070778253</v>
      </c>
      <c r="D37" s="18">
        <f t="shared" si="13"/>
        <v>72.86844855905629</v>
      </c>
      <c r="E37" s="18">
        <f t="shared" si="13"/>
        <v>74.96251874062969</v>
      </c>
      <c r="F37" s="18">
        <f t="shared" si="13"/>
        <v>289.9286794899503</v>
      </c>
      <c r="G37" s="18"/>
      <c r="H37" s="2" t="s">
        <v>76</v>
      </c>
      <c r="I37" s="2"/>
      <c r="J37" s="2"/>
    </row>
    <row r="38" ht="15" customHeight="1">
      <c r="A38" s="2" t="s">
        <v>171</v>
      </c>
      <c r="B38" s="61">
        <v>5582</v>
      </c>
      <c r="C38" s="61">
        <v>5807</v>
      </c>
      <c r="D38" s="61">
        <v>5957</v>
      </c>
      <c r="E38" s="61">
        <v>6087</v>
      </c>
      <c r="F38" s="61">
        <v>5807</v>
      </c>
      <c r="G38" s="70"/>
      <c r="H38" s="2" t="s">
        <v>76</v>
      </c>
      <c r="I38" s="2"/>
      <c r="J38" s="2"/>
    </row>
    <row r="39" ht="15" customHeight="1">
      <c r="A39" s="2" t="s">
        <v>177</v>
      </c>
      <c r="B39" s="61">
        <v>3957</v>
      </c>
      <c r="C39" s="61">
        <v>4095</v>
      </c>
      <c r="D39" s="61">
        <v>4232</v>
      </c>
      <c r="E39" s="61">
        <v>4401</v>
      </c>
      <c r="F39" s="61">
        <v>4095</v>
      </c>
      <c r="G39" s="70"/>
      <c r="H39" s="2" t="s">
        <v>76</v>
      </c>
      <c r="I39" s="2"/>
      <c r="J39" s="2"/>
    </row>
    <row r="40" ht="15" customHeight="1">
      <c r="A40" s="2" t="s">
        <v>189</v>
      </c>
      <c r="B40" s="61">
        <v>1289</v>
      </c>
      <c r="C40" s="61">
        <v>1307</v>
      </c>
      <c r="D40" s="61">
        <v>1308</v>
      </c>
      <c r="E40" s="61">
        <v>1301</v>
      </c>
      <c r="F40" s="61">
        <v>1307</v>
      </c>
      <c r="G40" s="70"/>
      <c r="H40" s="2" t="s">
        <v>76</v>
      </c>
      <c r="I40" s="2"/>
      <c r="J40" s="2"/>
    </row>
    <row r="41" ht="15" customHeight="1">
      <c r="A41" s="2" t="s">
        <v>193</v>
      </c>
      <c r="B41" s="61">
        <v>1352</v>
      </c>
      <c r="C41" s="61">
        <v>1492</v>
      </c>
      <c r="D41" s="61">
        <v>1598</v>
      </c>
      <c r="E41" s="61">
        <v>1686</v>
      </c>
      <c r="F41" s="61">
        <v>1492</v>
      </c>
      <c r="G41" s="70"/>
      <c r="H41" s="2" t="s">
        <v>76</v>
      </c>
      <c r="I41" s="2"/>
      <c r="J41" s="2"/>
    </row>
    <row r="42" ht="15" customHeight="1">
      <c r="A42" s="2" t="s">
        <v>657</v>
      </c>
      <c r="B42" s="61">
        <v>58</v>
      </c>
      <c r="C42" s="61">
        <v>69</v>
      </c>
      <c r="D42" s="61">
        <v>49</v>
      </c>
      <c r="E42" s="61">
        <v>54</v>
      </c>
      <c r="F42" s="61">
        <v>271</v>
      </c>
      <c r="G42" s="70"/>
      <c r="H42" s="2" t="s">
        <v>76</v>
      </c>
      <c r="I42" s="2"/>
      <c r="J42" s="2"/>
    </row>
    <row r="43" ht="15" customHeight="1">
      <c r="A43" s="2" t="s">
        <v>207</v>
      </c>
      <c r="B43" s="61">
        <v>736</v>
      </c>
      <c r="C43" s="61">
        <v>805</v>
      </c>
      <c r="D43" s="61">
        <v>853</v>
      </c>
      <c r="E43" s="61">
        <v>905</v>
      </c>
      <c r="F43" s="61">
        <v>805</v>
      </c>
      <c r="G43" s="70"/>
      <c r="H43" s="2" t="s">
        <v>76</v>
      </c>
      <c r="I43" s="2"/>
      <c r="J43" s="2"/>
    </row>
    <row r="44" ht="15" customHeight="1">
      <c r="A44" s="2" t="s">
        <v>224</v>
      </c>
      <c r="B44" s="61">
        <v>590</v>
      </c>
      <c r="C44" s="61">
        <v>580</v>
      </c>
      <c r="D44" s="61">
        <v>550</v>
      </c>
      <c r="E44" s="61">
        <v>610</v>
      </c>
      <c r="F44" s="61">
        <v>570</v>
      </c>
      <c r="G44" s="70"/>
      <c r="H44" s="2" t="s">
        <v>76</v>
      </c>
      <c r="I44" s="2"/>
      <c r="J44" s="2"/>
    </row>
    <row r="45" ht="15" customHeight="1">
      <c r="A45" s="2" t="s">
        <v>658</v>
      </c>
      <c r="B45" s="52">
        <v>1264.2</v>
      </c>
      <c r="C45" s="52">
        <v>1411.5</v>
      </c>
      <c r="D45" s="52">
        <v>1367.7</v>
      </c>
      <c r="E45" s="52">
        <v>1474.1</v>
      </c>
      <c r="F45" s="52">
        <v>5079</v>
      </c>
      <c r="G45" s="18"/>
      <c r="H45" s="2" t="s">
        <v>76</v>
      </c>
      <c r="I45" s="2"/>
      <c r="J45" s="2"/>
    </row>
    <row r="46" ht="15" customHeight="1">
      <c r="A46" s="2" t="s">
        <v>230</v>
      </c>
      <c r="B46" s="52">
        <v>58.1</v>
      </c>
      <c r="C46" s="52">
        <v>61.9</v>
      </c>
      <c r="D46" s="52">
        <v>67.7</v>
      </c>
      <c r="E46" s="52">
        <v>77.5</v>
      </c>
      <c r="F46" s="52">
        <v>222.2</v>
      </c>
      <c r="G46" s="18"/>
      <c r="H46" s="2" t="s">
        <v>76</v>
      </c>
      <c r="I46" s="2"/>
      <c r="J46" s="2"/>
    </row>
    <row r="47" ht="15" customHeight="1">
      <c r="A47" s="2" t="s">
        <v>227</v>
      </c>
      <c r="B47" s="18">
        <f t="shared" si="14" ref="B47:F85">B45-B46</f>
        <v>1206.1000000000001</v>
      </c>
      <c r="C47" s="18">
        <f t="shared" si="14"/>
        <v>1349.6</v>
      </c>
      <c r="D47" s="18">
        <f t="shared" si="14"/>
        <v>1300</v>
      </c>
      <c r="E47" s="18">
        <f t="shared" si="14"/>
        <v>1396.6</v>
      </c>
      <c r="F47" s="18">
        <f t="shared" si="14"/>
        <v>4856.8</v>
      </c>
      <c r="G47" s="18"/>
      <c r="H47" s="2" t="s">
        <v>76</v>
      </c>
      <c r="I47" s="2"/>
      <c r="J47" s="2"/>
    </row>
    <row r="48" ht="15" customHeight="1">
      <c r="A48" s="2" t="s">
        <v>659</v>
      </c>
      <c r="B48" s="74">
        <f t="shared" si="15" ref="B48:F48">B47/B11</f>
        <v>1.8001492537313435</v>
      </c>
      <c r="C48" s="74">
        <f t="shared" si="15"/>
        <v>1.8615172413793102</v>
      </c>
      <c r="D48" s="74">
        <f t="shared" si="15"/>
        <v>1.7759562841530054</v>
      </c>
      <c r="E48" s="74">
        <f t="shared" si="15"/>
        <v>1.802064516129032</v>
      </c>
      <c r="F48" s="74">
        <f t="shared" si="15"/>
        <v>1.8102124487513978</v>
      </c>
      <c r="G48" s="74"/>
      <c r="H48" s="2" t="s">
        <v>76</v>
      </c>
      <c r="I48" s="2"/>
      <c r="J48" s="2"/>
    </row>
    <row r="49" ht="15" customHeight="1">
      <c r="A49" s="2" t="s">
        <v>660</v>
      </c>
      <c r="B49" s="74">
        <f t="shared" si="16" ref="B49:F49">B46/B13</f>
        <v>2.3333333333333335</v>
      </c>
      <c r="C49" s="74">
        <f t="shared" si="16"/>
        <v>2.218637992831541</v>
      </c>
      <c r="D49" s="74">
        <f t="shared" si="16"/>
        <v>2.205211726384365</v>
      </c>
      <c r="E49" s="74">
        <f t="shared" si="16"/>
        <v>2.1954674220963173</v>
      </c>
      <c r="F49" s="74">
        <f t="shared" si="16"/>
        <v>2.326701570680628</v>
      </c>
      <c r="G49" s="74"/>
      <c r="H49" s="2" t="s">
        <v>76</v>
      </c>
      <c r="I49" s="2"/>
      <c r="J49" s="2"/>
    </row>
    <row r="50" ht="15" customHeight="1">
      <c r="A50" s="2" t="s">
        <v>661</v>
      </c>
      <c r="B50" s="52">
        <v>445</v>
      </c>
      <c r="C50" s="52">
        <v>654.6</v>
      </c>
      <c r="D50" s="52">
        <v>522.7</v>
      </c>
      <c r="E50" s="52">
        <v>574.7</v>
      </c>
      <c r="F50" s="52">
        <v>1966</v>
      </c>
      <c r="G50" s="18"/>
      <c r="H50" s="2" t="s">
        <v>76</v>
      </c>
      <c r="I50" s="2"/>
      <c r="J50" s="2"/>
    </row>
    <row r="51" ht="15" customHeight="1">
      <c r="A51" s="2" t="s">
        <v>242</v>
      </c>
      <c r="B51" s="52">
        <v>26.4</v>
      </c>
      <c r="C51" s="52">
        <v>31.2</v>
      </c>
      <c r="D51" s="52">
        <v>27.9</v>
      </c>
      <c r="E51" s="52">
        <v>24.1</v>
      </c>
      <c r="F51" s="52">
        <v>113.6</v>
      </c>
      <c r="G51" s="18"/>
      <c r="H51" s="2" t="s">
        <v>76</v>
      </c>
      <c r="I51" s="2"/>
      <c r="J51" s="2"/>
    </row>
    <row r="52" ht="15" customHeight="1">
      <c r="A52" s="2" t="s">
        <v>237</v>
      </c>
      <c r="B52" s="18">
        <f t="shared" si="14"/>
        <v>418.6</v>
      </c>
      <c r="C52" s="18">
        <f t="shared" si="14"/>
        <v>623.4</v>
      </c>
      <c r="D52" s="18">
        <f t="shared" si="14"/>
        <v>494.80000000000007</v>
      </c>
      <c r="E52" s="18">
        <f t="shared" si="14"/>
        <v>550.6</v>
      </c>
      <c r="F52" s="18">
        <f t="shared" si="14"/>
        <v>1852.4</v>
      </c>
      <c r="G52" s="18"/>
      <c r="H52" s="2" t="s">
        <v>76</v>
      </c>
      <c r="I52" s="2"/>
      <c r="J52" s="2"/>
    </row>
    <row r="53" ht="15" customHeight="1">
      <c r="A53" s="2" t="s">
        <v>662</v>
      </c>
      <c r="B53" s="18">
        <f t="shared" si="17" ref="B53:F53">B29*B31/1000</f>
        <v>240.09</v>
      </c>
      <c r="C53" s="18">
        <f t="shared" si="17"/>
        <v>430.89</v>
      </c>
      <c r="D53" s="18">
        <f t="shared" si="17"/>
        <v>273.78</v>
      </c>
      <c r="E53" s="18">
        <f t="shared" si="17"/>
        <v>303</v>
      </c>
      <c r="F53" s="18">
        <f t="shared" si="17"/>
        <v>1125</v>
      </c>
      <c r="G53" s="18"/>
      <c r="H53" s="2" t="s">
        <v>76</v>
      </c>
      <c r="I53" s="2"/>
      <c r="J53" s="2"/>
    </row>
    <row r="54" ht="15" customHeight="1">
      <c r="A54" s="2" t="s">
        <v>663</v>
      </c>
      <c r="B54" s="18">
        <f t="shared" si="14"/>
        <v>178.51000000000002</v>
      </c>
      <c r="C54" s="18">
        <f t="shared" si="14"/>
        <v>192.51</v>
      </c>
      <c r="D54" s="18">
        <f t="shared" si="14"/>
        <v>221.0200000000001</v>
      </c>
      <c r="E54" s="18">
        <f t="shared" si="14"/>
        <v>247.60000000000002</v>
      </c>
      <c r="F54" s="18">
        <f t="shared" si="14"/>
        <v>727.4000000000001</v>
      </c>
      <c r="G54" s="18"/>
      <c r="H54" s="2" t="s">
        <v>76</v>
      </c>
      <c r="I54" s="2"/>
      <c r="J54" s="2"/>
    </row>
    <row r="55" ht="15" customHeight="1">
      <c r="A55" s="2" t="s">
        <v>664</v>
      </c>
      <c r="B55" s="52">
        <v>167.8</v>
      </c>
      <c r="C55" s="52">
        <v>181.5</v>
      </c>
      <c r="D55" s="52">
        <v>195.2</v>
      </c>
      <c r="E55" s="52">
        <v>213.8</v>
      </c>
      <c r="F55" s="52">
        <v>654.2</v>
      </c>
      <c r="G55" s="18"/>
      <c r="H55" s="2" t="s">
        <v>76</v>
      </c>
      <c r="I55" s="2"/>
      <c r="J55" s="2"/>
    </row>
    <row r="56" ht="15" customHeight="1">
      <c r="A56" s="2" t="s">
        <v>665</v>
      </c>
      <c r="B56" s="52">
        <v>328.9</v>
      </c>
      <c r="C56" s="52">
        <v>347.4</v>
      </c>
      <c r="D56" s="52">
        <v>363</v>
      </c>
      <c r="E56" s="52">
        <v>391.2</v>
      </c>
      <c r="F56" s="52">
        <v>1307.1</v>
      </c>
      <c r="G56" s="18"/>
      <c r="H56" s="2" t="s">
        <v>76</v>
      </c>
      <c r="I56" s="2"/>
      <c r="J56" s="2"/>
    </row>
    <row r="57" ht="15" customHeight="1">
      <c r="A57" s="2" t="s">
        <v>252</v>
      </c>
      <c r="B57" s="52">
        <v>10</v>
      </c>
      <c r="C57" s="52">
        <v>10.8</v>
      </c>
      <c r="D57" s="52">
        <v>11.2</v>
      </c>
      <c r="E57" s="52">
        <v>12.5</v>
      </c>
      <c r="F57" s="52">
        <v>36.5</v>
      </c>
      <c r="G57" s="18"/>
      <c r="H57" s="2" t="s">
        <v>76</v>
      </c>
      <c r="I57" s="2"/>
      <c r="J57" s="2"/>
    </row>
    <row r="58" ht="15" customHeight="1">
      <c r="A58" s="2" t="s">
        <v>249</v>
      </c>
      <c r="B58" s="18">
        <f t="shared" si="14"/>
        <v>318.9</v>
      </c>
      <c r="C58" s="18">
        <f t="shared" si="14"/>
        <v>336.59999999999997</v>
      </c>
      <c r="D58" s="18">
        <f t="shared" si="14"/>
        <v>351.8</v>
      </c>
      <c r="E58" s="18">
        <f t="shared" si="14"/>
        <v>378.7</v>
      </c>
      <c r="F58" s="18">
        <f t="shared" si="14"/>
        <v>1270.6</v>
      </c>
      <c r="G58" s="18"/>
      <c r="H58" s="2" t="s">
        <v>76</v>
      </c>
      <c r="I58" s="2"/>
      <c r="J58" s="2"/>
    </row>
    <row r="59" ht="15" customHeight="1">
      <c r="A59" s="2" t="s">
        <v>666</v>
      </c>
      <c r="B59" s="18">
        <f t="shared" si="18" ref="B59:F59">B58*1000/B35</f>
        <v>34.03051968840038</v>
      </c>
      <c r="C59" s="18">
        <f t="shared" si="18"/>
        <v>34.62784836170978</v>
      </c>
      <c r="D59" s="18">
        <f t="shared" si="18"/>
        <v>35.02065601513115</v>
      </c>
      <c r="E59" s="18">
        <f t="shared" si="18"/>
        <v>36.63007206074382</v>
      </c>
      <c r="F59" s="18">
        <f t="shared" si="18"/>
        <v>137.30278798357466</v>
      </c>
      <c r="G59" s="18"/>
      <c r="H59" s="2" t="s">
        <v>76</v>
      </c>
      <c r="I59" s="2"/>
      <c r="J59" s="2"/>
    </row>
    <row r="60" ht="15" customHeight="1">
      <c r="A60" s="2" t="s">
        <v>87</v>
      </c>
      <c r="B60" s="18">
        <f t="shared" si="19" ref="B60:F61">B45+B50+B56</f>
        <v>2038.1</v>
      </c>
      <c r="C60" s="18">
        <f t="shared" si="19"/>
        <v>2413.5</v>
      </c>
      <c r="D60" s="18">
        <f t="shared" si="19"/>
        <v>2253.4</v>
      </c>
      <c r="E60" s="18">
        <f t="shared" si="19"/>
        <v>2440</v>
      </c>
      <c r="F60" s="18">
        <f t="shared" si="19"/>
        <v>8352.1</v>
      </c>
      <c r="G60" s="18"/>
      <c r="H60" s="2" t="s">
        <v>76</v>
      </c>
      <c r="I60" s="2"/>
      <c r="J60" s="2"/>
    </row>
    <row r="61" ht="15" customHeight="1">
      <c r="A61" s="2" t="s">
        <v>667</v>
      </c>
      <c r="B61" s="18">
        <f t="shared" si="19"/>
        <v>94.5</v>
      </c>
      <c r="C61" s="18">
        <f t="shared" si="19"/>
        <v>103.89999999999999</v>
      </c>
      <c r="D61" s="18">
        <f t="shared" si="19"/>
        <v>106.8</v>
      </c>
      <c r="E61" s="18">
        <f t="shared" si="19"/>
        <v>114.1</v>
      </c>
      <c r="F61" s="18">
        <f t="shared" si="19"/>
        <v>372.29999999999995</v>
      </c>
      <c r="G61" s="18"/>
      <c r="H61" s="2" t="s">
        <v>76</v>
      </c>
      <c r="I61" s="2"/>
      <c r="J61" s="2"/>
    </row>
    <row r="62" ht="15" customHeight="1">
      <c r="A62" s="2" t="s">
        <v>668</v>
      </c>
      <c r="B62" s="18">
        <f t="shared" si="14"/>
        <v>1943.6</v>
      </c>
      <c r="C62" s="18">
        <f t="shared" si="14"/>
        <v>2309.6</v>
      </c>
      <c r="D62" s="18">
        <f t="shared" si="14"/>
        <v>2146.6</v>
      </c>
      <c r="E62" s="18">
        <f t="shared" si="14"/>
        <v>2325.9</v>
      </c>
      <c r="F62" s="18">
        <f t="shared" si="14"/>
        <v>7979.8</v>
      </c>
      <c r="G62" s="18"/>
      <c r="H62" s="2" t="s">
        <v>76</v>
      </c>
      <c r="I62" s="2"/>
      <c r="J62" s="2"/>
    </row>
    <row r="63" ht="15" customHeight="1">
      <c r="A63" s="2" t="s">
        <v>94</v>
      </c>
      <c r="B63" s="18">
        <f t="shared" si="20" ref="B63:F63">B45+B56+B55</f>
        <v>1760.8999999999999</v>
      </c>
      <c r="C63" s="18">
        <f t="shared" si="20"/>
        <v>1940.4</v>
      </c>
      <c r="D63" s="18">
        <f t="shared" si="20"/>
        <v>1925.9</v>
      </c>
      <c r="E63" s="18">
        <f t="shared" si="20"/>
        <v>2079.1</v>
      </c>
      <c r="F63" s="18">
        <f t="shared" si="20"/>
        <v>7040.3</v>
      </c>
      <c r="G63" s="18"/>
      <c r="H63" s="2" t="s">
        <v>76</v>
      </c>
      <c r="I63" s="2"/>
      <c r="J63" s="2"/>
    </row>
    <row r="64" ht="15" customHeight="1">
      <c r="A64" s="2" t="s">
        <v>669</v>
      </c>
      <c r="B64" s="52">
        <v>904.8</v>
      </c>
      <c r="C64" s="52">
        <v>1007.8</v>
      </c>
      <c r="D64" s="52">
        <v>963.8</v>
      </c>
      <c r="E64" s="52">
        <v>1017.3</v>
      </c>
      <c r="F64" s="52">
        <v>3626.4</v>
      </c>
      <c r="G64" s="18"/>
      <c r="H64" s="2" t="s">
        <v>76</v>
      </c>
      <c r="I64" s="2"/>
      <c r="J64" s="2"/>
    </row>
    <row r="65" ht="15" customHeight="1">
      <c r="A65" s="2" t="s">
        <v>670</v>
      </c>
      <c r="B65" s="52">
        <v>265.4</v>
      </c>
      <c r="C65" s="52">
        <v>420.4</v>
      </c>
      <c r="D65" s="52">
        <v>335.9</v>
      </c>
      <c r="E65" s="52">
        <v>354</v>
      </c>
      <c r="F65" s="52">
        <v>1122.6</v>
      </c>
      <c r="G65" s="18"/>
      <c r="H65" s="2" t="s">
        <v>76</v>
      </c>
      <c r="I65" s="2"/>
      <c r="J65" s="2"/>
    </row>
    <row r="66" ht="15" customHeight="1">
      <c r="A66" s="2" t="s">
        <v>671</v>
      </c>
      <c r="B66" s="52">
        <v>209.2</v>
      </c>
      <c r="C66" s="52">
        <v>224.1</v>
      </c>
      <c r="D66" s="52">
        <v>238.5</v>
      </c>
      <c r="E66" s="52">
        <v>258.1</v>
      </c>
      <c r="F66" s="52">
        <v>840.4</v>
      </c>
      <c r="G66" s="18"/>
      <c r="H66" s="2" t="s">
        <v>76</v>
      </c>
      <c r="I66" s="2"/>
      <c r="J66" s="2"/>
    </row>
    <row r="67" ht="15" customHeight="1">
      <c r="A67" s="2" t="s">
        <v>672</v>
      </c>
      <c r="B67" s="52">
        <v>359.4</v>
      </c>
      <c r="C67" s="52">
        <v>403.7</v>
      </c>
      <c r="D67" s="52">
        <v>403.9</v>
      </c>
      <c r="E67" s="52">
        <v>456.8</v>
      </c>
      <c r="F67" s="52">
        <v>1452.6</v>
      </c>
      <c r="G67" s="18"/>
      <c r="H67" s="2" t="s">
        <v>76</v>
      </c>
      <c r="I67" s="2"/>
      <c r="J67" s="2"/>
    </row>
    <row r="68" ht="15" customHeight="1">
      <c r="A68" s="2" t="s">
        <v>673</v>
      </c>
      <c r="B68" s="52">
        <v>179.6</v>
      </c>
      <c r="C68" s="52">
        <v>234.2</v>
      </c>
      <c r="D68" s="52">
        <v>186.8</v>
      </c>
      <c r="E68" s="52">
        <v>220.7</v>
      </c>
      <c r="F68" s="52">
        <v>843.4</v>
      </c>
      <c r="G68" s="18"/>
      <c r="H68" s="2" t="s">
        <v>76</v>
      </c>
      <c r="I68" s="2"/>
      <c r="J68" s="2"/>
    </row>
    <row r="69" ht="15" customHeight="1">
      <c r="A69" s="2" t="s">
        <v>674</v>
      </c>
      <c r="B69" s="52">
        <v>119.7</v>
      </c>
      <c r="C69" s="52">
        <v>123.3</v>
      </c>
      <c r="D69" s="52">
        <v>124.5</v>
      </c>
      <c r="E69" s="52">
        <v>133.1</v>
      </c>
      <c r="F69" s="52">
        <v>466.7</v>
      </c>
      <c r="G69" s="18"/>
      <c r="H69" s="2" t="s">
        <v>76</v>
      </c>
      <c r="I69" s="2"/>
      <c r="J69" s="2"/>
    </row>
    <row r="70" ht="15" customHeight="1">
      <c r="A70" s="2" t="s">
        <v>675</v>
      </c>
      <c r="B70" s="18">
        <f t="shared" si="21" ref="B70:F70">B64+B65+B66</f>
        <v>1379.3999999999999</v>
      </c>
      <c r="C70" s="18">
        <f t="shared" si="21"/>
        <v>1652.2999999999997</v>
      </c>
      <c r="D70" s="18">
        <f t="shared" si="21"/>
        <v>1538.1999999999998</v>
      </c>
      <c r="E70" s="18">
        <f t="shared" si="21"/>
        <v>1629.4</v>
      </c>
      <c r="F70" s="18">
        <f t="shared" si="21"/>
        <v>5589.4</v>
      </c>
      <c r="G70" s="18"/>
      <c r="H70" s="2" t="s">
        <v>76</v>
      </c>
      <c r="I70" s="2"/>
      <c r="J70" s="2"/>
    </row>
    <row r="71" ht="15" customHeight="1">
      <c r="A71" s="2" t="s">
        <v>676</v>
      </c>
      <c r="B71" s="18">
        <f t="shared" si="22" ref="B71:F71">B67+B68+B69</f>
        <v>658.7</v>
      </c>
      <c r="C71" s="18">
        <f t="shared" si="22"/>
        <v>761.1999999999999</v>
      </c>
      <c r="D71" s="18">
        <f t="shared" si="22"/>
        <v>715.2</v>
      </c>
      <c r="E71" s="18">
        <f t="shared" si="22"/>
        <v>810.6</v>
      </c>
      <c r="F71" s="18">
        <f t="shared" si="22"/>
        <v>2762.7</v>
      </c>
      <c r="G71" s="18"/>
      <c r="H71" s="2" t="s">
        <v>76</v>
      </c>
      <c r="I71" s="2"/>
      <c r="J71" s="2"/>
    </row>
    <row r="72" ht="15" customHeight="1">
      <c r="A72" s="2" t="s">
        <v>264</v>
      </c>
      <c r="B72" s="52">
        <v>555.4</v>
      </c>
      <c r="C72" s="52">
        <v>663.9</v>
      </c>
      <c r="D72" s="52">
        <v>670.7</v>
      </c>
      <c r="E72" s="52">
        <v>686.2</v>
      </c>
      <c r="F72" s="52">
        <v>2313.1</v>
      </c>
      <c r="G72" s="18"/>
      <c r="H72" s="2" t="s">
        <v>76</v>
      </c>
      <c r="I72" s="2"/>
      <c r="J72" s="2"/>
    </row>
    <row r="73" ht="15" customHeight="1">
      <c r="A73" s="2" t="s">
        <v>262</v>
      </c>
      <c r="B73" s="52">
        <v>108.8</v>
      </c>
      <c r="C73" s="52">
        <v>107.4</v>
      </c>
      <c r="D73" s="52">
        <v>125</v>
      </c>
      <c r="E73" s="52">
        <v>135.9</v>
      </c>
      <c r="F73" s="52">
        <v>404.8</v>
      </c>
      <c r="G73" s="18"/>
      <c r="H73" s="2" t="s">
        <v>76</v>
      </c>
      <c r="I73" s="2"/>
      <c r="J73" s="2"/>
    </row>
    <row r="74" ht="15" customHeight="1">
      <c r="A74" s="2" t="s">
        <v>265</v>
      </c>
      <c r="B74" s="18">
        <f t="shared" si="4"/>
        <v>664.1999999999999</v>
      </c>
      <c r="C74" s="18">
        <f t="shared" si="4"/>
        <v>771.3</v>
      </c>
      <c r="D74" s="18">
        <f t="shared" si="4"/>
        <v>795.7</v>
      </c>
      <c r="E74" s="18">
        <f t="shared" si="4"/>
        <v>822.1</v>
      </c>
      <c r="F74" s="18">
        <f t="shared" si="4"/>
        <v>2717.9</v>
      </c>
      <c r="G74" s="18"/>
      <c r="H74" s="2" t="s">
        <v>76</v>
      </c>
      <c r="I74" s="2"/>
      <c r="J74" s="2"/>
    </row>
    <row r="75" ht="15" customHeight="1">
      <c r="A75" s="2" t="s">
        <v>266</v>
      </c>
      <c r="B75" s="18">
        <f t="shared" si="23" ref="B75:F75">B60-B74</f>
        <v>1373.9</v>
      </c>
      <c r="C75" s="18">
        <f t="shared" si="23"/>
        <v>1642.2</v>
      </c>
      <c r="D75" s="18">
        <f t="shared" si="23"/>
        <v>1457.7</v>
      </c>
      <c r="E75" s="18">
        <f t="shared" si="23"/>
        <v>1617.9</v>
      </c>
      <c r="F75" s="18">
        <f t="shared" si="23"/>
        <v>5634.200000000001</v>
      </c>
      <c r="G75" s="18"/>
      <c r="H75" s="2" t="s">
        <v>76</v>
      </c>
      <c r="I75" s="2"/>
      <c r="J75" s="2"/>
    </row>
    <row r="76" ht="15" customHeight="1">
      <c r="A76" s="2" t="s">
        <v>677</v>
      </c>
      <c r="B76" s="52">
        <v>510.6</v>
      </c>
      <c r="C76" s="52">
        <v>612.6</v>
      </c>
      <c r="D76" s="52">
        <v>563.4</v>
      </c>
      <c r="E76" s="52">
        <v>561.2</v>
      </c>
      <c r="F76" s="52">
        <v>2140</v>
      </c>
      <c r="G76" s="18"/>
      <c r="H76" s="2" t="s">
        <v>76</v>
      </c>
      <c r="I76" s="2"/>
      <c r="J76" s="2"/>
    </row>
    <row r="77" ht="15" customHeight="1">
      <c r="A77" s="2" t="s">
        <v>678</v>
      </c>
      <c r="B77" s="52">
        <v>286</v>
      </c>
      <c r="C77" s="52">
        <v>294.7</v>
      </c>
      <c r="D77" s="52">
        <v>316.2</v>
      </c>
      <c r="E77" s="52">
        <v>313.3</v>
      </c>
      <c r="F77" s="52">
        <v>1145.3</v>
      </c>
      <c r="G77" s="18"/>
      <c r="H77" s="2" t="s">
        <v>76</v>
      </c>
      <c r="I77" s="2"/>
      <c r="J77" s="2"/>
    </row>
    <row r="78" ht="15" customHeight="1">
      <c r="A78" s="2" t="s">
        <v>275</v>
      </c>
      <c r="B78" s="18">
        <f t="shared" si="4"/>
        <v>796.6</v>
      </c>
      <c r="C78" s="18">
        <f t="shared" si="4"/>
        <v>907.3</v>
      </c>
      <c r="D78" s="18">
        <f t="shared" si="4"/>
        <v>879.5999999999999</v>
      </c>
      <c r="E78" s="18">
        <f t="shared" si="4"/>
        <v>874.5</v>
      </c>
      <c r="F78" s="18">
        <f t="shared" si="4"/>
        <v>3285.3</v>
      </c>
      <c r="G78" s="18"/>
      <c r="H78" s="2" t="s">
        <v>76</v>
      </c>
      <c r="I78" s="2"/>
      <c r="J78" s="2"/>
    </row>
    <row r="79" ht="15" customHeight="1">
      <c r="A79" s="2" t="s">
        <v>679</v>
      </c>
      <c r="B79" s="18">
        <f t="shared" si="24" ref="B79:F109">B75-B78</f>
        <v>577.3000000000001</v>
      </c>
      <c r="C79" s="18">
        <f t="shared" si="24"/>
        <v>734.9000000000001</v>
      </c>
      <c r="D79" s="18">
        <f t="shared" si="24"/>
        <v>578.1000000000001</v>
      </c>
      <c r="E79" s="18">
        <f t="shared" si="24"/>
        <v>743.4000000000001</v>
      </c>
      <c r="F79" s="18">
        <f t="shared" si="24"/>
        <v>2348.9000000000005</v>
      </c>
      <c r="G79" s="18"/>
      <c r="H79" s="2" t="s">
        <v>76</v>
      </c>
      <c r="I79" s="2"/>
      <c r="J79" s="2"/>
    </row>
    <row r="80" ht="15" customHeight="1">
      <c r="A80" s="2" t="s">
        <v>278</v>
      </c>
      <c r="B80" s="52">
        <v>93.7</v>
      </c>
      <c r="C80" s="52">
        <v>74.9</v>
      </c>
      <c r="D80" s="52">
        <v>90.4</v>
      </c>
      <c r="E80" s="52">
        <v>88.7</v>
      </c>
      <c r="F80" s="52">
        <v>324.9</v>
      </c>
      <c r="G80" s="18"/>
      <c r="H80" s="2" t="s">
        <v>76</v>
      </c>
      <c r="I80" s="2"/>
      <c r="J80" s="2"/>
    </row>
    <row r="81" ht="15" customHeight="1">
      <c r="A81" s="2" t="s">
        <v>279</v>
      </c>
      <c r="B81" s="18">
        <f t="shared" si="4"/>
        <v>671.0000000000001</v>
      </c>
      <c r="C81" s="18">
        <f t="shared" si="4"/>
        <v>809.8000000000001</v>
      </c>
      <c r="D81" s="18">
        <f t="shared" si="4"/>
        <v>668.5000000000001</v>
      </c>
      <c r="E81" s="18">
        <f t="shared" si="4"/>
        <v>832.1000000000001</v>
      </c>
      <c r="F81" s="18">
        <f t="shared" si="4"/>
        <v>2673.8000000000006</v>
      </c>
      <c r="G81" s="18"/>
      <c r="H81" s="2" t="s">
        <v>76</v>
      </c>
      <c r="I81" s="2"/>
      <c r="J81" s="2"/>
    </row>
    <row r="82" ht="15" customHeight="1">
      <c r="A82" s="2" t="s">
        <v>280</v>
      </c>
      <c r="B82" s="52">
        <v>100.4</v>
      </c>
      <c r="C82" s="52">
        <v>121.8</v>
      </c>
      <c r="D82" s="52">
        <v>-35.2</v>
      </c>
      <c r="E82" s="52">
        <v>167.9</v>
      </c>
      <c r="F82" s="52">
        <v>336.3</v>
      </c>
      <c r="G82" s="18"/>
      <c r="H82" s="2" t="s">
        <v>76</v>
      </c>
      <c r="I82" s="2"/>
      <c r="J82" s="2"/>
    </row>
    <row r="83" ht="15" customHeight="1">
      <c r="A83" s="2" t="s">
        <v>282</v>
      </c>
      <c r="B83" s="18">
        <f t="shared" si="14"/>
        <v>570.6000000000001</v>
      </c>
      <c r="C83" s="18">
        <f t="shared" si="14"/>
        <v>688.0000000000001</v>
      </c>
      <c r="D83" s="18">
        <f t="shared" si="14"/>
        <v>703.7000000000002</v>
      </c>
      <c r="E83" s="18">
        <f t="shared" si="14"/>
        <v>664.2000000000002</v>
      </c>
      <c r="F83" s="18">
        <f t="shared" si="14"/>
        <v>2337.5000000000005</v>
      </c>
      <c r="G83" s="18"/>
      <c r="H83" s="2" t="s">
        <v>76</v>
      </c>
      <c r="I83" s="2"/>
      <c r="J83" s="2"/>
    </row>
    <row r="84" ht="15" customHeight="1">
      <c r="A84" s="2" t="s">
        <v>680</v>
      </c>
      <c r="B84" s="52">
        <v>5.5</v>
      </c>
      <c r="C84" s="52">
        <v>2.3</v>
      </c>
      <c r="D84" s="52">
        <v>5.3</v>
      </c>
      <c r="E84" s="52">
        <v>5.8</v>
      </c>
      <c r="F84" s="52">
        <v>14.9</v>
      </c>
      <c r="G84" s="18"/>
      <c r="H84" s="2" t="s">
        <v>76</v>
      </c>
      <c r="I84" s="2"/>
      <c r="J84" s="2"/>
    </row>
    <row r="85" ht="15" customHeight="1">
      <c r="A85" s="2" t="s">
        <v>681</v>
      </c>
      <c r="B85" s="18">
        <f t="shared" si="14"/>
        <v>565.1000000000001</v>
      </c>
      <c r="C85" s="18">
        <f t="shared" si="14"/>
        <v>685.7000000000002</v>
      </c>
      <c r="D85" s="18">
        <f t="shared" si="14"/>
        <v>698.4000000000002</v>
      </c>
      <c r="E85" s="18">
        <f t="shared" si="14"/>
        <v>658.4000000000002</v>
      </c>
      <c r="F85" s="18">
        <f t="shared" si="14"/>
        <v>2322.6000000000004</v>
      </c>
      <c r="G85" s="18"/>
      <c r="H85" s="2" t="s">
        <v>76</v>
      </c>
      <c r="I85" s="2"/>
      <c r="J85" s="2"/>
    </row>
    <row r="86" ht="15" customHeight="1">
      <c r="A86" s="2" t="s">
        <v>682</v>
      </c>
      <c r="B86" s="52">
        <v>362.7</v>
      </c>
      <c r="C86" s="52">
        <v>363.9</v>
      </c>
      <c r="D86" s="52">
        <v>364.6</v>
      </c>
      <c r="E86" s="52">
        <v>364.1</v>
      </c>
      <c r="F86" s="52">
        <v>362</v>
      </c>
      <c r="G86" s="18"/>
      <c r="H86" s="2" t="s">
        <v>76</v>
      </c>
      <c r="I86" s="2"/>
      <c r="J86" s="2"/>
    </row>
    <row r="87" ht="15" customHeight="1">
      <c r="A87" s="2" t="s">
        <v>683</v>
      </c>
      <c r="B87" s="52">
        <v>355.8</v>
      </c>
      <c r="C87" s="52">
        <v>356.4</v>
      </c>
      <c r="D87" s="52">
        <v>357.5</v>
      </c>
      <c r="E87" s="52">
        <v>358.5</v>
      </c>
      <c r="F87" s="52">
        <v>355.2</v>
      </c>
      <c r="G87" s="18"/>
      <c r="H87" s="2" t="s">
        <v>76</v>
      </c>
      <c r="I87" s="2"/>
      <c r="J87" s="2"/>
    </row>
    <row r="88" ht="15" customHeight="1">
      <c r="A88" s="2" t="s">
        <v>684</v>
      </c>
      <c r="B88" s="23">
        <f t="shared" si="25" ref="B88:F88">B85/B86</f>
        <v>1.5580369451337197</v>
      </c>
      <c r="C88" s="23">
        <f t="shared" si="25"/>
        <v>1.8843088760648536</v>
      </c>
      <c r="D88" s="23">
        <f t="shared" si="25"/>
        <v>1.9155238617663197</v>
      </c>
      <c r="E88" s="23">
        <f t="shared" si="25"/>
        <v>1.8082944246086246</v>
      </c>
      <c r="F88" s="23">
        <f t="shared" si="25"/>
        <v>6.416022099447515</v>
      </c>
      <c r="G88" s="23"/>
      <c r="H88" s="2" t="s">
        <v>76</v>
      </c>
      <c r="I88" s="2"/>
      <c r="J88" s="2"/>
    </row>
    <row r="89" ht="15" customHeight="1">
      <c r="A89" s="2" t="s">
        <v>338</v>
      </c>
      <c r="B89" s="52">
        <v>31.3</v>
      </c>
      <c r="C89" s="52">
        <v>33.6</v>
      </c>
      <c r="D89" s="52">
        <v>36.2</v>
      </c>
      <c r="E89" s="52">
        <v>36.6</v>
      </c>
      <c r="F89" s="52">
        <v>123.7</v>
      </c>
      <c r="G89" s="18"/>
      <c r="H89" s="2" t="s">
        <v>76</v>
      </c>
      <c r="I89" s="2"/>
      <c r="J89" s="2"/>
    </row>
    <row r="90" ht="15" customHeight="1">
      <c r="A90" s="2" t="s">
        <v>339</v>
      </c>
      <c r="B90" s="52">
        <v>0.2</v>
      </c>
      <c r="C90" s="52">
        <v>0.2</v>
      </c>
      <c r="D90" s="52">
        <v>0.3</v>
      </c>
      <c r="E90" s="52">
        <v>0.1</v>
      </c>
      <c r="F90" s="52">
        <v>0.8</v>
      </c>
      <c r="G90" s="18"/>
      <c r="H90" s="2" t="s">
        <v>76</v>
      </c>
      <c r="I90" s="2"/>
      <c r="J90" s="2"/>
    </row>
    <row r="91" ht="15" customHeight="1">
      <c r="A91" s="2" t="s">
        <v>340</v>
      </c>
      <c r="B91" s="52">
        <v>2.4</v>
      </c>
      <c r="C91" s="52">
        <v>2.4</v>
      </c>
      <c r="D91" s="52">
        <v>2.4</v>
      </c>
      <c r="E91" s="52">
        <v>2.5</v>
      </c>
      <c r="F91" s="52">
        <v>12.3</v>
      </c>
      <c r="G91" s="18"/>
      <c r="H91" s="2" t="s">
        <v>76</v>
      </c>
      <c r="I91" s="2"/>
      <c r="J91" s="2"/>
    </row>
    <row r="92" ht="15" customHeight="1">
      <c r="A92" s="2" t="s">
        <v>341</v>
      </c>
      <c r="B92" s="52">
        <v>0</v>
      </c>
      <c r="C92" s="52">
        <v>0</v>
      </c>
      <c r="D92" s="52">
        <v>0</v>
      </c>
      <c r="E92" s="52">
        <v>0</v>
      </c>
      <c r="F92" s="52">
        <v>0</v>
      </c>
      <c r="G92" s="18"/>
      <c r="H92" s="2" t="s">
        <v>76</v>
      </c>
      <c r="I92" s="2"/>
      <c r="J92" s="2"/>
    </row>
    <row r="93" ht="15" customHeight="1">
      <c r="A93" s="2" t="s">
        <v>342</v>
      </c>
      <c r="B93" s="52">
        <v>76.3</v>
      </c>
      <c r="C93" s="52">
        <v>77.7</v>
      </c>
      <c r="D93" s="52">
        <v>80.2</v>
      </c>
      <c r="E93" s="52">
        <v>85</v>
      </c>
      <c r="F93" s="52">
        <v>298.9</v>
      </c>
      <c r="G93" s="18"/>
      <c r="H93" s="2" t="s">
        <v>76</v>
      </c>
      <c r="I93" s="2"/>
      <c r="J93" s="2"/>
    </row>
    <row r="94" ht="15" customHeight="1">
      <c r="A94" s="2" t="s">
        <v>343</v>
      </c>
      <c r="B94" s="52">
        <v>1</v>
      </c>
      <c r="C94" s="52">
        <v>1</v>
      </c>
      <c r="D94" s="52">
        <v>0.5</v>
      </c>
      <c r="E94" s="52">
        <v>0.2</v>
      </c>
      <c r="F94" s="52">
        <v>4.8</v>
      </c>
      <c r="G94" s="18"/>
      <c r="H94" s="2" t="s">
        <v>76</v>
      </c>
      <c r="I94" s="2"/>
      <c r="J94" s="2"/>
    </row>
    <row r="95" ht="15" customHeight="1">
      <c r="A95" s="2" t="s">
        <v>344</v>
      </c>
      <c r="B95" s="52">
        <v>0.6</v>
      </c>
      <c r="C95" s="52">
        <v>0.2</v>
      </c>
      <c r="D95" s="52">
        <v>0.5</v>
      </c>
      <c r="E95" s="52">
        <v>0.1</v>
      </c>
      <c r="F95" s="52">
        <v>2.4</v>
      </c>
      <c r="G95" s="18"/>
      <c r="H95" s="2" t="s">
        <v>76</v>
      </c>
      <c r="I95" s="2"/>
      <c r="J95" s="2"/>
    </row>
    <row r="96" ht="15" customHeight="1">
      <c r="A96" s="2" t="s">
        <v>345</v>
      </c>
      <c r="B96" s="52">
        <v>0</v>
      </c>
      <c r="C96" s="52">
        <v>0</v>
      </c>
      <c r="D96" s="52">
        <v>0</v>
      </c>
      <c r="E96" s="52">
        <v>0</v>
      </c>
      <c r="F96" s="52">
        <v>0</v>
      </c>
      <c r="G96" s="18"/>
      <c r="H96" s="2" t="s">
        <v>76</v>
      </c>
      <c r="I96" s="2"/>
      <c r="J96" s="2"/>
    </row>
    <row r="97" ht="15" customHeight="1">
      <c r="A97" s="2" t="s">
        <v>346</v>
      </c>
      <c r="B97" s="52">
        <v>0</v>
      </c>
      <c r="C97" s="52">
        <v>12.6</v>
      </c>
      <c r="D97" s="52">
        <v>0</v>
      </c>
      <c r="E97" s="52">
        <v>3.5</v>
      </c>
      <c r="F97" s="52">
        <v>19.8</v>
      </c>
      <c r="G97" s="18"/>
      <c r="H97" s="2" t="s">
        <v>76</v>
      </c>
      <c r="I97" s="2"/>
      <c r="J97" s="2"/>
    </row>
    <row r="98" ht="15" customHeight="1">
      <c r="A98" s="2" t="s">
        <v>347</v>
      </c>
      <c r="B98" s="52">
        <v>0</v>
      </c>
      <c r="C98" s="52">
        <v>-1.1</v>
      </c>
      <c r="D98" s="52">
        <v>0</v>
      </c>
      <c r="E98" s="52">
        <v>0</v>
      </c>
      <c r="F98" s="52">
        <v>-1.1</v>
      </c>
      <c r="G98" s="18"/>
      <c r="H98" s="2" t="s">
        <v>76</v>
      </c>
      <c r="I98" s="2"/>
      <c r="J98" s="2"/>
    </row>
    <row r="99" ht="15" customHeight="1">
      <c r="A99" s="2" t="s">
        <v>348</v>
      </c>
      <c r="B99" s="52">
        <v>0</v>
      </c>
      <c r="C99" s="52">
        <v>0</v>
      </c>
      <c r="D99" s="52">
        <v>0</v>
      </c>
      <c r="E99" s="52">
        <v>0</v>
      </c>
      <c r="F99" s="52">
        <v>0</v>
      </c>
      <c r="G99" s="18"/>
      <c r="H99" s="2" t="s">
        <v>76</v>
      </c>
      <c r="I99" s="2"/>
      <c r="J99" s="2"/>
    </row>
    <row r="100" ht="15" customHeight="1">
      <c r="A100" s="2" t="s">
        <v>349</v>
      </c>
      <c r="B100" s="52">
        <v>65.3</v>
      </c>
      <c r="C100" s="52">
        <v>65.7</v>
      </c>
      <c r="D100" s="52">
        <v>68.8</v>
      </c>
      <c r="E100" s="52">
        <v>74.6</v>
      </c>
      <c r="F100" s="52">
        <v>254.2</v>
      </c>
      <c r="G100" s="18"/>
      <c r="H100" s="2" t="s">
        <v>76</v>
      </c>
      <c r="I100" s="2"/>
      <c r="J100" s="2"/>
    </row>
    <row r="101" ht="15" customHeight="1">
      <c r="A101" s="2" t="s">
        <v>350</v>
      </c>
      <c r="B101" s="52">
        <v>0.5</v>
      </c>
      <c r="C101" s="52">
        <v>0.5</v>
      </c>
      <c r="D101" s="52">
        <v>0.5</v>
      </c>
      <c r="E101" s="52">
        <v>0.6</v>
      </c>
      <c r="F101" s="52">
        <v>2</v>
      </c>
      <c r="G101" s="18"/>
      <c r="H101" s="2" t="s">
        <v>76</v>
      </c>
      <c r="I101" s="2"/>
      <c r="J101" s="2"/>
    </row>
    <row r="102" ht="15" customHeight="1">
      <c r="A102" s="2" t="s">
        <v>303</v>
      </c>
      <c r="B102" s="52">
        <v>0.9</v>
      </c>
      <c r="C102" s="52">
        <v>12.7</v>
      </c>
      <c r="D102" s="52">
        <v>0.6</v>
      </c>
      <c r="E102" s="52">
        <v>4.4</v>
      </c>
      <c r="F102" s="52">
        <v>9.2</v>
      </c>
      <c r="G102" s="18"/>
      <c r="H102" s="2" t="s">
        <v>76</v>
      </c>
      <c r="I102" s="2"/>
      <c r="J102" s="2"/>
    </row>
    <row r="103" ht="15" customHeight="1">
      <c r="A103" s="2" t="s">
        <v>685</v>
      </c>
      <c r="B103" s="52">
        <v>-74</v>
      </c>
      <c r="C103" s="52">
        <v>-86</v>
      </c>
      <c r="D103" s="52">
        <v>-226.6</v>
      </c>
      <c r="E103" s="52">
        <v>-67.8</v>
      </c>
      <c r="F103" s="52">
        <v>-391.5</v>
      </c>
      <c r="G103" s="18"/>
      <c r="H103" s="2" t="s">
        <v>76</v>
      </c>
      <c r="I103" s="2"/>
      <c r="J103" s="2"/>
    </row>
    <row r="104" ht="15" customHeight="1">
      <c r="A104" s="2" t="s">
        <v>686</v>
      </c>
      <c r="B104" s="52">
        <v>-0.5</v>
      </c>
      <c r="C104" s="52">
        <v>-0.5</v>
      </c>
      <c r="D104" s="52">
        <v>-0.3</v>
      </c>
      <c r="E104" s="52">
        <v>-0.3</v>
      </c>
      <c r="F104" s="52">
        <v>-2.2</v>
      </c>
      <c r="G104" s="18"/>
      <c r="H104" s="2" t="s">
        <v>76</v>
      </c>
      <c r="I104" s="2"/>
      <c r="J104" s="2"/>
    </row>
    <row r="105" ht="15" customHeight="1">
      <c r="A105" s="2" t="s">
        <v>321</v>
      </c>
      <c r="B105" s="18">
        <f t="shared" si="26" ref="B105:F105">B75+B89+B90+B91+B92</f>
        <v>1407.8000000000002</v>
      </c>
      <c r="C105" s="18">
        <f t="shared" si="26"/>
        <v>1678.4</v>
      </c>
      <c r="D105" s="18">
        <f t="shared" si="26"/>
        <v>1496.6000000000001</v>
      </c>
      <c r="E105" s="18">
        <f t="shared" si="26"/>
        <v>1657.1</v>
      </c>
      <c r="F105" s="18">
        <f t="shared" si="26"/>
        <v>5771.000000000001</v>
      </c>
      <c r="G105" s="18"/>
      <c r="H105" s="2" t="s">
        <v>76</v>
      </c>
      <c r="I105" s="2"/>
      <c r="J105" s="2"/>
    </row>
    <row r="106" ht="15" customHeight="1">
      <c r="A106" s="2" t="s">
        <v>323</v>
      </c>
      <c r="B106" s="18">
        <f t="shared" si="27" ref="B106:F106">B76-(B93+B94+B95+B96+B97+B98+B99)</f>
        <v>432.70000000000005</v>
      </c>
      <c r="C106" s="18">
        <f t="shared" si="27"/>
        <v>522.2</v>
      </c>
      <c r="D106" s="18">
        <f t="shared" si="27"/>
        <v>482.2</v>
      </c>
      <c r="E106" s="18">
        <f t="shared" si="27"/>
        <v>472.40000000000003</v>
      </c>
      <c r="F106" s="18">
        <f t="shared" si="27"/>
        <v>1815.2</v>
      </c>
      <c r="G106" s="18"/>
      <c r="H106" s="2" t="s">
        <v>76</v>
      </c>
      <c r="I106" s="2"/>
      <c r="J106" s="2"/>
    </row>
    <row r="107" ht="15" customHeight="1">
      <c r="A107" s="2" t="s">
        <v>324</v>
      </c>
      <c r="B107" s="18">
        <f t="shared" si="28" ref="B107:F107">B77-(B100+B101)</f>
        <v>220.2</v>
      </c>
      <c r="C107" s="18">
        <f t="shared" si="28"/>
        <v>228.5</v>
      </c>
      <c r="D107" s="18">
        <f t="shared" si="28"/>
        <v>246.89999999999998</v>
      </c>
      <c r="E107" s="18">
        <f t="shared" si="28"/>
        <v>238.10000000000002</v>
      </c>
      <c r="F107" s="18">
        <f t="shared" si="28"/>
        <v>889.0999999999999</v>
      </c>
      <c r="G107" s="18"/>
      <c r="H107" s="2" t="s">
        <v>76</v>
      </c>
      <c r="I107" s="2"/>
      <c r="J107" s="2"/>
    </row>
    <row r="108" ht="15" customHeight="1">
      <c r="A108" s="2" t="s">
        <v>325</v>
      </c>
      <c r="B108" s="18">
        <f t="shared" si="4"/>
        <v>652.9000000000001</v>
      </c>
      <c r="C108" s="18">
        <f t="shared" si="4"/>
        <v>750.7</v>
      </c>
      <c r="D108" s="18">
        <f t="shared" si="4"/>
        <v>729.0999999999999</v>
      </c>
      <c r="E108" s="18">
        <f t="shared" si="4"/>
        <v>710.5</v>
      </c>
      <c r="F108" s="18">
        <f t="shared" si="4"/>
        <v>2704.3</v>
      </c>
      <c r="G108" s="18"/>
      <c r="H108" s="2" t="s">
        <v>76</v>
      </c>
      <c r="I108" s="2"/>
      <c r="J108" s="2"/>
    </row>
    <row r="109" ht="15" customHeight="1">
      <c r="A109" s="2" t="s">
        <v>326</v>
      </c>
      <c r="B109" s="18">
        <f t="shared" si="24"/>
        <v>754.9000000000001</v>
      </c>
      <c r="C109" s="18">
        <f t="shared" si="24"/>
        <v>927.7</v>
      </c>
      <c r="D109" s="18">
        <f t="shared" si="24"/>
        <v>767.5000000000002</v>
      </c>
      <c r="E109" s="18">
        <f t="shared" si="24"/>
        <v>946.5999999999999</v>
      </c>
      <c r="F109" s="18">
        <f t="shared" si="24"/>
        <v>3066.7000000000007</v>
      </c>
      <c r="G109" s="18"/>
      <c r="H109" s="2" t="s">
        <v>76</v>
      </c>
      <c r="I109" s="2"/>
      <c r="J109" s="2"/>
    </row>
    <row r="110" ht="15" customHeight="1">
      <c r="A110" s="2" t="s">
        <v>329</v>
      </c>
      <c r="B110" s="18">
        <f t="shared" si="29" ref="B110:F110">B109+B80+B102</f>
        <v>849.5000000000001</v>
      </c>
      <c r="C110" s="18">
        <f t="shared" si="29"/>
        <v>1015.3000000000001</v>
      </c>
      <c r="D110" s="18">
        <f t="shared" si="29"/>
        <v>858.5000000000002</v>
      </c>
      <c r="E110" s="18">
        <f t="shared" si="29"/>
        <v>1039.7</v>
      </c>
      <c r="F110" s="18">
        <f t="shared" si="29"/>
        <v>3400.8000000000006</v>
      </c>
      <c r="G110" s="18"/>
      <c r="H110" s="2" t="s">
        <v>76</v>
      </c>
      <c r="I110" s="2"/>
      <c r="J110" s="2"/>
    </row>
    <row r="111" ht="15" customHeight="1">
      <c r="A111" s="2" t="s">
        <v>310</v>
      </c>
      <c r="B111" s="18">
        <f t="shared" si="30" ref="B111:F111">B85+(B110-B81)+B103+B104</f>
        <v>669.1000000000001</v>
      </c>
      <c r="C111" s="18">
        <f t="shared" si="30"/>
        <v>804.7000000000002</v>
      </c>
      <c r="D111" s="18">
        <f t="shared" si="30"/>
        <v>661.5000000000003</v>
      </c>
      <c r="E111" s="18">
        <f t="shared" si="30"/>
        <v>797.9000000000002</v>
      </c>
      <c r="F111" s="18">
        <f t="shared" si="30"/>
        <v>2655.9000000000005</v>
      </c>
      <c r="G111" s="18"/>
      <c r="H111" s="2" t="s">
        <v>76</v>
      </c>
      <c r="I111" s="2"/>
      <c r="J111" s="2"/>
    </row>
    <row r="112" ht="15" customHeight="1">
      <c r="A112" s="2" t="s">
        <v>687</v>
      </c>
      <c r="B112" s="23">
        <f t="shared" si="31" ref="B112:F112">B111/B86</f>
        <v>1.8447752963882</v>
      </c>
      <c r="C112" s="23">
        <f t="shared" si="31"/>
        <v>2.2113217917010175</v>
      </c>
      <c r="D112" s="23">
        <f t="shared" si="31"/>
        <v>1.8143170597915532</v>
      </c>
      <c r="E112" s="23">
        <f t="shared" si="31"/>
        <v>2.191430925569899</v>
      </c>
      <c r="F112" s="23">
        <f t="shared" si="31"/>
        <v>7.336740331491714</v>
      </c>
      <c r="G112" s="23"/>
      <c r="H112" s="2" t="s">
        <v>76</v>
      </c>
      <c r="I112" s="2"/>
      <c r="J112" s="2"/>
    </row>
    <row r="113" ht="15" customHeight="1">
      <c r="A113" s="2" t="s">
        <v>688</v>
      </c>
      <c r="B113" s="18">
        <f t="shared" si="32" ref="B113:F113">B89+B93+B100</f>
        <v>172.89999999999998</v>
      </c>
      <c r="C113" s="18">
        <f t="shared" si="32"/>
        <v>177</v>
      </c>
      <c r="D113" s="18">
        <f t="shared" si="32"/>
        <v>185.2</v>
      </c>
      <c r="E113" s="18">
        <f t="shared" si="32"/>
        <v>196.2</v>
      </c>
      <c r="F113" s="18">
        <f t="shared" si="32"/>
        <v>676.8</v>
      </c>
      <c r="G113" s="18"/>
      <c r="H113" s="2" t="s">
        <v>76</v>
      </c>
      <c r="I113" s="2"/>
      <c r="J113" s="2"/>
    </row>
    <row r="114" ht="15" customHeight="1">
      <c r="A114" s="2" t="s">
        <v>689</v>
      </c>
      <c r="B114" s="70">
        <f t="shared" si="33" ref="B114:F114">B22+B33</f>
        <v>336</v>
      </c>
      <c r="C114" s="70">
        <f t="shared" si="33"/>
        <v>363</v>
      </c>
      <c r="D114" s="70">
        <f t="shared" si="33"/>
        <v>287</v>
      </c>
      <c r="E114" s="70">
        <f t="shared" si="33"/>
        <v>299</v>
      </c>
      <c r="F114" s="70">
        <f t="shared" si="33"/>
        <v>1296</v>
      </c>
      <c r="G114" s="70"/>
      <c r="H114" s="2" t="s">
        <v>76</v>
      </c>
      <c r="I114" s="2"/>
      <c r="J114" s="2"/>
    </row>
    <row r="115" ht="15" customHeight="1">
      <c r="A115" s="2" t="s">
        <v>196</v>
      </c>
      <c r="B115" s="70">
        <f t="shared" si="34" ref="B115:F115">B40+B41</f>
        <v>2641</v>
      </c>
      <c r="C115" s="70">
        <f t="shared" si="34"/>
        <v>2799</v>
      </c>
      <c r="D115" s="70">
        <f t="shared" si="34"/>
        <v>2906</v>
      </c>
      <c r="E115" s="70">
        <f t="shared" si="34"/>
        <v>2987</v>
      </c>
      <c r="F115" s="70">
        <f t="shared" si="34"/>
        <v>2799</v>
      </c>
      <c r="G115" s="70"/>
      <c r="H115" s="2" t="s">
        <v>76</v>
      </c>
      <c r="I115" s="2"/>
      <c r="J115" s="2"/>
    </row>
    <row r="116" ht="15" customHeight="1">
      <c r="A116" s="31" t="s">
        <v>197</v>
      </c>
      <c r="B116" s="19">
        <f t="shared" si="35" ref="B116:F116">B115/B34</f>
        <v>0.2768634028724185</v>
      </c>
      <c r="C116" s="19">
        <f t="shared" si="35"/>
        <v>0.2826701676429004</v>
      </c>
      <c r="D116" s="19">
        <f t="shared" si="35"/>
        <v>0.2852095396996761</v>
      </c>
      <c r="E116" s="19">
        <f t="shared" si="35"/>
        <v>0.28480167810831425</v>
      </c>
      <c r="F116" s="19">
        <f t="shared" si="35"/>
        <v>0.2826701676429004</v>
      </c>
      <c r="G116" s="19"/>
      <c r="H116" s="2" t="s">
        <v>76</v>
      </c>
      <c r="I116" s="2"/>
      <c r="J116" s="2"/>
    </row>
    <row r="117" ht="15" customHeight="1">
      <c r="A117" s="2" t="s">
        <v>199</v>
      </c>
      <c r="B117" s="61">
        <v>678</v>
      </c>
      <c r="C117" s="61">
        <v>736</v>
      </c>
      <c r="D117" s="61">
        <v>805</v>
      </c>
      <c r="E117" s="61">
        <v>853</v>
      </c>
      <c r="F117" s="61">
        <v>534</v>
      </c>
      <c r="G117" s="70"/>
      <c r="H117" s="2" t="s">
        <v>76</v>
      </c>
      <c r="I117" s="2"/>
      <c r="J117" s="2"/>
    </row>
    <row r="118" ht="15" customHeight="1">
      <c r="A118" s="2" t="s">
        <v>690</v>
      </c>
      <c r="B118" s="61">
        <v>0</v>
      </c>
      <c r="C118" s="61">
        <v>0</v>
      </c>
      <c r="D118" s="61">
        <v>-1</v>
      </c>
      <c r="E118" s="61">
        <v>-2</v>
      </c>
      <c r="F118" s="61">
        <v>0</v>
      </c>
      <c r="G118" s="70"/>
      <c r="H118" s="2" t="s">
        <v>76</v>
      </c>
      <c r="I118" s="2"/>
      <c r="J118" s="2"/>
    </row>
    <row r="119" ht="15" customHeight="1">
      <c r="A119" s="2" t="s">
        <v>210</v>
      </c>
      <c r="B119" s="70">
        <f t="shared" si="36" ref="B119:F119">(B117+B43)/2</f>
        <v>707</v>
      </c>
      <c r="C119" s="70">
        <f t="shared" si="36"/>
        <v>770.5</v>
      </c>
      <c r="D119" s="70">
        <f t="shared" si="36"/>
        <v>829</v>
      </c>
      <c r="E119" s="70">
        <f t="shared" si="36"/>
        <v>879</v>
      </c>
      <c r="F119" s="70">
        <f t="shared" si="36"/>
        <v>669.5</v>
      </c>
      <c r="G119" s="70"/>
      <c r="H119" s="2" t="s">
        <v>76</v>
      </c>
      <c r="I119" s="2"/>
      <c r="J119" s="2"/>
    </row>
    <row r="120" ht="15" customHeight="1">
      <c r="A120" s="2" t="s">
        <v>691</v>
      </c>
      <c r="B120" s="18">
        <f t="shared" si="37" ref="B120:F120">B13*1000/B119</f>
        <v>35.21923620933522</v>
      </c>
      <c r="C120" s="18">
        <f t="shared" si="37"/>
        <v>36.21025308241402</v>
      </c>
      <c r="D120" s="18">
        <f t="shared" si="37"/>
        <v>37.03256936067551</v>
      </c>
      <c r="E120" s="18">
        <f t="shared" si="37"/>
        <v>40.159271899886235</v>
      </c>
      <c r="F120" s="18">
        <f t="shared" si="37"/>
        <v>142.6437640029873</v>
      </c>
      <c r="G120" s="18"/>
      <c r="H120" s="2" t="s">
        <v>76</v>
      </c>
      <c r="I120" s="2"/>
      <c r="J120" s="2"/>
    </row>
    <row r="121" ht="15" customHeight="1">
      <c r="A121" s="2" t="s">
        <v>214</v>
      </c>
      <c r="B121" s="61">
        <v>36</v>
      </c>
      <c r="C121" s="61">
        <v>38</v>
      </c>
      <c r="D121" s="61">
        <v>29</v>
      </c>
      <c r="E121" s="61">
        <v>34</v>
      </c>
      <c r="F121" s="61">
        <v>153</v>
      </c>
      <c r="G121" s="70"/>
      <c r="H121" s="2" t="s">
        <v>76</v>
      </c>
      <c r="I121" s="2"/>
      <c r="J121" s="2"/>
    </row>
    <row r="122" ht="15" customHeight="1">
      <c r="A122" s="2" t="s">
        <v>169</v>
      </c>
      <c r="B122" s="61">
        <v>-22</v>
      </c>
      <c r="C122" s="61">
        <v>-59</v>
      </c>
      <c r="D122" s="61">
        <v>-54</v>
      </c>
      <c r="E122" s="61">
        <v>-86</v>
      </c>
      <c r="F122" s="61">
        <v>-104</v>
      </c>
      <c r="G122" s="70"/>
      <c r="H122" s="2" t="s">
        <v>76</v>
      </c>
      <c r="I122" s="2"/>
      <c r="J122" s="2"/>
    </row>
    <row r="123" ht="15" customHeight="1">
      <c r="A123" s="2" t="s">
        <v>175</v>
      </c>
      <c r="B123" s="61">
        <v>-21</v>
      </c>
      <c r="C123" s="61">
        <v>-71</v>
      </c>
      <c r="D123" s="61">
        <v>-26</v>
      </c>
      <c r="E123" s="61">
        <v>-10</v>
      </c>
      <c r="F123" s="61">
        <v>-126</v>
      </c>
      <c r="G123" s="70"/>
      <c r="H123" s="2" t="s">
        <v>76</v>
      </c>
      <c r="I123" s="2"/>
      <c r="J123" s="2"/>
    </row>
    <row r="124" ht="15" customHeight="1">
      <c r="A124" s="2" t="s">
        <v>692</v>
      </c>
      <c r="B124" s="61">
        <v>4</v>
      </c>
      <c r="C124" s="61">
        <v>2</v>
      </c>
      <c r="D124" s="61">
        <v>1</v>
      </c>
      <c r="E124" s="61">
        <v>1</v>
      </c>
      <c r="F124" s="61">
        <v>8</v>
      </c>
      <c r="G124" s="70"/>
      <c r="H124" s="2" t="s">
        <v>76</v>
      </c>
      <c r="I124" s="2"/>
      <c r="J124" s="2"/>
    </row>
    <row r="125" ht="15" customHeight="1">
      <c r="A125" s="2" t="s">
        <v>693</v>
      </c>
      <c r="B125" s="61">
        <v>28</v>
      </c>
      <c r="C125" s="61">
        <v>36</v>
      </c>
      <c r="D125" s="61">
        <v>18</v>
      </c>
      <c r="E125" s="61">
        <v>5</v>
      </c>
      <c r="F125" s="61">
        <v>117</v>
      </c>
      <c r="G125" s="70"/>
      <c r="H125" s="2" t="s">
        <v>76</v>
      </c>
      <c r="I125" s="2"/>
      <c r="J125" s="2"/>
    </row>
    <row r="126" ht="15" customHeight="1">
      <c r="A126" s="2" t="s">
        <v>694</v>
      </c>
      <c r="B126" s="61">
        <v>71</v>
      </c>
      <c r="C126" s="61">
        <v>62</v>
      </c>
      <c r="D126" s="61">
        <v>34</v>
      </c>
      <c r="E126" s="61">
        <v>26</v>
      </c>
      <c r="F126" s="61">
        <v>281</v>
      </c>
      <c r="G126" s="70"/>
      <c r="H126" s="2" t="s">
        <v>76</v>
      </c>
      <c r="I126" s="2"/>
      <c r="J126" s="2"/>
    </row>
    <row r="127" ht="15" customHeight="1">
      <c r="A127" s="2" t="s">
        <v>695</v>
      </c>
      <c r="B127" s="61">
        <v>8</v>
      </c>
      <c r="C127" s="61">
        <v>45</v>
      </c>
      <c r="D127" s="61">
        <v>35</v>
      </c>
      <c r="E127" s="61">
        <v>56</v>
      </c>
      <c r="F127" s="61">
        <v>57</v>
      </c>
      <c r="G127" s="70"/>
      <c r="H127" s="2" t="s">
        <v>76</v>
      </c>
      <c r="I127" s="2"/>
      <c r="J127" s="2"/>
    </row>
    <row r="128" ht="15" customHeight="1">
      <c r="A128" s="2" t="s">
        <v>696</v>
      </c>
      <c r="B128" s="61">
        <v>102</v>
      </c>
      <c r="C128" s="61">
        <v>126</v>
      </c>
      <c r="D128" s="61">
        <v>111</v>
      </c>
      <c r="E128" s="61">
        <v>122</v>
      </c>
      <c r="F128" s="61">
        <v>302</v>
      </c>
      <c r="G128" s="70"/>
      <c r="H128" s="2" t="s">
        <v>76</v>
      </c>
      <c r="I128" s="2"/>
      <c r="J128" s="2"/>
    </row>
    <row r="129" ht="15" customHeight="1">
      <c r="A129" s="2" t="s">
        <v>697</v>
      </c>
      <c r="B129" s="61">
        <v>6</v>
      </c>
      <c r="C129" s="61">
        <v>13</v>
      </c>
      <c r="D129" s="61">
        <v>5</v>
      </c>
      <c r="E129" s="61">
        <v>6</v>
      </c>
      <c r="F129" s="61">
        <v>35</v>
      </c>
      <c r="G129" s="70"/>
      <c r="H129" s="2" t="s">
        <v>76</v>
      </c>
      <c r="I129" s="2"/>
      <c r="J129" s="2"/>
    </row>
    <row r="130" ht="15" customHeight="1">
      <c r="A130" s="2" t="s">
        <v>698</v>
      </c>
      <c r="B130" s="61">
        <v>0</v>
      </c>
      <c r="C130" s="61">
        <v>2</v>
      </c>
      <c r="D130" s="61">
        <v>0</v>
      </c>
      <c r="E130" s="61">
        <v>2</v>
      </c>
      <c r="F130" s="61">
        <v>5</v>
      </c>
      <c r="G130" s="70"/>
      <c r="H130" s="2" t="s">
        <v>76</v>
      </c>
      <c r="I130" s="2"/>
      <c r="J130" s="2"/>
    </row>
    <row r="131" ht="15" customHeight="1">
      <c r="A131" s="2" t="s">
        <v>699</v>
      </c>
      <c r="B131" s="61">
        <v>43</v>
      </c>
      <c r="C131" s="61">
        <v>45</v>
      </c>
      <c r="D131" s="61">
        <v>37</v>
      </c>
      <c r="E131" s="61">
        <v>46</v>
      </c>
      <c r="F131" s="61">
        <v>162</v>
      </c>
      <c r="G131" s="70"/>
      <c r="H131" s="2" t="s">
        <v>76</v>
      </c>
      <c r="I131" s="2"/>
      <c r="J131" s="2"/>
    </row>
    <row r="132" ht="15" customHeight="1">
      <c r="A132" s="2" t="s">
        <v>700</v>
      </c>
      <c r="B132" s="61">
        <v>17</v>
      </c>
      <c r="C132" s="61">
        <v>40</v>
      </c>
      <c r="D132" s="61">
        <v>22</v>
      </c>
      <c r="E132" s="61">
        <v>16</v>
      </c>
      <c r="F132" s="61">
        <v>106</v>
      </c>
      <c r="G132" s="70"/>
      <c r="H132" s="2" t="s">
        <v>76</v>
      </c>
      <c r="I132" s="2"/>
      <c r="J132" s="2"/>
    </row>
    <row r="133" ht="15" customHeight="1">
      <c r="A133" s="2" t="s">
        <v>701</v>
      </c>
      <c r="B133" s="61">
        <v>85</v>
      </c>
      <c r="C133" s="61">
        <v>102</v>
      </c>
      <c r="D133" s="61">
        <v>89</v>
      </c>
      <c r="E133" s="61">
        <v>96</v>
      </c>
      <c r="F133" s="61">
        <v>389</v>
      </c>
      <c r="G133" s="70"/>
      <c r="H133" s="2" t="s">
        <v>76</v>
      </c>
      <c r="I133" s="2"/>
      <c r="J133" s="2"/>
    </row>
    <row r="134" ht="15" customHeight="1">
      <c r="A134" s="2" t="s">
        <v>702</v>
      </c>
      <c r="B134" s="61">
        <v>0</v>
      </c>
      <c r="C134" s="61">
        <v>1</v>
      </c>
      <c r="D134" s="61">
        <v>0</v>
      </c>
      <c r="E134" s="61">
        <v>0</v>
      </c>
      <c r="F134" s="61">
        <v>1</v>
      </c>
      <c r="G134" s="70"/>
      <c r="H134" s="2" t="s">
        <v>76</v>
      </c>
      <c r="I134" s="2"/>
      <c r="J134" s="2"/>
    </row>
    <row r="135" ht="15" customHeight="1">
      <c r="A135" s="2" t="s">
        <v>703</v>
      </c>
      <c r="B135" s="61">
        <v>0</v>
      </c>
      <c r="C135" s="61">
        <v>2</v>
      </c>
      <c r="D135" s="61">
        <v>1</v>
      </c>
      <c r="E135" s="61">
        <v>2</v>
      </c>
      <c r="F135" s="61">
        <v>2</v>
      </c>
      <c r="G135" s="70"/>
      <c r="H135" s="2" t="s">
        <v>76</v>
      </c>
      <c r="I135" s="2"/>
      <c r="J135" s="2"/>
    </row>
    <row r="136" ht="15" customHeight="1">
      <c r="A136" s="2" t="s">
        <v>704</v>
      </c>
      <c r="B136" s="61">
        <v>15</v>
      </c>
      <c r="C136" s="61">
        <v>17</v>
      </c>
      <c r="D136" s="61">
        <v>14</v>
      </c>
      <c r="E136" s="61">
        <v>17</v>
      </c>
      <c r="F136" s="61">
        <v>61</v>
      </c>
      <c r="G136" s="70"/>
      <c r="H136" s="2" t="s">
        <v>76</v>
      </c>
      <c r="I136" s="2"/>
      <c r="J136" s="2"/>
    </row>
    <row r="137" ht="15" customHeight="1">
      <c r="A137" s="31" t="s">
        <v>267</v>
      </c>
      <c r="B137" s="19">
        <f t="shared" si="38" ref="B137:F137">B75/B60</f>
        <v>0.6741082380648644</v>
      </c>
      <c r="C137" s="19">
        <f t="shared" si="38"/>
        <v>0.6804226227470479</v>
      </c>
      <c r="D137" s="19">
        <f t="shared" si="38"/>
        <v>0.6468891452915594</v>
      </c>
      <c r="E137" s="19">
        <f t="shared" si="38"/>
        <v>0.6630737704918033</v>
      </c>
      <c r="F137" s="19">
        <f t="shared" si="38"/>
        <v>0.6745848349516889</v>
      </c>
      <c r="G137" s="19"/>
      <c r="H137" s="2" t="s">
        <v>76</v>
      </c>
      <c r="I137" s="2"/>
      <c r="J137" s="2"/>
    </row>
    <row r="138" ht="15" customHeight="1">
      <c r="A138" s="31" t="s">
        <v>277</v>
      </c>
      <c r="B138" s="19">
        <f t="shared" si="39" ref="B138:F138">B79/B60</f>
        <v>0.2832540110887592</v>
      </c>
      <c r="C138" s="19">
        <f t="shared" si="39"/>
        <v>0.304495545887715</v>
      </c>
      <c r="D138" s="19">
        <f t="shared" si="39"/>
        <v>0.25654566432945775</v>
      </c>
      <c r="E138" s="19">
        <f t="shared" si="39"/>
        <v>0.30467213114754105</v>
      </c>
      <c r="F138" s="19">
        <f t="shared" si="39"/>
        <v>0.2812346595467009</v>
      </c>
      <c r="G138" s="19"/>
      <c r="H138" s="2" t="s">
        <v>76</v>
      </c>
      <c r="I138" s="2"/>
      <c r="J138" s="2"/>
    </row>
    <row r="139" ht="15" customHeight="1">
      <c r="A139" s="31" t="s">
        <v>281</v>
      </c>
      <c r="B139" s="19">
        <f t="shared" si="40" ref="B139:F139">B82/B81</f>
        <v>0.14962742175856927</v>
      </c>
      <c r="C139" s="19">
        <f t="shared" si="40"/>
        <v>0.15040750802667324</v>
      </c>
      <c r="D139" s="19">
        <f t="shared" si="40"/>
        <v>-0.05265519820493642</v>
      </c>
      <c r="E139" s="19">
        <f t="shared" si="40"/>
        <v>0.20177863237591634</v>
      </c>
      <c r="F139" s="19">
        <f t="shared" si="40"/>
        <v>0.1257760490687411</v>
      </c>
      <c r="G139" s="19"/>
      <c r="H139" s="2" t="s">
        <v>76</v>
      </c>
      <c r="I139" s="2"/>
      <c r="J139" s="2"/>
    </row>
    <row r="140" ht="15" customHeight="1">
      <c r="A140" s="31" t="s">
        <v>705</v>
      </c>
      <c r="B140" s="19">
        <f t="shared" si="41" ref="B140:F140">B105/B60</f>
        <v>0.6907413767724843</v>
      </c>
      <c r="C140" s="19">
        <f t="shared" si="41"/>
        <v>0.6954215869069816</v>
      </c>
      <c r="D140" s="19">
        <f t="shared" si="41"/>
        <v>0.664151948167214</v>
      </c>
      <c r="E140" s="19">
        <f t="shared" si="41"/>
        <v>0.679139344262295</v>
      </c>
      <c r="F140" s="19">
        <f t="shared" si="41"/>
        <v>0.6909639491864322</v>
      </c>
      <c r="G140" s="19"/>
      <c r="H140" s="2" t="s">
        <v>76</v>
      </c>
      <c r="I140" s="2"/>
      <c r="J140" s="2"/>
    </row>
    <row r="141" ht="15" customHeight="1">
      <c r="A141" s="31" t="s">
        <v>327</v>
      </c>
      <c r="B141" s="19">
        <f t="shared" si="42" ref="B141:F141">B109/B60</f>
        <v>0.3703939944065552</v>
      </c>
      <c r="C141" s="19">
        <f t="shared" si="42"/>
        <v>0.38437953180029005</v>
      </c>
      <c r="D141" s="19">
        <f t="shared" si="42"/>
        <v>0.3405964320582232</v>
      </c>
      <c r="E141" s="19">
        <f t="shared" si="42"/>
        <v>0.38795081967213113</v>
      </c>
      <c r="F141" s="19">
        <f t="shared" si="42"/>
        <v>0.3671771171322183</v>
      </c>
      <c r="G141" s="19"/>
      <c r="H141" s="2" t="s">
        <v>76</v>
      </c>
      <c r="I141" s="2"/>
      <c r="J141" s="2"/>
    </row>
    <row r="142" ht="15" customHeight="1">
      <c r="A142" s="2" t="s">
        <v>330</v>
      </c>
      <c r="B142" s="18">
        <f t="shared" si="43" ref="B142:F142">B82-B103</f>
        <v>174.4</v>
      </c>
      <c r="C142" s="18">
        <f t="shared" si="43"/>
        <v>207.8</v>
      </c>
      <c r="D142" s="18">
        <f t="shared" si="43"/>
        <v>191.39999999999998</v>
      </c>
      <c r="E142" s="18">
        <f t="shared" si="43"/>
        <v>235.7</v>
      </c>
      <c r="F142" s="18">
        <f t="shared" si="43"/>
        <v>727.8</v>
      </c>
      <c r="G142" s="18"/>
      <c r="H142" s="2" t="s">
        <v>76</v>
      </c>
      <c r="I142" s="2"/>
      <c r="J142" s="2"/>
    </row>
    <row r="143" ht="15" customHeight="1">
      <c r="A143" s="31" t="s">
        <v>706</v>
      </c>
      <c r="B143" s="19">
        <f t="shared" si="44" ref="B143:F143">B142/B110</f>
        <v>0.20529723366686284</v>
      </c>
      <c r="C143" s="19">
        <f t="shared" si="44"/>
        <v>0.20466857086575396</v>
      </c>
      <c r="D143" s="19">
        <f t="shared" si="44"/>
        <v>0.2229470005824111</v>
      </c>
      <c r="E143" s="19">
        <f t="shared" si="44"/>
        <v>0.22670000961815906</v>
      </c>
      <c r="F143" s="19">
        <f t="shared" si="44"/>
        <v>0.2140084685956245</v>
      </c>
      <c r="G143" s="19"/>
      <c r="H143" s="2" t="s">
        <v>76</v>
      </c>
      <c r="I143" s="2"/>
      <c r="J143" s="2"/>
    </row>
    <row r="144" ht="15" customHeight="1">
      <c r="A144" s="2" t="s">
        <v>707</v>
      </c>
      <c r="B144" s="52">
        <v>0</v>
      </c>
      <c r="C144" s="52">
        <v>0</v>
      </c>
      <c r="D144" s="52">
        <v>0</v>
      </c>
      <c r="E144" s="52">
        <v>181</v>
      </c>
      <c r="F144" s="52">
        <v>0</v>
      </c>
      <c r="G144" s="18"/>
      <c r="H144" s="2" t="s">
        <v>76</v>
      </c>
      <c r="I144" s="2"/>
      <c r="J144" s="2"/>
    </row>
    <row r="145" ht="15" customHeight="1">
      <c r="A145" s="2" t="s">
        <v>708</v>
      </c>
      <c r="B145" s="61">
        <v>65</v>
      </c>
      <c r="C145" s="70" t="s">
        <v>81</v>
      </c>
      <c r="D145" s="61">
        <v>88</v>
      </c>
      <c r="E145" s="61">
        <v>73</v>
      </c>
      <c r="F145" s="70" t="s">
        <v>81</v>
      </c>
      <c r="G145" s="70"/>
      <c r="H145" s="2" t="s">
        <v>76</v>
      </c>
      <c r="I145" s="2"/>
      <c r="J145" s="2"/>
    </row>
    <row r="146" ht="15" customHeight="1">
      <c r="A146" s="2" t="s">
        <v>709</v>
      </c>
      <c r="B146" s="61">
        <v>74</v>
      </c>
      <c r="C146" s="70" t="s">
        <v>81</v>
      </c>
      <c r="D146" s="61">
        <v>52</v>
      </c>
      <c r="E146" s="61">
        <v>69</v>
      </c>
      <c r="F146" s="70" t="s">
        <v>81</v>
      </c>
      <c r="G146" s="70"/>
      <c r="H146" s="2" t="s">
        <v>76</v>
      </c>
      <c r="I146" s="2"/>
      <c r="J146" s="2"/>
    </row>
    <row r="147" ht="15" customHeight="1">
      <c r="A147" s="2" t="s">
        <v>710</v>
      </c>
      <c r="B147" s="61">
        <v>21</v>
      </c>
      <c r="C147" s="70" t="s">
        <v>81</v>
      </c>
      <c r="D147" s="61">
        <v>23</v>
      </c>
      <c r="E147" s="61">
        <v>37</v>
      </c>
      <c r="F147" s="70" t="s">
        <v>81</v>
      </c>
      <c r="G147" s="70"/>
      <c r="H147" s="2" t="s">
        <v>76</v>
      </c>
      <c r="I147" s="2"/>
      <c r="J147" s="2"/>
    </row>
    <row r="148" ht="15" customHeight="1">
      <c r="A148" s="2" t="s">
        <v>711</v>
      </c>
      <c r="B148" s="61">
        <v>53</v>
      </c>
      <c r="C148" s="70" t="s">
        <v>81</v>
      </c>
      <c r="D148" s="61">
        <v>45</v>
      </c>
      <c r="E148" s="61">
        <v>47</v>
      </c>
      <c r="F148" s="70" t="s">
        <v>81</v>
      </c>
      <c r="G148" s="70"/>
      <c r="H148" s="2" t="s">
        <v>76</v>
      </c>
      <c r="I148" s="2"/>
      <c r="J148" s="2"/>
    </row>
    <row r="149" ht="15" customHeight="1">
      <c r="A149" s="2" t="s">
        <v>712</v>
      </c>
      <c r="B149" s="61">
        <v>3</v>
      </c>
      <c r="C149" s="70" t="s">
        <v>81</v>
      </c>
      <c r="D149" s="61">
        <v>3</v>
      </c>
      <c r="E149" s="61">
        <v>3</v>
      </c>
      <c r="F149" s="70" t="s">
        <v>81</v>
      </c>
      <c r="G149" s="70"/>
      <c r="H149" s="2" t="s">
        <v>76</v>
      </c>
      <c r="I149" s="2"/>
      <c r="J149" s="2"/>
    </row>
    <row r="150" ht="15" customHeight="1">
      <c r="A150" s="2" t="s">
        <v>713</v>
      </c>
      <c r="B150" s="70" t="s">
        <v>81</v>
      </c>
      <c r="C150" s="70" t="s">
        <v>81</v>
      </c>
      <c r="D150" s="61">
        <v>0</v>
      </c>
      <c r="E150" s="61">
        <v>2</v>
      </c>
      <c r="F150" s="70" t="s">
        <v>81</v>
      </c>
      <c r="G150" s="70"/>
      <c r="H150" s="2" t="s">
        <v>76</v>
      </c>
      <c r="I150" s="2"/>
      <c r="J150" s="2"/>
    </row>
    <row r="151" ht="15" customHeight="1">
      <c r="A151" s="2" t="s">
        <v>714</v>
      </c>
      <c r="B151" s="70" t="s">
        <v>81</v>
      </c>
      <c r="C151" s="70" t="s">
        <v>81</v>
      </c>
      <c r="D151" s="61">
        <v>1</v>
      </c>
      <c r="E151" s="61">
        <v>2</v>
      </c>
      <c r="F151" s="70" t="s">
        <v>81</v>
      </c>
      <c r="G151" s="70"/>
      <c r="H151" s="2" t="s">
        <v>76</v>
      </c>
      <c r="I151" s="2"/>
      <c r="J151" s="2"/>
    </row>
    <row r="152" ht="15" customHeight="1">
      <c r="A152" s="2" t="s">
        <v>715</v>
      </c>
      <c r="B152" s="52">
        <v>24</v>
      </c>
      <c r="C152" s="52">
        <v>28</v>
      </c>
      <c r="D152" s="52">
        <v>39</v>
      </c>
      <c r="E152" s="52">
        <v>30</v>
      </c>
      <c r="F152" s="18" t="s">
        <v>81</v>
      </c>
      <c r="G152" s="18"/>
      <c r="H152" s="2" t="s">
        <v>76</v>
      </c>
      <c r="I152" s="2"/>
      <c r="J152" s="2"/>
    </row>
    <row r="153" ht="15" customHeight="1">
      <c r="A153" s="2" t="s">
        <v>716</v>
      </c>
      <c r="B153" s="52">
        <v>87</v>
      </c>
      <c r="C153" s="18" t="s">
        <v>81</v>
      </c>
      <c r="D153" s="52">
        <v>112</v>
      </c>
      <c r="E153" s="52">
        <v>130</v>
      </c>
      <c r="F153" s="52">
        <v>338</v>
      </c>
      <c r="G153" s="18"/>
      <c r="H153" s="2" t="s">
        <v>76</v>
      </c>
      <c r="I153" s="2"/>
      <c r="J153" s="2"/>
    </row>
    <row r="154" ht="15" customHeight="1">
      <c r="A154" s="2" t="s">
        <v>212</v>
      </c>
      <c r="B154" s="61">
        <v>14</v>
      </c>
      <c r="C154" s="61">
        <v>21</v>
      </c>
      <c r="D154" s="61">
        <v>25</v>
      </c>
      <c r="E154" s="61">
        <v>32</v>
      </c>
      <c r="F154" s="61">
        <v>21</v>
      </c>
      <c r="G154" s="70"/>
      <c r="H154" s="2" t="s">
        <v>76</v>
      </c>
      <c r="I154" s="2"/>
      <c r="J154" s="2"/>
    </row>
    <row r="155" ht="15" customHeight="1">
      <c r="A155" s="2" t="s">
        <v>220</v>
      </c>
      <c r="B155" s="61">
        <v>296</v>
      </c>
      <c r="C155" s="61">
        <v>319</v>
      </c>
      <c r="D155" s="61">
        <v>334</v>
      </c>
      <c r="E155" s="61">
        <v>358</v>
      </c>
      <c r="F155" s="61">
        <v>319</v>
      </c>
      <c r="G155" s="70"/>
      <c r="H155" s="2" t="s">
        <v>76</v>
      </c>
      <c r="I155" s="2"/>
      <c r="J155" s="2"/>
    </row>
    <row r="156" ht="15" customHeight="1">
      <c r="A156" s="2" t="s">
        <v>238</v>
      </c>
      <c r="B156" s="70">
        <f t="shared" si="45" ref="B156:F156">B42-B121</f>
        <v>22</v>
      </c>
      <c r="C156" s="70">
        <f t="shared" si="45"/>
        <v>31</v>
      </c>
      <c r="D156" s="70">
        <f t="shared" si="45"/>
        <v>20</v>
      </c>
      <c r="E156" s="70">
        <f t="shared" si="45"/>
        <v>20</v>
      </c>
      <c r="F156" s="70">
        <f t="shared" si="45"/>
        <v>118</v>
      </c>
      <c r="G156" s="70"/>
      <c r="H156" s="2" t="s">
        <v>76</v>
      </c>
      <c r="I156" s="2"/>
      <c r="J156" s="2"/>
    </row>
    <row r="157" ht="15" customHeight="1">
      <c r="A157" s="2" t="s">
        <v>717</v>
      </c>
      <c r="B157" s="18">
        <f t="shared" si="46" ref="B157:F157">B156*B44/1000</f>
        <v>12.98</v>
      </c>
      <c r="C157" s="18">
        <f t="shared" si="46"/>
        <v>17.98</v>
      </c>
      <c r="D157" s="18">
        <f t="shared" si="46"/>
        <v>11</v>
      </c>
      <c r="E157" s="18">
        <f t="shared" si="46"/>
        <v>12.2</v>
      </c>
      <c r="F157" s="18">
        <f t="shared" si="46"/>
        <v>67.26</v>
      </c>
      <c r="G157" s="18"/>
      <c r="H157" s="2" t="s">
        <v>76</v>
      </c>
      <c r="I157" s="2"/>
      <c r="J157" s="2"/>
    </row>
    <row r="158" ht="15" customHeight="1">
      <c r="A158" s="2" t="s">
        <v>718</v>
      </c>
      <c r="B158" s="18">
        <f t="shared" si="47" ref="B158:F158">B51-B157</f>
        <v>13.419999999999998</v>
      </c>
      <c r="C158" s="18">
        <f t="shared" si="47"/>
        <v>13.219999999999999</v>
      </c>
      <c r="D158" s="18">
        <f t="shared" si="47"/>
        <v>16.9</v>
      </c>
      <c r="E158" s="18">
        <f t="shared" si="47"/>
        <v>11.900000000000002</v>
      </c>
      <c r="F158" s="18">
        <f t="shared" si="47"/>
        <v>46.33999999999999</v>
      </c>
      <c r="G158" s="18"/>
      <c r="H158" s="2" t="s">
        <v>76</v>
      </c>
      <c r="I158" s="2"/>
      <c r="J158" s="2"/>
    </row>
    <row r="159" ht="15" customHeight="1">
      <c r="A159" s="2" t="s">
        <v>719</v>
      </c>
      <c r="B159" s="18">
        <f t="shared" si="48" ref="B159:F159">B57*1000/B119</f>
        <v>14.144271570014144</v>
      </c>
      <c r="C159" s="18">
        <f t="shared" si="48"/>
        <v>14.016872160934458</v>
      </c>
      <c r="D159" s="18">
        <f t="shared" si="48"/>
        <v>13.510253317249699</v>
      </c>
      <c r="E159" s="18">
        <f t="shared" si="48"/>
        <v>14.220705346985211</v>
      </c>
      <c r="F159" s="18">
        <f t="shared" si="48"/>
        <v>54.51829723674384</v>
      </c>
      <c r="G159" s="18"/>
      <c r="H159" s="2" t="s">
        <v>76</v>
      </c>
      <c r="I159" s="2"/>
      <c r="J159" s="2"/>
    </row>
    <row r="160" ht="15" customHeight="1">
      <c r="A160" s="31" t="s">
        <v>465</v>
      </c>
      <c r="B160" s="19">
        <f t="shared" si="49" ref="B160:F160">B67/B45</f>
        <v>0.28429046037019456</v>
      </c>
      <c r="C160" s="19">
        <f t="shared" si="49"/>
        <v>0.28600779312787816</v>
      </c>
      <c r="D160" s="19">
        <f t="shared" si="49"/>
        <v>0.29531329970022663</v>
      </c>
      <c r="E160" s="19">
        <f t="shared" si="49"/>
        <v>0.3098839970151279</v>
      </c>
      <c r="F160" s="19">
        <f t="shared" si="49"/>
        <v>0.2860011813349084</v>
      </c>
      <c r="G160" s="19"/>
      <c r="H160" s="2" t="s">
        <v>76</v>
      </c>
      <c r="I160" s="2"/>
      <c r="J160" s="2"/>
    </row>
    <row r="161" ht="15" customHeight="1">
      <c r="A161" s="31" t="s">
        <v>466</v>
      </c>
      <c r="B161" s="19">
        <f t="shared" si="50" ref="B161:F161">B68/B50</f>
        <v>0.4035955056179775</v>
      </c>
      <c r="C161" s="19">
        <f t="shared" si="50"/>
        <v>0.35777574091047964</v>
      </c>
      <c r="D161" s="19">
        <f t="shared" si="50"/>
        <v>0.3573751674000383</v>
      </c>
      <c r="E161" s="19">
        <f t="shared" si="50"/>
        <v>0.38402644858186874</v>
      </c>
      <c r="F161" s="19">
        <f t="shared" si="50"/>
        <v>0.4289928789420142</v>
      </c>
      <c r="G161" s="19"/>
      <c r="H161" s="2" t="s">
        <v>76</v>
      </c>
      <c r="I161" s="2"/>
      <c r="J161" s="2"/>
    </row>
    <row r="162" ht="15" customHeight="1">
      <c r="A162" s="31" t="s">
        <v>467</v>
      </c>
      <c r="B162" s="19">
        <f t="shared" si="51" ref="B162:F162">B69/B56</f>
        <v>0.36394040741866834</v>
      </c>
      <c r="C162" s="19">
        <f t="shared" si="51"/>
        <v>0.35492227979274615</v>
      </c>
      <c r="D162" s="19">
        <f t="shared" si="51"/>
        <v>0.34297520661157027</v>
      </c>
      <c r="E162" s="19">
        <f t="shared" si="51"/>
        <v>0.3402351738241309</v>
      </c>
      <c r="F162" s="19">
        <f t="shared" si="51"/>
        <v>0.3570499579221177</v>
      </c>
      <c r="G162" s="19"/>
      <c r="H162" s="2" t="s">
        <v>76</v>
      </c>
      <c r="I162" s="2"/>
      <c r="J162" s="2"/>
    </row>
    <row r="163" ht="15" customHeight="1">
      <c r="A163" s="31" t="s">
        <v>268</v>
      </c>
      <c r="B163" s="19">
        <f t="shared" si="52" ref="B163:F163">1-B72/(B45+B50)</f>
        <v>0.6750526562134331</v>
      </c>
      <c r="C163" s="19">
        <f t="shared" si="52"/>
        <v>0.6786699578916799</v>
      </c>
      <c r="D163" s="19">
        <f t="shared" si="52"/>
        <v>0.6452073635209479</v>
      </c>
      <c r="E163" s="19">
        <f t="shared" si="52"/>
        <v>0.6650722374072628</v>
      </c>
      <c r="F163" s="19">
        <f t="shared" si="52"/>
        <v>0.6716678495386799</v>
      </c>
      <c r="G163" s="19"/>
      <c r="H163" s="2" t="s">
        <v>76</v>
      </c>
      <c r="I163" s="2"/>
      <c r="J163" s="2"/>
    </row>
    <row r="164" ht="15" customHeight="1">
      <c r="A164" s="31" t="s">
        <v>720</v>
      </c>
      <c r="B164" s="19">
        <f t="shared" si="53" ref="B164:F164">1-B73/B56</f>
        <v>0.6692003648525388</v>
      </c>
      <c r="C164" s="19">
        <f t="shared" si="53"/>
        <v>0.690846286701209</v>
      </c>
      <c r="D164" s="19">
        <f t="shared" si="53"/>
        <v>0.6556473829201102</v>
      </c>
      <c r="E164" s="19">
        <f t="shared" si="53"/>
        <v>0.6526073619631901</v>
      </c>
      <c r="F164" s="19">
        <f t="shared" si="53"/>
        <v>0.690306786014842</v>
      </c>
      <c r="G164" s="19"/>
      <c r="H164" s="2" t="s">
        <v>76</v>
      </c>
      <c r="I164" s="2"/>
      <c r="J164" s="2"/>
    </row>
    <row r="165" ht="15" customHeight="1">
      <c r="A165" s="31" t="s">
        <v>272</v>
      </c>
      <c r="B165" s="19">
        <f t="shared" si="54" ref="B165:F165">B76/B60</f>
        <v>0.2505274520386635</v>
      </c>
      <c r="C165" s="19">
        <f t="shared" si="54"/>
        <v>0.253822249844624</v>
      </c>
      <c r="D165" s="19">
        <f t="shared" si="54"/>
        <v>0.2500221886926422</v>
      </c>
      <c r="E165" s="19">
        <f t="shared" si="54"/>
        <v>0.23</v>
      </c>
      <c r="F165" s="19">
        <f t="shared" si="54"/>
        <v>0.25622298583589753</v>
      </c>
      <c r="G165" s="19"/>
      <c r="H165" s="2" t="s">
        <v>76</v>
      </c>
      <c r="I165" s="2"/>
      <c r="J165" s="2"/>
    </row>
    <row r="166" ht="15" customHeight="1">
      <c r="A166" s="31" t="s">
        <v>274</v>
      </c>
      <c r="B166" s="19">
        <f t="shared" si="55" ref="B166:F166">B77/B60</f>
        <v>0.14032677493744175</v>
      </c>
      <c r="C166" s="19">
        <f t="shared" si="55"/>
        <v>0.12210482701470893</v>
      </c>
      <c r="D166" s="19">
        <f t="shared" si="55"/>
        <v>0.14032129226945947</v>
      </c>
      <c r="E166" s="19">
        <f t="shared" si="55"/>
        <v>0.1284016393442623</v>
      </c>
      <c r="F166" s="19">
        <f t="shared" si="55"/>
        <v>0.1371271895690904</v>
      </c>
      <c r="G166" s="19"/>
      <c r="H166" s="2" t="s">
        <v>76</v>
      </c>
      <c r="I166" s="2"/>
      <c r="J166" s="2"/>
    </row>
    <row r="167" ht="15" customHeight="1">
      <c r="A167" s="31" t="s">
        <v>285</v>
      </c>
      <c r="B167" s="19">
        <f t="shared" si="56" ref="B167:F167">B85/B60</f>
        <v>0.27726804376625297</v>
      </c>
      <c r="C167" s="19">
        <f t="shared" si="56"/>
        <v>0.2841102133830537</v>
      </c>
      <c r="D167" s="19">
        <f t="shared" si="56"/>
        <v>0.309931658826662</v>
      </c>
      <c r="E167" s="19">
        <f t="shared" si="56"/>
        <v>0.2698360655737706</v>
      </c>
      <c r="F167" s="19">
        <f t="shared" si="56"/>
        <v>0.278085750888998</v>
      </c>
      <c r="G167" s="19"/>
      <c r="H167" s="2" t="s">
        <v>76</v>
      </c>
      <c r="I167" s="2"/>
      <c r="J167" s="2"/>
    </row>
    <row r="168" ht="15" customHeight="1">
      <c r="A168" s="31" t="s">
        <v>334</v>
      </c>
      <c r="B168" s="19">
        <f t="shared" si="57" ref="B168:F168">B111/B60</f>
        <v>0.3282959619253227</v>
      </c>
      <c r="C168" s="19">
        <f t="shared" si="57"/>
        <v>0.3334162005386369</v>
      </c>
      <c r="D168" s="19">
        <f t="shared" si="57"/>
        <v>0.29355640365669666</v>
      </c>
      <c r="E168" s="19">
        <f t="shared" si="57"/>
        <v>0.32700819672131154</v>
      </c>
      <c r="F168" s="19">
        <f t="shared" si="57"/>
        <v>0.31799188228110303</v>
      </c>
      <c r="G168" s="19"/>
      <c r="H168" s="2" t="s">
        <v>76</v>
      </c>
      <c r="I168" s="2"/>
      <c r="J168" s="2"/>
    </row>
    <row r="169" ht="15" customHeight="1">
      <c r="A169" s="2" t="s">
        <v>170</v>
      </c>
      <c r="B169" s="70">
        <f t="shared" si="58" ref="B169:F170">B24+B122</f>
        <v>197</v>
      </c>
      <c r="C169" s="70">
        <f t="shared" si="58"/>
        <v>225</v>
      </c>
      <c r="D169" s="70">
        <f t="shared" si="58"/>
        <v>150</v>
      </c>
      <c r="E169" s="70">
        <f t="shared" si="58"/>
        <v>130</v>
      </c>
      <c r="F169" s="70">
        <f t="shared" si="58"/>
        <v>696</v>
      </c>
      <c r="G169" s="70"/>
      <c r="H169" s="2" t="s">
        <v>76</v>
      </c>
      <c r="I169" s="2"/>
      <c r="J169" s="2"/>
    </row>
    <row r="170" ht="15" customHeight="1">
      <c r="A170" s="2" t="s">
        <v>176</v>
      </c>
      <c r="B170" s="70">
        <f t="shared" si="58"/>
        <v>139</v>
      </c>
      <c r="C170" s="70">
        <f t="shared" si="58"/>
        <v>138</v>
      </c>
      <c r="D170" s="70">
        <f t="shared" si="58"/>
        <v>137</v>
      </c>
      <c r="E170" s="70">
        <f t="shared" si="58"/>
        <v>169</v>
      </c>
      <c r="F170" s="70">
        <f t="shared" si="58"/>
        <v>600</v>
      </c>
      <c r="G170" s="70"/>
      <c r="H170" s="2" t="s">
        <v>76</v>
      </c>
      <c r="I170" s="2"/>
      <c r="J170" s="2"/>
    </row>
    <row r="171" ht="15" customHeight="1">
      <c r="A171" s="2" t="s">
        <v>721</v>
      </c>
      <c r="B171" s="70">
        <f t="shared" si="59" ref="B171:F171">B42+B118</f>
        <v>58</v>
      </c>
      <c r="C171" s="70">
        <f t="shared" si="59"/>
        <v>69</v>
      </c>
      <c r="D171" s="70">
        <f t="shared" si="59"/>
        <v>48</v>
      </c>
      <c r="E171" s="70">
        <f t="shared" si="59"/>
        <v>52</v>
      </c>
      <c r="F171" s="70">
        <f t="shared" si="59"/>
        <v>271</v>
      </c>
      <c r="G171" s="70"/>
      <c r="H171" s="2" t="s">
        <v>76</v>
      </c>
      <c r="I171" s="2"/>
      <c r="J171" s="2"/>
    </row>
    <row r="172" ht="15" customHeight="1">
      <c r="A172" s="2" t="s">
        <v>722</v>
      </c>
      <c r="B172" s="18">
        <f t="shared" si="60" ref="B172:F172">B80+B102</f>
        <v>94.60000000000001</v>
      </c>
      <c r="C172" s="18">
        <f t="shared" si="60"/>
        <v>87.60000000000001</v>
      </c>
      <c r="D172" s="18">
        <f t="shared" si="60"/>
        <v>91</v>
      </c>
      <c r="E172" s="18">
        <f t="shared" si="60"/>
        <v>93.10000000000001</v>
      </c>
      <c r="F172" s="18">
        <f t="shared" si="60"/>
        <v>334.09999999999997</v>
      </c>
      <c r="G172" s="18"/>
      <c r="H172" s="2" t="s">
        <v>76</v>
      </c>
      <c r="I172" s="2"/>
      <c r="J172" s="2"/>
    </row>
    <row r="173" ht="15" customHeight="1">
      <c r="A173" s="2" t="s">
        <v>332</v>
      </c>
      <c r="B173" s="18">
        <f t="shared" si="61" ref="B173:F173">B84-B104</f>
        <v>6</v>
      </c>
      <c r="C173" s="18">
        <f t="shared" si="61"/>
        <v>2.8</v>
      </c>
      <c r="D173" s="18">
        <f t="shared" si="61"/>
        <v>5.6</v>
      </c>
      <c r="E173" s="18">
        <f t="shared" si="61"/>
        <v>6.1</v>
      </c>
      <c r="F173" s="18">
        <f t="shared" si="61"/>
        <v>17.1</v>
      </c>
      <c r="G173" s="18"/>
      <c r="H173" s="2" t="s">
        <v>76</v>
      </c>
      <c r="I173" s="2"/>
      <c r="J173" s="2"/>
    </row>
    <row r="174" ht="15" customHeight="1">
      <c r="A174" s="2" t="s">
        <v>167</v>
      </c>
      <c r="B174" s="61">
        <v>5385</v>
      </c>
      <c r="C174" s="61">
        <v>5582</v>
      </c>
      <c r="D174" s="61">
        <v>5807</v>
      </c>
      <c r="E174" s="61">
        <v>5957</v>
      </c>
      <c r="F174" s="61">
        <v>5111</v>
      </c>
      <c r="G174" s="70"/>
      <c r="H174" s="2" t="s">
        <v>76</v>
      </c>
      <c r="I174" s="2"/>
      <c r="J174" s="2"/>
    </row>
    <row r="175" ht="15" customHeight="1">
      <c r="A175" s="2" t="s">
        <v>173</v>
      </c>
      <c r="B175" s="61">
        <v>3818</v>
      </c>
      <c r="C175" s="61">
        <v>3957</v>
      </c>
      <c r="D175" s="61">
        <v>4095</v>
      </c>
      <c r="E175" s="61">
        <v>4232</v>
      </c>
      <c r="F175" s="61">
        <v>3495</v>
      </c>
      <c r="G175" s="70"/>
      <c r="H175" s="2" t="s">
        <v>76</v>
      </c>
      <c r="I175" s="2"/>
      <c r="J175" s="2"/>
    </row>
    <row r="176" ht="15" customHeight="1">
      <c r="A176" s="2" t="s">
        <v>172</v>
      </c>
      <c r="B176" s="70">
        <f t="shared" si="62" ref="B176:F177">(B174+B38)/2</f>
        <v>5483.5</v>
      </c>
      <c r="C176" s="70">
        <f t="shared" si="62"/>
        <v>5694.5</v>
      </c>
      <c r="D176" s="70">
        <f t="shared" si="62"/>
        <v>5882</v>
      </c>
      <c r="E176" s="70">
        <f t="shared" si="62"/>
        <v>6022</v>
      </c>
      <c r="F176" s="70">
        <f t="shared" si="62"/>
        <v>5459</v>
      </c>
      <c r="G176" s="70"/>
      <c r="H176" s="2" t="s">
        <v>76</v>
      </c>
      <c r="I176" s="2"/>
      <c r="J176" s="2"/>
    </row>
    <row r="177" ht="15" customHeight="1">
      <c r="A177" s="2" t="s">
        <v>178</v>
      </c>
      <c r="B177" s="70">
        <f t="shared" si="62"/>
        <v>3887.5</v>
      </c>
      <c r="C177" s="70">
        <f t="shared" si="62"/>
        <v>4026</v>
      </c>
      <c r="D177" s="70">
        <f t="shared" si="62"/>
        <v>4163.5</v>
      </c>
      <c r="E177" s="70">
        <f t="shared" si="62"/>
        <v>4316.5</v>
      </c>
      <c r="F177" s="70">
        <f t="shared" si="62"/>
        <v>3795</v>
      </c>
      <c r="G177" s="70"/>
      <c r="H177" s="2" t="s">
        <v>76</v>
      </c>
      <c r="I177" s="2"/>
      <c r="J177" s="2"/>
    </row>
    <row r="178" ht="15" customHeight="1">
      <c r="A178" s="2" t="s">
        <v>188</v>
      </c>
      <c r="B178" s="70" t="s">
        <v>78</v>
      </c>
      <c r="C178" s="70">
        <f t="shared" si="63" ref="C178:E179">C40-B40-C26</f>
        <v>-64</v>
      </c>
      <c r="D178" s="70">
        <f t="shared" si="63"/>
        <v>-90</v>
      </c>
      <c r="E178" s="70">
        <f t="shared" si="63"/>
        <v>-76</v>
      </c>
      <c r="F178" s="70" t="s">
        <v>78</v>
      </c>
      <c r="G178" s="70"/>
      <c r="H178" s="2" t="s">
        <v>76</v>
      </c>
      <c r="I178" s="2"/>
      <c r="J178" s="2"/>
    </row>
    <row r="179" ht="15" customHeight="1">
      <c r="A179" s="2" t="s">
        <v>192</v>
      </c>
      <c r="B179" s="70" t="s">
        <v>78</v>
      </c>
      <c r="C179" s="70">
        <f t="shared" si="63"/>
        <v>0</v>
      </c>
      <c r="D179" s="70">
        <f t="shared" si="63"/>
        <v>-1</v>
      </c>
      <c r="E179" s="70">
        <f t="shared" si="63"/>
        <v>-36</v>
      </c>
      <c r="F179" s="70" t="s">
        <v>78</v>
      </c>
      <c r="G179" s="70"/>
      <c r="H179" s="2" t="s">
        <v>76</v>
      </c>
      <c r="I179" s="2"/>
      <c r="J179" s="2"/>
    </row>
    <row r="180" ht="15" customHeight="1">
      <c r="A180" s="2" t="s">
        <v>211</v>
      </c>
      <c r="B180" s="70" t="s">
        <v>78</v>
      </c>
      <c r="C180" s="70">
        <f t="shared" si="64" ref="C180:E180">C154-B154</f>
        <v>7</v>
      </c>
      <c r="D180" s="70">
        <f t="shared" si="64"/>
        <v>4</v>
      </c>
      <c r="E180" s="70">
        <f t="shared" si="64"/>
        <v>7</v>
      </c>
      <c r="F180" s="70" t="s">
        <v>78</v>
      </c>
      <c r="G180" s="70"/>
      <c r="H180" s="2" t="s">
        <v>76</v>
      </c>
      <c r="I180" s="2"/>
      <c r="J180" s="2"/>
    </row>
    <row r="181" ht="15" customHeight="1">
      <c r="A181" s="2" t="s">
        <v>217</v>
      </c>
      <c r="B181" s="70" t="s">
        <v>78</v>
      </c>
      <c r="C181" s="70">
        <f t="shared" si="65" ref="C181:E181">C155-B155-C121</f>
        <v>-15</v>
      </c>
      <c r="D181" s="70">
        <f t="shared" si="65"/>
        <v>-14</v>
      </c>
      <c r="E181" s="70">
        <f t="shared" si="65"/>
        <v>-10</v>
      </c>
      <c r="F181" s="70" t="s">
        <v>78</v>
      </c>
      <c r="G181" s="70"/>
      <c r="H181" s="2" t="s">
        <v>76</v>
      </c>
      <c r="I181" s="2"/>
      <c r="J181" s="2"/>
    </row>
    <row r="182" ht="15" customHeight="1">
      <c r="A182" s="2" t="s">
        <v>213</v>
      </c>
      <c r="B182" s="61">
        <v>722</v>
      </c>
      <c r="C182" s="61">
        <v>784</v>
      </c>
      <c r="D182" s="61">
        <v>828</v>
      </c>
      <c r="E182" s="61">
        <v>873</v>
      </c>
      <c r="F182" s="61">
        <v>784</v>
      </c>
      <c r="G182" s="70"/>
      <c r="H182" s="2" t="s">
        <v>76</v>
      </c>
      <c r="I182" s="2"/>
      <c r="J182" s="2"/>
    </row>
    <row r="183" ht="15" customHeight="1">
      <c r="A183" s="2" t="s">
        <v>488</v>
      </c>
      <c r="B183" s="18">
        <f t="shared" si="66" ref="B183:F183">B86-B87</f>
        <v>6.899999999999977</v>
      </c>
      <c r="C183" s="18">
        <f t="shared" si="66"/>
        <v>7.5</v>
      </c>
      <c r="D183" s="18">
        <f t="shared" si="66"/>
        <v>7.100000000000023</v>
      </c>
      <c r="E183" s="18">
        <f t="shared" si="66"/>
        <v>5.600000000000023</v>
      </c>
      <c r="F183" s="18">
        <f t="shared" si="66"/>
        <v>6.800000000000011</v>
      </c>
      <c r="G183" s="18"/>
      <c r="H183" s="2" t="s">
        <v>76</v>
      </c>
      <c r="I183" s="2"/>
      <c r="J183" s="2"/>
    </row>
    <row r="184" ht="15" customHeight="1">
      <c r="A184" s="2" t="s">
        <v>723</v>
      </c>
      <c r="B184" s="23" t="s">
        <v>81</v>
      </c>
      <c r="C184" s="23" t="s">
        <v>81</v>
      </c>
      <c r="D184" s="23" t="s">
        <v>81</v>
      </c>
      <c r="E184" s="89">
        <v>517.7</v>
      </c>
      <c r="F184" s="23" t="s">
        <v>81</v>
      </c>
      <c r="G184" s="23"/>
      <c r="H184" s="2" t="s">
        <v>76</v>
      </c>
      <c r="I184" s="2"/>
      <c r="J184" s="2"/>
    </row>
    <row r="185" ht="15" customHeight="1">
      <c r="A185" s="2" t="s">
        <v>305</v>
      </c>
      <c r="B185" s="18" t="s">
        <v>81</v>
      </c>
      <c r="C185" s="18" t="s">
        <v>81</v>
      </c>
      <c r="D185" s="18">
        <f t="shared" si="67" ref="D185:D187">G185-E185</f>
        <v>-145.4</v>
      </c>
      <c r="E185" s="52">
        <v>-32.9</v>
      </c>
      <c r="F185" s="18" t="s">
        <v>81</v>
      </c>
      <c r="G185" s="52">
        <v>-178.3</v>
      </c>
      <c r="H185" s="2" t="s">
        <v>517</v>
      </c>
      <c r="I185" s="2"/>
      <c r="J185" s="2"/>
    </row>
    <row r="186" ht="15" customHeight="1">
      <c r="A186" s="2" t="s">
        <v>306</v>
      </c>
      <c r="B186" s="18" t="s">
        <v>81</v>
      </c>
      <c r="C186" s="18" t="s">
        <v>81</v>
      </c>
      <c r="D186" s="18">
        <f t="shared" si="67"/>
        <v>10.7</v>
      </c>
      <c r="E186" s="52">
        <v>10.7</v>
      </c>
      <c r="F186" s="18" t="s">
        <v>81</v>
      </c>
      <c r="G186" s="52">
        <v>21.4</v>
      </c>
      <c r="H186" s="2" t="s">
        <v>517</v>
      </c>
      <c r="I186" s="2"/>
      <c r="J186" s="2"/>
    </row>
    <row r="187" ht="15" customHeight="1">
      <c r="A187" s="2" t="s">
        <v>307</v>
      </c>
      <c r="B187" s="18" t="s">
        <v>81</v>
      </c>
      <c r="C187" s="18" t="s">
        <v>81</v>
      </c>
      <c r="D187" s="18">
        <f t="shared" si="67"/>
        <v>-91.9</v>
      </c>
      <c r="E187" s="52">
        <v>-45.6</v>
      </c>
      <c r="F187" s="18" t="s">
        <v>81</v>
      </c>
      <c r="G187" s="52">
        <v>-137.5</v>
      </c>
      <c r="H187" s="2" t="s">
        <v>517</v>
      </c>
      <c r="I187" s="2"/>
      <c r="J187" s="2"/>
    </row>
    <row r="188" ht="1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ht="15" customHeight="1">
      <c r="A189" s="30" t="s">
        <v>724</v>
      </c>
      <c r="B189" s="30"/>
      <c r="C189" s="30"/>
      <c r="D189" s="30"/>
      <c r="E189" s="30"/>
      <c r="F189" s="30"/>
      <c r="G189" s="30"/>
      <c r="H189" s="30"/>
      <c r="I189" s="30"/>
      <c r="J189" s="30"/>
    </row>
    <row r="190" ht="15" customHeight="1">
      <c r="A190" s="100" t="s">
        <v>725</v>
      </c>
      <c r="B190" s="15" t="s">
        <v>726</v>
      </c>
      <c r="C190" s="15" t="s">
        <v>727</v>
      </c>
      <c r="D190" s="15" t="s">
        <v>71</v>
      </c>
      <c r="E190" s="15" t="s">
        <v>728</v>
      </c>
      <c r="F190" s="15" t="s">
        <v>729</v>
      </c>
      <c r="G190" s="15"/>
      <c r="H190" s="15"/>
      <c r="I190" s="15"/>
      <c r="J190" s="15"/>
    </row>
    <row r="191" ht="15" customHeight="1">
      <c r="A191" s="2" t="s">
        <v>730</v>
      </c>
      <c r="B191" s="101">
        <f>DATE(2025,6,30)</f>
        <v>45838</v>
      </c>
      <c r="C191" s="101">
        <f>DATE(2025,9,30)</f>
        <v>45930</v>
      </c>
      <c r="D191" s="101">
        <f>DATE(2025,12,31)</f>
        <v>46022</v>
      </c>
      <c r="E191" s="101">
        <f>DATE(2026,3,31)</f>
        <v>46112</v>
      </c>
      <c r="F191" s="101">
        <f>DATE(2026,6,30)</f>
        <v>46203</v>
      </c>
      <c r="G191" s="2"/>
      <c r="H191" s="2"/>
      <c r="I191" s="2"/>
      <c r="J191" s="2"/>
    </row>
    <row r="192" ht="15" customHeight="1">
      <c r="A192" s="2" t="s">
        <v>282</v>
      </c>
      <c r="B192" s="52">
        <v>1367.9</v>
      </c>
      <c r="C192" s="52">
        <v>2077.1</v>
      </c>
      <c r="D192" s="52">
        <v>2876.6</v>
      </c>
      <c r="E192" s="52">
        <v>826</v>
      </c>
      <c r="F192" s="52">
        <v>1649.2</v>
      </c>
      <c r="G192" s="18"/>
      <c r="H192" s="107" t="s">
        <v>359</v>
      </c>
      <c r="I192" s="2"/>
      <c r="J192" s="2"/>
    </row>
    <row r="193" ht="15" customHeight="1">
      <c r="A193" s="2" t="s">
        <v>404</v>
      </c>
      <c r="B193" s="52">
        <v>289.6</v>
      </c>
      <c r="C193" s="52">
        <v>446.3</v>
      </c>
      <c r="D193" s="52">
        <v>614.7</v>
      </c>
      <c r="E193" s="52">
        <v>178.9</v>
      </c>
      <c r="F193" s="52">
        <v>371.2</v>
      </c>
      <c r="G193" s="18"/>
      <c r="H193" s="107" t="s">
        <v>359</v>
      </c>
      <c r="I193" s="2"/>
      <c r="J193" s="2"/>
    </row>
    <row r="194" ht="15" customHeight="1">
      <c r="A194" s="2" t="s">
        <v>405</v>
      </c>
      <c r="B194" s="52">
        <v>24.4</v>
      </c>
      <c r="C194" s="18">
        <f>C195+C196</f>
        <v>37.3</v>
      </c>
      <c r="D194" s="52">
        <v>62.4</v>
      </c>
      <c r="E194" s="52">
        <v>21.1</v>
      </c>
      <c r="F194" s="52">
        <v>59.9</v>
      </c>
      <c r="G194" s="18"/>
      <c r="H194" s="107" t="s">
        <v>359</v>
      </c>
      <c r="I194" s="2"/>
      <c r="J194" s="2"/>
    </row>
    <row r="195" ht="15" customHeight="1">
      <c r="A195" s="2" t="s">
        <v>731</v>
      </c>
      <c r="B195" s="18" t="s">
        <v>81</v>
      </c>
      <c r="C195" s="52">
        <v>9.9</v>
      </c>
      <c r="D195" s="18" t="s">
        <v>81</v>
      </c>
      <c r="E195" s="18" t="s">
        <v>81</v>
      </c>
      <c r="F195" s="18" t="s">
        <v>81</v>
      </c>
      <c r="G195" s="18"/>
      <c r="H195" s="107" t="s">
        <v>359</v>
      </c>
      <c r="I195" s="2"/>
      <c r="J195" s="2"/>
    </row>
    <row r="196" ht="15" customHeight="1">
      <c r="A196" s="2" t="s">
        <v>732</v>
      </c>
      <c r="B196" s="18" t="s">
        <v>81</v>
      </c>
      <c r="C196" s="52">
        <v>27.4</v>
      </c>
      <c r="D196" s="18" t="s">
        <v>81</v>
      </c>
      <c r="E196" s="18" t="s">
        <v>81</v>
      </c>
      <c r="F196" s="18" t="s">
        <v>81</v>
      </c>
      <c r="G196" s="18"/>
      <c r="H196" s="107" t="s">
        <v>359</v>
      </c>
      <c r="I196" s="2"/>
      <c r="J196" s="2"/>
    </row>
    <row r="197" ht="15" customHeight="1">
      <c r="A197" s="2" t="s">
        <v>406</v>
      </c>
      <c r="B197" s="52">
        <v>-27.4</v>
      </c>
      <c r="C197" s="52">
        <v>-42.3</v>
      </c>
      <c r="D197" s="52">
        <v>-57.2</v>
      </c>
      <c r="E197" s="52">
        <v>-10.2</v>
      </c>
      <c r="F197" s="52">
        <v>-19</v>
      </c>
      <c r="G197" s="18"/>
      <c r="H197" s="107" t="s">
        <v>359</v>
      </c>
      <c r="I197" s="2"/>
      <c r="J197" s="2"/>
    </row>
    <row r="198" ht="15" customHeight="1">
      <c r="A198" s="2" t="s">
        <v>407</v>
      </c>
      <c r="B198" s="52">
        <v>0</v>
      </c>
      <c r="C198" s="52">
        <v>0</v>
      </c>
      <c r="D198" s="52">
        <v>-1</v>
      </c>
      <c r="E198" s="52">
        <v>-7.9</v>
      </c>
      <c r="F198" s="52">
        <v>-7.9</v>
      </c>
      <c r="G198" s="18"/>
      <c r="H198" s="107" t="s">
        <v>359</v>
      </c>
      <c r="I198" s="2"/>
      <c r="J198" s="2"/>
    </row>
    <row r="199" ht="15" customHeight="1">
      <c r="A199" s="2" t="s">
        <v>408</v>
      </c>
      <c r="B199" s="52">
        <v>-29.4</v>
      </c>
      <c r="C199" s="52">
        <v>58.6</v>
      </c>
      <c r="D199" s="52">
        <v>19.1</v>
      </c>
      <c r="E199" s="52">
        <v>339.3</v>
      </c>
      <c r="F199" s="52">
        <v>370.3</v>
      </c>
      <c r="G199" s="18"/>
      <c r="H199" s="107" t="s">
        <v>359</v>
      </c>
      <c r="I199" s="2"/>
      <c r="J199" s="2"/>
    </row>
    <row r="200" ht="15" customHeight="1">
      <c r="A200" s="2" t="s">
        <v>733</v>
      </c>
      <c r="B200" s="52">
        <v>381.4</v>
      </c>
      <c r="C200" s="52">
        <v>584.9</v>
      </c>
      <c r="D200" s="52">
        <v>788.2</v>
      </c>
      <c r="E200" s="52">
        <v>209.5</v>
      </c>
      <c r="F200" s="52">
        <v>419.4</v>
      </c>
      <c r="G200" s="18"/>
      <c r="H200" s="107" t="s">
        <v>359</v>
      </c>
      <c r="I200" s="2"/>
      <c r="J200" s="2"/>
    </row>
    <row r="201" ht="15" customHeight="1">
      <c r="A201" s="2" t="s">
        <v>734</v>
      </c>
      <c r="B201" s="52">
        <v>-44.1</v>
      </c>
      <c r="C201" s="52">
        <v>-34.2</v>
      </c>
      <c r="D201" s="52">
        <v>-301.7</v>
      </c>
      <c r="E201" s="52">
        <v>25.1</v>
      </c>
      <c r="F201" s="52">
        <v>-49.8</v>
      </c>
      <c r="G201" s="18"/>
      <c r="H201" s="107" t="s">
        <v>359</v>
      </c>
      <c r="I201" s="2"/>
      <c r="J201" s="2"/>
    </row>
    <row r="202" ht="15" customHeight="1">
      <c r="A202" s="2" t="s">
        <v>362</v>
      </c>
      <c r="B202" s="52">
        <v>-494.2</v>
      </c>
      <c r="C202" s="52">
        <v>-810.4</v>
      </c>
      <c r="D202" s="52">
        <v>-1063.4</v>
      </c>
      <c r="E202" s="52">
        <v>-266.6</v>
      </c>
      <c r="F202" s="52">
        <v>-514.6</v>
      </c>
      <c r="G202" s="18"/>
      <c r="H202" s="107" t="s">
        <v>359</v>
      </c>
      <c r="I202" s="2"/>
      <c r="J202" s="2"/>
    </row>
    <row r="203" ht="15" customHeight="1">
      <c r="A203" s="2" t="s">
        <v>735</v>
      </c>
      <c r="B203" s="52">
        <v>-141.8</v>
      </c>
      <c r="C203" s="52">
        <v>-248.9</v>
      </c>
      <c r="D203" s="52">
        <v>-187.1</v>
      </c>
      <c r="E203" s="52">
        <v>-269.3</v>
      </c>
      <c r="F203" s="52">
        <v>-179</v>
      </c>
      <c r="G203" s="18"/>
      <c r="H203" s="107" t="s">
        <v>359</v>
      </c>
      <c r="I203" s="2"/>
      <c r="J203" s="2"/>
    </row>
    <row r="204" ht="15" customHeight="1">
      <c r="A204" s="2" t="s">
        <v>372</v>
      </c>
      <c r="B204" s="52">
        <v>72.4</v>
      </c>
      <c r="C204" s="52">
        <v>97</v>
      </c>
      <c r="D204" s="52">
        <v>57.9</v>
      </c>
      <c r="E204" s="52">
        <v>73.9</v>
      </c>
      <c r="F204" s="52">
        <v>21.4</v>
      </c>
      <c r="G204" s="18"/>
      <c r="H204" s="107" t="s">
        <v>359</v>
      </c>
      <c r="I204" s="2"/>
      <c r="J204" s="2"/>
    </row>
    <row r="205" ht="15" customHeight="1">
      <c r="A205" s="2" t="s">
        <v>373</v>
      </c>
      <c r="B205" s="52">
        <v>-114.9</v>
      </c>
      <c r="C205" s="52">
        <v>-80.2</v>
      </c>
      <c r="D205" s="52">
        <v>112.7</v>
      </c>
      <c r="E205" s="52">
        <v>-284.7</v>
      </c>
      <c r="F205" s="52">
        <v>-229.7</v>
      </c>
      <c r="G205" s="18"/>
      <c r="H205" s="107" t="s">
        <v>359</v>
      </c>
      <c r="I205" s="2"/>
      <c r="J205" s="2"/>
    </row>
    <row r="206" ht="15" customHeight="1">
      <c r="A206" s="2" t="s">
        <v>374</v>
      </c>
      <c r="B206" s="52">
        <v>48.8</v>
      </c>
      <c r="C206" s="52">
        <v>47.6</v>
      </c>
      <c r="D206" s="52">
        <v>75.2</v>
      </c>
      <c r="E206" s="52">
        <v>46.1</v>
      </c>
      <c r="F206" s="52">
        <v>44.7</v>
      </c>
      <c r="G206" s="18"/>
      <c r="H206" s="107" t="s">
        <v>359</v>
      </c>
      <c r="I206" s="2"/>
      <c r="J206" s="2"/>
    </row>
    <row r="207" ht="15" customHeight="1">
      <c r="A207" s="2" t="s">
        <v>736</v>
      </c>
      <c r="B207" s="52">
        <v>-35.7</v>
      </c>
      <c r="C207" s="52">
        <v>5.2</v>
      </c>
      <c r="D207" s="52">
        <v>34.1</v>
      </c>
      <c r="E207" s="52">
        <v>30.7</v>
      </c>
      <c r="F207" s="52">
        <v>36.8</v>
      </c>
      <c r="G207" s="18"/>
      <c r="H207" s="107" t="s">
        <v>359</v>
      </c>
      <c r="I207" s="2"/>
      <c r="J207" s="2"/>
    </row>
    <row r="208" ht="15" customHeight="1">
      <c r="A208" s="2" t="s">
        <v>416</v>
      </c>
      <c r="B208" s="52">
        <v>1297</v>
      </c>
      <c r="C208" s="52">
        <v>2138</v>
      </c>
      <c r="D208" s="52">
        <v>3030.5</v>
      </c>
      <c r="E208" s="52">
        <v>911.9</v>
      </c>
      <c r="F208" s="52">
        <v>1972.9</v>
      </c>
      <c r="G208" s="18"/>
      <c r="H208" s="107" t="s">
        <v>359</v>
      </c>
      <c r="I208" s="2"/>
      <c r="J208" s="2"/>
    </row>
    <row r="209" ht="15" customHeight="1">
      <c r="A209" s="2" t="s">
        <v>420</v>
      </c>
      <c r="B209" s="52">
        <v>-691.8</v>
      </c>
      <c r="C209" s="52">
        <v>-790.9</v>
      </c>
      <c r="D209" s="52">
        <v>-1215.9</v>
      </c>
      <c r="E209" s="52">
        <v>-911.3</v>
      </c>
      <c r="F209" s="52">
        <v>-1349.1</v>
      </c>
      <c r="G209" s="18"/>
      <c r="H209" s="107" t="s">
        <v>359</v>
      </c>
      <c r="I209" s="2"/>
      <c r="J209" s="2"/>
    </row>
    <row r="210" ht="15" customHeight="1">
      <c r="A210" s="2" t="s">
        <v>421</v>
      </c>
      <c r="B210" s="52">
        <v>249.1</v>
      </c>
      <c r="C210" s="52">
        <v>249.1</v>
      </c>
      <c r="D210" s="52">
        <v>259.9</v>
      </c>
      <c r="E210" s="52">
        <v>0</v>
      </c>
      <c r="F210" s="52">
        <v>0.1</v>
      </c>
      <c r="G210" s="18"/>
      <c r="H210" s="107" t="s">
        <v>359</v>
      </c>
      <c r="I210" s="2"/>
      <c r="J210" s="2"/>
    </row>
    <row r="211" ht="15" customHeight="1">
      <c r="A211" s="2" t="s">
        <v>422</v>
      </c>
      <c r="B211" s="52">
        <v>1190</v>
      </c>
      <c r="C211" s="52">
        <v>1795.5</v>
      </c>
      <c r="D211" s="52">
        <v>2175.5</v>
      </c>
      <c r="E211" s="52">
        <v>582.3</v>
      </c>
      <c r="F211" s="52">
        <v>1106</v>
      </c>
      <c r="G211" s="18"/>
      <c r="H211" s="107" t="s">
        <v>359</v>
      </c>
      <c r="I211" s="2"/>
      <c r="J211" s="2"/>
    </row>
    <row r="212" ht="15" customHeight="1">
      <c r="A212" s="2" t="s">
        <v>423</v>
      </c>
      <c r="B212" s="52">
        <v>0</v>
      </c>
      <c r="C212" s="52">
        <v>0</v>
      </c>
      <c r="D212" s="52">
        <v>0</v>
      </c>
      <c r="E212" s="52">
        <v>46</v>
      </c>
      <c r="F212" s="52">
        <v>46</v>
      </c>
      <c r="G212" s="18"/>
      <c r="H212" s="107" t="s">
        <v>359</v>
      </c>
      <c r="I212" s="2"/>
      <c r="J212" s="2"/>
    </row>
    <row r="213" ht="15" customHeight="1">
      <c r="A213" s="2" t="s">
        <v>737</v>
      </c>
      <c r="B213" s="52">
        <v>-271.9</v>
      </c>
      <c r="C213" s="52">
        <v>-377.3</v>
      </c>
      <c r="D213" s="52">
        <v>-539.8</v>
      </c>
      <c r="E213" s="52">
        <v>-103.3</v>
      </c>
      <c r="F213" s="52">
        <v>-215.9</v>
      </c>
      <c r="G213" s="18"/>
      <c r="H213" s="107" t="s">
        <v>359</v>
      </c>
      <c r="I213" s="2"/>
      <c r="J213" s="2"/>
    </row>
    <row r="214" ht="15" customHeight="1">
      <c r="A214" s="2" t="s">
        <v>425</v>
      </c>
      <c r="B214" s="52">
        <v>-1.2</v>
      </c>
      <c r="C214" s="52">
        <v>-1.2</v>
      </c>
      <c r="D214" s="52">
        <v>-13.9</v>
      </c>
      <c r="E214" s="52">
        <v>-528.2</v>
      </c>
      <c r="F214" s="52">
        <v>-528.2</v>
      </c>
      <c r="G214" s="18"/>
      <c r="H214" s="107" t="s">
        <v>359</v>
      </c>
      <c r="I214" s="2"/>
      <c r="J214" s="2"/>
    </row>
    <row r="215" ht="15" customHeight="1">
      <c r="A215" s="2" t="s">
        <v>426</v>
      </c>
      <c r="B215" s="52">
        <v>474.2</v>
      </c>
      <c r="C215" s="52">
        <v>875.2</v>
      </c>
      <c r="D215" s="52">
        <v>665.8</v>
      </c>
      <c r="E215" s="52">
        <v>-914.5</v>
      </c>
      <c r="F215" s="52">
        <v>-941.1</v>
      </c>
      <c r="G215" s="18"/>
      <c r="H215" s="107" t="s">
        <v>359</v>
      </c>
      <c r="I215" s="2"/>
      <c r="J215" s="2"/>
    </row>
    <row r="216" ht="15" customHeight="1">
      <c r="A216" s="2" t="s">
        <v>430</v>
      </c>
      <c r="B216" s="52">
        <v>183.7</v>
      </c>
      <c r="C216" s="52">
        <v>273.7</v>
      </c>
      <c r="D216" s="52">
        <v>350.3</v>
      </c>
      <c r="E216" s="52">
        <v>121.8</v>
      </c>
      <c r="F216" s="52">
        <v>187.4</v>
      </c>
      <c r="G216" s="18"/>
      <c r="H216" s="107" t="s">
        <v>359</v>
      </c>
      <c r="I216" s="2"/>
      <c r="J216" s="2"/>
    </row>
    <row r="217" ht="15" customHeight="1">
      <c r="A217" s="2" t="s">
        <v>431</v>
      </c>
      <c r="B217" s="52">
        <v>-386.3</v>
      </c>
      <c r="C217" s="52">
        <v>-406</v>
      </c>
      <c r="D217" s="52">
        <v>-419.1</v>
      </c>
      <c r="E217" s="52">
        <v>-352.3</v>
      </c>
      <c r="F217" s="52">
        <v>-365.4</v>
      </c>
      <c r="G217" s="18"/>
      <c r="H217" s="107" t="s">
        <v>359</v>
      </c>
      <c r="I217" s="2"/>
      <c r="J217" s="2"/>
    </row>
    <row r="218" ht="15" customHeight="1">
      <c r="A218" s="2" t="s">
        <v>432</v>
      </c>
      <c r="B218" s="52">
        <v>-181</v>
      </c>
      <c r="C218" s="52">
        <v>-2094.3</v>
      </c>
      <c r="D218" s="52">
        <v>-2295.3</v>
      </c>
      <c r="E218" s="52">
        <v>-1123.2</v>
      </c>
      <c r="F218" s="52">
        <v>-1443.5</v>
      </c>
      <c r="G218" s="18"/>
      <c r="H218" s="107" t="s">
        <v>359</v>
      </c>
      <c r="I218" s="2"/>
      <c r="J218" s="2"/>
    </row>
    <row r="219" ht="15" customHeight="1">
      <c r="A219" s="2" t="s">
        <v>433</v>
      </c>
      <c r="B219" s="52">
        <v>0</v>
      </c>
      <c r="C219" s="52">
        <v>0</v>
      </c>
      <c r="D219" s="52">
        <v>0</v>
      </c>
      <c r="E219" s="52">
        <v>0</v>
      </c>
      <c r="F219" s="52">
        <v>-20.1</v>
      </c>
      <c r="G219" s="18"/>
      <c r="H219" s="107" t="s">
        <v>359</v>
      </c>
      <c r="I219" s="2"/>
      <c r="J219" s="2"/>
    </row>
    <row r="220" ht="15" customHeight="1">
      <c r="A220" s="2" t="s">
        <v>434</v>
      </c>
      <c r="B220" s="52">
        <v>-383.6</v>
      </c>
      <c r="C220" s="52">
        <v>-2226.6</v>
      </c>
      <c r="D220" s="52">
        <v>-2364.1</v>
      </c>
      <c r="E220" s="52">
        <v>-1353.7</v>
      </c>
      <c r="F220" s="52">
        <v>-1641.6</v>
      </c>
      <c r="G220" s="18"/>
      <c r="H220" s="107" t="s">
        <v>359</v>
      </c>
      <c r="I220" s="2"/>
      <c r="J220" s="2"/>
    </row>
    <row r="221" ht="15" customHeight="1">
      <c r="A221" s="2" t="s">
        <v>738</v>
      </c>
      <c r="B221" s="52">
        <v>-3.5</v>
      </c>
      <c r="C221" s="52">
        <v>0.5</v>
      </c>
      <c r="D221" s="52">
        <v>12.8</v>
      </c>
      <c r="E221" s="52">
        <v>1</v>
      </c>
      <c r="F221" s="52">
        <v>8.1</v>
      </c>
      <c r="G221" s="18"/>
      <c r="H221" s="107" t="s">
        <v>359</v>
      </c>
      <c r="I221" s="2"/>
      <c r="J221" s="2"/>
    </row>
    <row r="222" ht="15" customHeight="1">
      <c r="A222" s="2" t="s">
        <v>437</v>
      </c>
      <c r="B222" s="52">
        <v>1384.1</v>
      </c>
      <c r="C222" s="52">
        <v>787.1</v>
      </c>
      <c r="D222" s="52">
        <v>1345</v>
      </c>
      <c r="E222" s="52">
        <v>-1355.3</v>
      </c>
      <c r="F222" s="52">
        <v>-601.7</v>
      </c>
      <c r="G222" s="18"/>
      <c r="H222" s="107" t="s">
        <v>359</v>
      </c>
      <c r="I222" s="2"/>
      <c r="J222" s="2"/>
    </row>
    <row r="223" ht="15" customHeight="1">
      <c r="A223" s="2" t="s">
        <v>739</v>
      </c>
      <c r="B223" s="52">
        <v>2062.4</v>
      </c>
      <c r="C223" s="52">
        <v>2062.4</v>
      </c>
      <c r="D223" s="52">
        <v>2062.4</v>
      </c>
      <c r="E223" s="52">
        <v>3407.4</v>
      </c>
      <c r="F223" s="52">
        <v>3407.4</v>
      </c>
      <c r="G223" s="18"/>
      <c r="H223" s="107" t="s">
        <v>359</v>
      </c>
      <c r="I223" s="2"/>
      <c r="J223" s="2"/>
    </row>
    <row r="224" ht="15" customHeight="1">
      <c r="A224" s="2" t="s">
        <v>740</v>
      </c>
      <c r="B224" s="52">
        <v>3446.5</v>
      </c>
      <c r="C224" s="52">
        <v>2849.5</v>
      </c>
      <c r="D224" s="52">
        <v>3407.4</v>
      </c>
      <c r="E224" s="52">
        <v>2052.1</v>
      </c>
      <c r="F224" s="52">
        <v>2805.7</v>
      </c>
      <c r="G224" s="18"/>
      <c r="H224" s="107" t="s">
        <v>359</v>
      </c>
      <c r="I224" s="2"/>
      <c r="J224" s="2"/>
    </row>
    <row r="225" ht="15" customHeight="1">
      <c r="A225" s="2" t="s">
        <v>448</v>
      </c>
      <c r="B225" s="52">
        <v>357.2</v>
      </c>
      <c r="C225" s="18" t="s">
        <v>81</v>
      </c>
      <c r="D225" s="18" t="s">
        <v>81</v>
      </c>
      <c r="E225" s="18" t="s">
        <v>81</v>
      </c>
      <c r="F225" s="52">
        <v>419.3</v>
      </c>
      <c r="G225" s="18"/>
      <c r="H225" s="107" t="s">
        <v>359</v>
      </c>
      <c r="I225" s="2"/>
      <c r="J225" s="2"/>
    </row>
    <row r="226" ht="1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ht="15" customHeight="1">
      <c r="A227" s="30" t="s">
        <v>741</v>
      </c>
      <c r="B227" s="30"/>
      <c r="C227" s="30"/>
      <c r="D227" s="30"/>
      <c r="E227" s="30"/>
      <c r="F227" s="30"/>
      <c r="G227" s="30"/>
      <c r="H227" s="30"/>
      <c r="I227" s="30"/>
      <c r="J227" s="30"/>
    </row>
    <row r="228" ht="15" customHeight="1">
      <c r="A228" s="2" t="s">
        <v>742</v>
      </c>
      <c r="B228" s="108" t="s">
        <v>743</v>
      </c>
      <c r="C228" s="2"/>
      <c r="D228" s="2"/>
      <c r="E228" s="2"/>
      <c r="F228" s="2"/>
      <c r="G228" s="2"/>
      <c r="H228" s="2"/>
      <c r="I228" s="2"/>
      <c r="J228" s="2"/>
    </row>
    <row r="229" ht="15" customHeight="1">
      <c r="A229" s="2" t="s">
        <v>744</v>
      </c>
      <c r="B229" s="108" t="s">
        <v>12</v>
      </c>
      <c r="C229" s="2"/>
      <c r="D229" s="2"/>
      <c r="E229" s="2"/>
      <c r="F229" s="2"/>
      <c r="G229" s="2"/>
      <c r="H229" s="2"/>
      <c r="I229" s="2"/>
      <c r="J229" s="2"/>
    </row>
    <row r="230" ht="15" customHeight="1">
      <c r="A230" s="2" t="s">
        <v>745</v>
      </c>
      <c r="B230" s="108" t="s">
        <v>10</v>
      </c>
      <c r="C230" s="2"/>
      <c r="D230" s="2"/>
      <c r="E230" s="2"/>
      <c r="F230" s="2"/>
      <c r="G230" s="2"/>
      <c r="H230" s="2"/>
      <c r="I230" s="2"/>
      <c r="J230" s="2"/>
    </row>
    <row r="231" ht="15" customHeight="1">
      <c r="A231" s="2" t="s">
        <v>746</v>
      </c>
      <c r="B231" s="108" t="s">
        <v>747</v>
      </c>
      <c r="C231" s="2"/>
      <c r="D231" s="2"/>
      <c r="E231" s="2"/>
      <c r="F231" s="2"/>
      <c r="G231" s="2"/>
      <c r="H231" s="2"/>
      <c r="I231" s="2"/>
      <c r="J231" s="2"/>
    </row>
    <row r="232" ht="15" customHeight="1">
      <c r="A232" s="2" t="s">
        <v>748</v>
      </c>
      <c r="B232" s="109">
        <v>46295</v>
      </c>
      <c r="C232" s="2"/>
      <c r="D232" s="2"/>
      <c r="E232" s="2"/>
      <c r="F232" s="2"/>
      <c r="G232" s="2"/>
      <c r="H232" s="2"/>
      <c r="I232" s="2"/>
      <c r="J232" s="2"/>
    </row>
    <row r="233" ht="15" customHeight="1">
      <c r="A233" s="2" t="s">
        <v>749</v>
      </c>
      <c r="B233" s="109">
        <v>46313</v>
      </c>
      <c r="C233" s="2"/>
      <c r="D233" s="2"/>
      <c r="E233" s="2"/>
      <c r="F233" s="2"/>
      <c r="G233" s="2"/>
      <c r="H233" s="2"/>
      <c r="I233" s="2"/>
      <c r="J233" s="2"/>
    </row>
    <row r="234" ht="15" customHeight="1">
      <c r="A234" s="2" t="s">
        <v>750</v>
      </c>
      <c r="B234" s="61">
        <v>24</v>
      </c>
      <c r="C234" s="2"/>
      <c r="D234" s="2"/>
      <c r="E234" s="2"/>
      <c r="F234" s="2"/>
      <c r="G234" s="2"/>
      <c r="H234" s="2"/>
      <c r="I234" s="2"/>
      <c r="J234" s="2"/>
    </row>
    <row r="235" ht="15" customHeight="1">
      <c r="A235" s="2" t="s">
        <v>751</v>
      </c>
      <c r="B235" s="89">
        <v>2.64</v>
      </c>
      <c r="C235" s="2"/>
      <c r="D235" s="2"/>
      <c r="E235" s="2"/>
      <c r="F235" s="2"/>
      <c r="G235" s="2"/>
      <c r="H235" s="2"/>
      <c r="I235" s="2"/>
      <c r="J235" s="2"/>
    </row>
    <row r="236" ht="15" customHeight="1">
      <c r="A236" s="2" t="s">
        <v>752</v>
      </c>
      <c r="B236" s="108" t="s">
        <v>753</v>
      </c>
      <c r="C236" s="2"/>
      <c r="D236" s="2"/>
      <c r="E236" s="2"/>
      <c r="F236" s="2"/>
      <c r="G236" s="2"/>
      <c r="H236" s="2"/>
      <c r="I236" s="2"/>
      <c r="J236" s="2"/>
    </row>
    <row r="237" ht="15" customHeight="1">
      <c r="A237" s="2" t="s">
        <v>754</v>
      </c>
      <c r="B237" s="52">
        <v>2906.81</v>
      </c>
      <c r="C237" s="2"/>
      <c r="D237" s="2"/>
      <c r="E237" s="2"/>
      <c r="F237" s="2"/>
      <c r="G237" s="2"/>
      <c r="H237" s="2"/>
      <c r="I237" s="2"/>
      <c r="J237" s="2"/>
    </row>
    <row r="238" ht="15" customHeight="1">
      <c r="A238" s="2" t="s">
        <v>755</v>
      </c>
      <c r="B238" s="108" t="s">
        <v>756</v>
      </c>
      <c r="C238" s="2"/>
      <c r="D238" s="2"/>
      <c r="E238" s="2"/>
      <c r="F238" s="2"/>
      <c r="G238" s="2"/>
      <c r="H238" s="2"/>
      <c r="I238" s="2"/>
      <c r="J238" s="2"/>
    </row>
    <row r="239" ht="15" customHeight="1">
      <c r="A239" s="2" t="s">
        <v>757</v>
      </c>
      <c r="B239" s="108" t="s">
        <v>758</v>
      </c>
      <c r="C239" s="2"/>
      <c r="D239" s="2"/>
      <c r="E239" s="2"/>
      <c r="F239" s="2"/>
      <c r="G239" s="2"/>
      <c r="H239" s="2"/>
      <c r="I239" s="2"/>
      <c r="J239" s="2"/>
    </row>
    <row r="240" ht="15" customHeight="1">
      <c r="A240" s="2" t="s">
        <v>759</v>
      </c>
      <c r="B240" s="108" t="s">
        <v>760</v>
      </c>
      <c r="C240" s="2"/>
      <c r="D240" s="2"/>
      <c r="E240" s="2"/>
      <c r="F240" s="2"/>
      <c r="G240" s="2"/>
      <c r="H240" s="2"/>
      <c r="I240" s="2"/>
      <c r="J240" s="2"/>
    </row>
    <row r="241" ht="15" customHeight="1">
      <c r="A241" s="2" t="s">
        <v>761</v>
      </c>
      <c r="B241" s="108" t="s">
        <v>756</v>
      </c>
      <c r="C241" s="2"/>
      <c r="D241" s="2"/>
      <c r="E241" s="2"/>
      <c r="F241" s="2"/>
      <c r="G241" s="2"/>
      <c r="H241" s="2"/>
      <c r="I241" s="2"/>
      <c r="J241" s="2"/>
    </row>
    <row r="242" ht="15" customHeight="1">
      <c r="A242" s="2" t="s">
        <v>762</v>
      </c>
      <c r="B242" s="108" t="s">
        <v>756</v>
      </c>
      <c r="C242" s="2"/>
      <c r="D242" s="2"/>
      <c r="E242" s="2"/>
      <c r="F242" s="2"/>
      <c r="G242" s="2"/>
      <c r="H242" s="2"/>
      <c r="I242" s="2"/>
      <c r="J242" s="2"/>
    </row>
    <row r="243" ht="15" customHeight="1">
      <c r="A243" s="2" t="s">
        <v>763</v>
      </c>
      <c r="B243" s="108" t="s">
        <v>764</v>
      </c>
      <c r="C243" s="2"/>
      <c r="D243" s="2"/>
      <c r="E243" s="2"/>
      <c r="F243" s="2"/>
      <c r="G243" s="2"/>
      <c r="H243" s="2"/>
      <c r="I243" s="2"/>
      <c r="J243" s="2"/>
    </row>
    <row r="244" ht="15" customHeight="1">
      <c r="A244" s="2" t="s">
        <v>765</v>
      </c>
      <c r="B244" s="108" t="s">
        <v>756</v>
      </c>
      <c r="C244" s="2"/>
      <c r="D244" s="2"/>
      <c r="E244" s="2"/>
      <c r="F244" s="2"/>
      <c r="G244" s="2"/>
      <c r="H244" s="2"/>
      <c r="I244" s="2"/>
      <c r="J244" s="2"/>
    </row>
    <row r="245" ht="15" customHeight="1">
      <c r="A245" s="2" t="s">
        <v>766</v>
      </c>
      <c r="B245" s="108" t="s">
        <v>767</v>
      </c>
      <c r="C245" s="2"/>
      <c r="D245" s="2"/>
      <c r="E245" s="2"/>
      <c r="F245" s="2"/>
      <c r="G245" s="2"/>
      <c r="H245" s="2"/>
      <c r="I245" s="2"/>
      <c r="J245" s="2"/>
    </row>
    <row r="246" ht="15" customHeight="1">
      <c r="A246" s="2" t="s">
        <v>768</v>
      </c>
      <c r="B246" s="108" t="s">
        <v>769</v>
      </c>
      <c r="C246" s="2"/>
      <c r="D246" s="2"/>
      <c r="E246" s="2"/>
      <c r="F246" s="2"/>
      <c r="G246" s="2"/>
      <c r="H246" s="2"/>
      <c r="I246" s="2"/>
      <c r="J246" s="2"/>
    </row>
    <row r="247" ht="1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ht="15" customHeight="1">
      <c r="A248" s="30" t="s">
        <v>770</v>
      </c>
      <c r="B248" s="30"/>
      <c r="C248" s="30"/>
      <c r="D248" s="30"/>
      <c r="E248" s="30"/>
      <c r="F248" s="30"/>
      <c r="G248" s="30"/>
      <c r="H248" s="30"/>
      <c r="I248" s="30"/>
      <c r="J248" s="30"/>
    </row>
    <row r="249" ht="15" customHeight="1">
      <c r="A249" s="100" t="s">
        <v>771</v>
      </c>
      <c r="B249" s="15" t="s">
        <v>772</v>
      </c>
      <c r="C249" s="15"/>
      <c r="D249" s="15"/>
      <c r="E249" s="15"/>
      <c r="F249" s="15"/>
      <c r="G249" s="15"/>
      <c r="H249" s="15"/>
      <c r="I249" s="15"/>
      <c r="J249" s="15"/>
    </row>
    <row r="250" ht="15" customHeight="1">
      <c r="A250" s="2" t="s">
        <v>744</v>
      </c>
      <c r="B250" s="108" t="s">
        <v>12</v>
      </c>
      <c r="C250" s="2"/>
      <c r="D250" s="2"/>
      <c r="E250" s="2"/>
      <c r="F250" s="2"/>
      <c r="G250" s="2"/>
      <c r="H250" s="2"/>
      <c r="I250" s="2"/>
      <c r="J250" s="2"/>
    </row>
    <row r="251" ht="15" customHeight="1">
      <c r="A251" s="2" t="s">
        <v>773</v>
      </c>
      <c r="B251" s="108" t="s">
        <v>10</v>
      </c>
      <c r="C251" s="2"/>
      <c r="D251" s="2"/>
      <c r="E251" s="2"/>
      <c r="F251" s="2"/>
      <c r="G251" s="2"/>
      <c r="H251" s="2"/>
      <c r="I251" s="2"/>
      <c r="J251" s="2"/>
    </row>
    <row r="252" ht="15" customHeight="1">
      <c r="A252" s="2" t="s">
        <v>774</v>
      </c>
      <c r="B252" s="108" t="s">
        <v>775</v>
      </c>
      <c r="C252" s="2"/>
      <c r="D252" s="2"/>
      <c r="E252" s="2"/>
      <c r="F252" s="2"/>
      <c r="G252" s="2"/>
      <c r="H252" s="2"/>
      <c r="I252" s="2"/>
      <c r="J252" s="2"/>
    </row>
    <row r="253" ht="15" customHeight="1">
      <c r="A253" s="2" t="s">
        <v>776</v>
      </c>
      <c r="B253" s="108">
        <v>30239</v>
      </c>
      <c r="C253" s="2"/>
      <c r="D253" s="2"/>
      <c r="E253" s="2"/>
      <c r="F253" s="2"/>
      <c r="G253" s="2"/>
      <c r="H253" s="2"/>
      <c r="I253" s="2"/>
      <c r="J253" s="2"/>
    </row>
    <row r="254" ht="15" customHeight="1">
      <c r="A254" s="2" t="s">
        <v>777</v>
      </c>
      <c r="B254" s="108" t="s">
        <v>756</v>
      </c>
      <c r="C254" s="2"/>
      <c r="D254" s="2"/>
      <c r="E254" s="2"/>
      <c r="F254" s="2"/>
      <c r="G254" s="2"/>
      <c r="H254" s="2"/>
      <c r="I254" s="2"/>
      <c r="J254" s="2"/>
    </row>
    <row r="255" ht="15" customHeight="1">
      <c r="A255" s="2" t="s">
        <v>778</v>
      </c>
      <c r="B255" s="108" t="s">
        <v>779</v>
      </c>
      <c r="C255" s="2"/>
      <c r="D255" s="2"/>
      <c r="E255" s="2"/>
      <c r="F255" s="2"/>
      <c r="G255" s="2"/>
      <c r="H255" s="2"/>
      <c r="I255" s="2"/>
      <c r="J255" s="2"/>
    </row>
    <row r="256" ht="15" customHeight="1">
      <c r="A256" s="2" t="s">
        <v>780</v>
      </c>
      <c r="B256" s="108" t="s">
        <v>747</v>
      </c>
      <c r="C256" s="2"/>
      <c r="D256" s="2"/>
      <c r="E256" s="2"/>
      <c r="F256" s="2"/>
      <c r="G256" s="2"/>
      <c r="H256" s="2"/>
      <c r="I256" s="2"/>
      <c r="J256" s="2"/>
    </row>
    <row r="257" ht="15" customHeight="1">
      <c r="A257" s="2" t="s">
        <v>781</v>
      </c>
      <c r="B257" s="109">
        <v>46295</v>
      </c>
      <c r="C257" s="2"/>
      <c r="D257" s="2"/>
      <c r="E257" s="2"/>
      <c r="F257" s="2"/>
      <c r="G257" s="2"/>
      <c r="H257" s="2"/>
      <c r="I257" s="2"/>
      <c r="J257" s="2"/>
    </row>
    <row r="258" ht="15" customHeight="1">
      <c r="A258" s="2" t="s">
        <v>782</v>
      </c>
      <c r="B258" s="109">
        <v>46315</v>
      </c>
      <c r="C258" s="2"/>
      <c r="D258" s="2"/>
      <c r="E258" s="2"/>
      <c r="F258" s="2"/>
      <c r="G258" s="2"/>
      <c r="H258" s="2"/>
      <c r="I258" s="2"/>
      <c r="J258" s="2"/>
    </row>
    <row r="259" ht="15" customHeight="1">
      <c r="A259" s="2" t="s">
        <v>752</v>
      </c>
      <c r="B259" s="110" t="s">
        <v>783</v>
      </c>
      <c r="C259" s="2"/>
      <c r="D259" s="2"/>
      <c r="E259" s="2"/>
      <c r="F259" s="2"/>
      <c r="G259" s="2"/>
      <c r="H259" s="2"/>
      <c r="I259" s="2"/>
      <c r="J259" s="2"/>
    </row>
    <row r="260" ht="15" customHeight="1">
      <c r="A260" s="2" t="s">
        <v>784</v>
      </c>
      <c r="B260" s="61">
        <v>24</v>
      </c>
      <c r="C260" s="2"/>
      <c r="D260" s="2"/>
      <c r="E260" s="2"/>
      <c r="F260" s="2"/>
      <c r="G260" s="2"/>
      <c r="H260" s="2"/>
      <c r="I260" s="2"/>
      <c r="J260" s="2"/>
    </row>
    <row r="261" ht="15" customHeight="1">
      <c r="A261" s="2" t="s">
        <v>785</v>
      </c>
      <c r="B261" s="61">
        <v>24</v>
      </c>
      <c r="C261" s="2"/>
      <c r="D261" s="2"/>
      <c r="E261" s="2"/>
      <c r="F261" s="2"/>
      <c r="G261" s="2"/>
      <c r="H261" s="2"/>
      <c r="I261" s="2"/>
      <c r="J261" s="2"/>
    </row>
    <row r="262" ht="15" customHeight="1">
      <c r="A262" s="2" t="s">
        <v>786</v>
      </c>
      <c r="B262" s="70"/>
      <c r="C262" s="2"/>
      <c r="D262" s="2"/>
      <c r="E262" s="2"/>
      <c r="F262" s="2"/>
      <c r="G262" s="2"/>
      <c r="H262" s="2"/>
      <c r="I262" s="2"/>
      <c r="J262" s="2"/>
    </row>
    <row r="263" ht="15" customHeight="1">
      <c r="A263" s="2" t="s">
        <v>787</v>
      </c>
      <c r="B263" s="89">
        <v>2.64</v>
      </c>
      <c r="C263" s="2"/>
      <c r="D263" s="2"/>
      <c r="E263" s="2"/>
      <c r="F263" s="2"/>
      <c r="G263" s="2"/>
      <c r="H263" s="2"/>
      <c r="I263" s="2"/>
      <c r="J263" s="2"/>
    </row>
    <row r="264" ht="15" customHeight="1">
      <c r="A264" s="2" t="s">
        <v>788</v>
      </c>
      <c r="B264" s="89">
        <v>2.63</v>
      </c>
      <c r="C264" s="2"/>
      <c r="D264" s="2"/>
      <c r="E264" s="2"/>
      <c r="F264" s="2"/>
      <c r="G264" s="2"/>
      <c r="H264" s="2"/>
      <c r="I264" s="2"/>
      <c r="J264" s="2"/>
    </row>
    <row r="265" ht="15" customHeight="1">
      <c r="A265" s="2" t="s">
        <v>789</v>
      </c>
      <c r="B265" s="89">
        <v>2.76</v>
      </c>
      <c r="C265" s="2"/>
      <c r="D265" s="2"/>
      <c r="E265" s="2"/>
      <c r="F265" s="2"/>
      <c r="G265" s="2"/>
      <c r="H265" s="2"/>
      <c r="I265" s="2"/>
      <c r="J265" s="2"/>
    </row>
    <row r="266" ht="15" customHeight="1">
      <c r="A266" s="2" t="s">
        <v>790</v>
      </c>
      <c r="B266" s="89">
        <v>2.53</v>
      </c>
      <c r="C266" s="2"/>
      <c r="D266" s="2"/>
      <c r="E266" s="2"/>
      <c r="F266" s="2"/>
      <c r="G266" s="2"/>
      <c r="H266" s="2"/>
      <c r="I266" s="2"/>
      <c r="J266" s="2"/>
    </row>
    <row r="267" ht="15" customHeight="1">
      <c r="A267" s="2" t="s">
        <v>791</v>
      </c>
      <c r="B267" s="89">
        <v>0.06</v>
      </c>
      <c r="C267" s="2"/>
      <c r="D267" s="2"/>
      <c r="E267" s="2"/>
      <c r="F267" s="2"/>
      <c r="G267" s="2"/>
      <c r="H267" s="2"/>
      <c r="I267" s="2"/>
      <c r="J267" s="2"/>
    </row>
    <row r="268" ht="15" customHeight="1">
      <c r="A268" s="2" t="s">
        <v>792</v>
      </c>
      <c r="B268" s="61">
        <v>24</v>
      </c>
      <c r="C268" s="2"/>
      <c r="D268" s="2"/>
      <c r="E268" s="2"/>
      <c r="F268" s="2"/>
      <c r="G268" s="2"/>
      <c r="H268" s="2"/>
      <c r="I268" s="2"/>
      <c r="J268" s="2"/>
    </row>
    <row r="269" ht="15" customHeight="1">
      <c r="A269" s="2" t="s">
        <v>793</v>
      </c>
      <c r="B269" s="23"/>
      <c r="C269" s="2"/>
      <c r="D269" s="2"/>
      <c r="E269" s="2"/>
      <c r="F269" s="2"/>
      <c r="G269" s="2"/>
      <c r="H269" s="2"/>
      <c r="I269" s="2"/>
      <c r="J269" s="2"/>
    </row>
    <row r="270" ht="15" customHeight="1">
      <c r="A270" s="2" t="s">
        <v>794</v>
      </c>
      <c r="B270" s="23"/>
      <c r="C270" s="2"/>
      <c r="D270" s="2"/>
      <c r="E270" s="2"/>
      <c r="F270" s="2"/>
      <c r="G270" s="2"/>
      <c r="H270" s="2"/>
      <c r="I270" s="2"/>
      <c r="J270" s="2"/>
    </row>
    <row r="271" ht="15" customHeight="1">
      <c r="A271" s="2" t="s">
        <v>795</v>
      </c>
      <c r="B271" s="23"/>
      <c r="C271" s="2"/>
      <c r="D271" s="2"/>
      <c r="E271" s="2"/>
      <c r="F271" s="2"/>
      <c r="G271" s="2"/>
      <c r="H271" s="2"/>
      <c r="I271" s="2"/>
      <c r="J271" s="2"/>
    </row>
    <row r="272" ht="15" customHeight="1">
      <c r="A272" s="2" t="s">
        <v>796</v>
      </c>
      <c r="B272" s="89">
        <v>2.37</v>
      </c>
      <c r="C272" s="2"/>
      <c r="D272" s="2"/>
      <c r="E272" s="2"/>
      <c r="F272" s="2"/>
      <c r="G272" s="2"/>
      <c r="H272" s="2"/>
      <c r="I272" s="2"/>
      <c r="J272" s="2"/>
    </row>
    <row r="273" ht="15" customHeight="1">
      <c r="A273" s="2" t="s">
        <v>797</v>
      </c>
      <c r="B273" s="89">
        <v>2.33</v>
      </c>
      <c r="C273" s="2"/>
      <c r="D273" s="2"/>
      <c r="E273" s="2"/>
      <c r="F273" s="2"/>
      <c r="G273" s="2"/>
      <c r="H273" s="2"/>
      <c r="I273" s="2"/>
      <c r="J273" s="2"/>
    </row>
    <row r="274" ht="15" customHeight="1">
      <c r="A274" s="2" t="s">
        <v>798</v>
      </c>
      <c r="B274" s="89">
        <v>2.63</v>
      </c>
      <c r="C274" s="2"/>
      <c r="D274" s="2"/>
      <c r="E274" s="2"/>
      <c r="F274" s="2"/>
      <c r="G274" s="2"/>
      <c r="H274" s="2"/>
      <c r="I274" s="2"/>
      <c r="J274" s="2"/>
    </row>
    <row r="275" ht="15" customHeight="1">
      <c r="A275" s="2" t="s">
        <v>799</v>
      </c>
      <c r="B275" s="89">
        <v>2.18</v>
      </c>
      <c r="C275" s="2"/>
      <c r="D275" s="2"/>
      <c r="E275" s="2"/>
      <c r="F275" s="2"/>
      <c r="G275" s="2"/>
      <c r="H275" s="2"/>
      <c r="I275" s="2"/>
      <c r="J275" s="2"/>
    </row>
    <row r="276" ht="15" customHeight="1">
      <c r="A276" s="2" t="s">
        <v>800</v>
      </c>
      <c r="B276" s="89">
        <v>0.16</v>
      </c>
      <c r="C276" s="2"/>
      <c r="D276" s="2"/>
      <c r="E276" s="2"/>
      <c r="F276" s="2"/>
      <c r="G276" s="2"/>
      <c r="H276" s="2"/>
      <c r="I276" s="2"/>
      <c r="J276" s="2"/>
    </row>
    <row r="277" ht="15" customHeight="1">
      <c r="A277" s="2" t="s">
        <v>801</v>
      </c>
      <c r="B277" s="61">
        <v>6</v>
      </c>
      <c r="C277" s="2"/>
      <c r="D277" s="2"/>
      <c r="E277" s="2"/>
      <c r="F277" s="2"/>
      <c r="G277" s="2"/>
      <c r="H277" s="2"/>
      <c r="I277" s="2"/>
      <c r="J277" s="2"/>
    </row>
    <row r="278" ht="15" customHeight="1">
      <c r="A278" s="2" t="s">
        <v>802</v>
      </c>
      <c r="B278" s="23"/>
      <c r="C278" s="2"/>
      <c r="D278" s="2"/>
      <c r="E278" s="2"/>
      <c r="F278" s="2"/>
      <c r="G278" s="2"/>
      <c r="H278" s="2"/>
      <c r="I278" s="2"/>
      <c r="J278" s="2"/>
    </row>
    <row r="279" ht="15" customHeight="1">
      <c r="A279" s="2" t="s">
        <v>803</v>
      </c>
      <c r="B279" s="23"/>
      <c r="C279" s="2"/>
      <c r="D279" s="2"/>
      <c r="E279" s="2"/>
      <c r="F279" s="2"/>
      <c r="G279" s="2"/>
      <c r="H279" s="2"/>
      <c r="I279" s="2"/>
      <c r="J279" s="2"/>
    </row>
    <row r="280" ht="15" customHeight="1">
      <c r="A280" s="2" t="s">
        <v>804</v>
      </c>
      <c r="B280" s="23"/>
      <c r="C280" s="2"/>
      <c r="D280" s="2"/>
      <c r="E280" s="2"/>
      <c r="F280" s="2"/>
      <c r="G280" s="2"/>
      <c r="H280" s="2"/>
      <c r="I280" s="2"/>
      <c r="J280" s="2"/>
    </row>
    <row r="281" ht="15" customHeight="1">
      <c r="A281" s="2" t="s">
        <v>805</v>
      </c>
      <c r="B281" s="52">
        <v>2906.81</v>
      </c>
      <c r="C281" s="2"/>
      <c r="D281" s="2"/>
      <c r="E281" s="2"/>
      <c r="F281" s="2"/>
      <c r="G281" s="2"/>
      <c r="H281" s="2"/>
      <c r="I281" s="2"/>
      <c r="J281" s="2"/>
    </row>
    <row r="282" ht="15" customHeight="1">
      <c r="A282" s="2" t="s">
        <v>806</v>
      </c>
      <c r="B282" s="52">
        <v>2903</v>
      </c>
      <c r="C282" s="2"/>
      <c r="D282" s="2"/>
      <c r="E282" s="2"/>
      <c r="F282" s="2"/>
      <c r="G282" s="2"/>
      <c r="H282" s="2"/>
      <c r="I282" s="2"/>
      <c r="J282" s="2"/>
    </row>
    <row r="283" ht="15" customHeight="1">
      <c r="A283" s="2" t="s">
        <v>807</v>
      </c>
      <c r="B283" s="52">
        <v>2988</v>
      </c>
      <c r="C283" s="2"/>
      <c r="D283" s="2"/>
      <c r="E283" s="2"/>
      <c r="F283" s="2"/>
      <c r="G283" s="2"/>
      <c r="H283" s="2"/>
      <c r="I283" s="2"/>
      <c r="J283" s="2"/>
    </row>
    <row r="284" ht="15" customHeight="1">
      <c r="A284" s="2" t="s">
        <v>808</v>
      </c>
      <c r="B284" s="52">
        <v>2847</v>
      </c>
      <c r="C284" s="2"/>
      <c r="D284" s="2"/>
      <c r="E284" s="2"/>
      <c r="F284" s="2"/>
      <c r="G284" s="2"/>
      <c r="H284" s="2"/>
      <c r="I284" s="2"/>
      <c r="J284" s="2"/>
    </row>
    <row r="285" ht="15" customHeight="1">
      <c r="A285" s="2" t="s">
        <v>809</v>
      </c>
      <c r="B285" s="52">
        <v>36.57</v>
      </c>
      <c r="C285" s="2"/>
      <c r="D285" s="2"/>
      <c r="E285" s="2"/>
      <c r="F285" s="2"/>
      <c r="G285" s="2"/>
      <c r="H285" s="2"/>
      <c r="I285" s="2"/>
      <c r="J285" s="2"/>
    </row>
    <row r="286" ht="15" customHeight="1">
      <c r="A286" s="2" t="s">
        <v>810</v>
      </c>
      <c r="B286" s="61">
        <v>25</v>
      </c>
      <c r="C286" s="2"/>
      <c r="D286" s="2"/>
      <c r="E286" s="2"/>
      <c r="F286" s="2"/>
      <c r="G286" s="2"/>
      <c r="H286" s="2"/>
      <c r="I286" s="2"/>
      <c r="J286" s="2"/>
    </row>
    <row r="287" ht="15" customHeight="1">
      <c r="A287" s="2" t="s">
        <v>811</v>
      </c>
      <c r="B287" s="105"/>
      <c r="C287" s="2"/>
      <c r="D287" s="2"/>
      <c r="E287" s="2"/>
      <c r="F287" s="2"/>
      <c r="G287" s="2"/>
      <c r="H287" s="2"/>
      <c r="I287" s="2"/>
      <c r="J287" s="2"/>
    </row>
    <row r="288" ht="15" customHeight="1">
      <c r="A288" s="2" t="s">
        <v>812</v>
      </c>
      <c r="B288" s="105"/>
      <c r="C288" s="2"/>
      <c r="D288" s="2"/>
      <c r="E288" s="2"/>
      <c r="F288" s="2"/>
      <c r="G288" s="2"/>
      <c r="H288" s="2"/>
      <c r="I288" s="2"/>
      <c r="J288" s="2"/>
    </row>
    <row r="289" ht="15" customHeight="1">
      <c r="A289" s="2" t="s">
        <v>813</v>
      </c>
      <c r="B289" s="105"/>
      <c r="C289" s="2"/>
      <c r="D289" s="2"/>
      <c r="E289" s="2"/>
      <c r="F289" s="2"/>
      <c r="G289" s="2"/>
      <c r="H289" s="2"/>
      <c r="I289" s="2"/>
      <c r="J289" s="2"/>
    </row>
    <row r="290" ht="15" customHeight="1">
      <c r="A290" s="2" t="s">
        <v>814</v>
      </c>
      <c r="B290" s="52">
        <v>1314.92</v>
      </c>
      <c r="C290" s="2"/>
      <c r="D290" s="2"/>
      <c r="E290" s="2"/>
      <c r="F290" s="2"/>
      <c r="G290" s="2"/>
      <c r="H290" s="2"/>
      <c r="I290" s="2"/>
      <c r="J290" s="2"/>
    </row>
    <row r="291" ht="15" customHeight="1">
      <c r="A291" s="2" t="s">
        <v>815</v>
      </c>
      <c r="B291" s="52">
        <v>1141.88</v>
      </c>
      <c r="C291" s="2"/>
      <c r="D291" s="2"/>
      <c r="E291" s="2"/>
      <c r="F291" s="2"/>
      <c r="G291" s="2"/>
      <c r="H291" s="2"/>
      <c r="I291" s="2"/>
      <c r="J291" s="2"/>
    </row>
    <row r="292" ht="15" customHeight="1">
      <c r="A292" s="2" t="s">
        <v>816</v>
      </c>
      <c r="B292" s="52">
        <v>1219.12</v>
      </c>
      <c r="C292" s="2"/>
      <c r="D292" s="2"/>
      <c r="E292" s="2"/>
      <c r="F292" s="2"/>
      <c r="G292" s="2"/>
      <c r="H292" s="2"/>
      <c r="I292" s="2"/>
      <c r="J292" s="2"/>
    </row>
    <row r="293" ht="15" customHeight="1">
      <c r="A293" s="2" t="s">
        <v>817</v>
      </c>
      <c r="B293" s="52">
        <v>1010.8</v>
      </c>
      <c r="C293" s="2"/>
      <c r="D293" s="2"/>
      <c r="E293" s="2"/>
      <c r="F293" s="2"/>
      <c r="G293" s="2"/>
      <c r="H293" s="2"/>
      <c r="I293" s="2"/>
      <c r="J293" s="2"/>
    </row>
    <row r="294" ht="15" customHeight="1">
      <c r="A294" s="2" t="s">
        <v>818</v>
      </c>
      <c r="B294" s="52">
        <v>940.37</v>
      </c>
      <c r="C294" s="2"/>
      <c r="D294" s="2"/>
      <c r="E294" s="2"/>
      <c r="F294" s="2"/>
      <c r="G294" s="2"/>
      <c r="H294" s="2"/>
      <c r="I294" s="2"/>
      <c r="J294" s="2"/>
    </row>
    <row r="295" ht="15" customHeight="1">
      <c r="A295" s="2" t="s">
        <v>819</v>
      </c>
      <c r="B295" s="52">
        <v>798.91</v>
      </c>
      <c r="C295" s="2"/>
      <c r="D295" s="2"/>
      <c r="E295" s="2"/>
      <c r="F295" s="2"/>
      <c r="G295" s="2"/>
      <c r="H295" s="2"/>
      <c r="I295" s="2"/>
      <c r="J295" s="2"/>
    </row>
    <row r="296" ht="15" customHeight="1">
      <c r="A296" s="2" t="s">
        <v>820</v>
      </c>
      <c r="B296" s="103"/>
      <c r="C296" s="2"/>
      <c r="D296" s="2"/>
      <c r="E296" s="2"/>
      <c r="F296" s="2"/>
      <c r="G296" s="2"/>
      <c r="H296" s="2"/>
      <c r="I296" s="2"/>
      <c r="J296" s="2"/>
    </row>
    <row r="297" ht="15" customHeight="1">
      <c r="A297" s="2" t="s">
        <v>821</v>
      </c>
      <c r="B297" s="103"/>
      <c r="C297" s="2"/>
      <c r="D297" s="2"/>
      <c r="E297" s="2"/>
      <c r="F297" s="2"/>
      <c r="G297" s="2"/>
      <c r="H297" s="2"/>
      <c r="I297" s="2"/>
      <c r="J297" s="2"/>
    </row>
    <row r="298" ht="15" customHeight="1">
      <c r="A298" s="2" t="s">
        <v>822</v>
      </c>
      <c r="B298" s="52">
        <v>168.95</v>
      </c>
      <c r="C298" s="2"/>
      <c r="D298" s="2"/>
      <c r="E298" s="2"/>
      <c r="F298" s="2"/>
      <c r="G298" s="2"/>
      <c r="H298" s="2"/>
      <c r="I298" s="2"/>
      <c r="J298" s="2"/>
    </row>
    <row r="299" ht="15" customHeight="1">
      <c r="A299" s="2" t="s">
        <v>823</v>
      </c>
      <c r="B299" s="18"/>
      <c r="C299" s="2"/>
      <c r="D299" s="2"/>
      <c r="E299" s="2"/>
      <c r="F299" s="2"/>
      <c r="G299" s="2"/>
      <c r="H299" s="2"/>
      <c r="I299" s="2"/>
      <c r="J299" s="2"/>
    </row>
    <row r="300" ht="15" customHeight="1">
      <c r="A300" s="2" t="s">
        <v>824</v>
      </c>
      <c r="B300" s="52">
        <v>1703.55</v>
      </c>
      <c r="C300" s="2"/>
      <c r="D300" s="2"/>
      <c r="E300" s="2"/>
      <c r="F300" s="2"/>
      <c r="G300" s="2"/>
      <c r="H300" s="2"/>
      <c r="I300" s="2"/>
      <c r="J300" s="2"/>
    </row>
    <row r="301" ht="15" customHeight="1">
      <c r="A301" s="2" t="s">
        <v>825</v>
      </c>
      <c r="B301" s="18"/>
      <c r="C301" s="2"/>
      <c r="D301" s="2"/>
      <c r="E301" s="2"/>
      <c r="F301" s="2"/>
      <c r="G301" s="2"/>
      <c r="H301" s="2"/>
      <c r="I301" s="2"/>
      <c r="J301" s="2"/>
    </row>
    <row r="302" ht="15" customHeight="1">
      <c r="A302" s="2" t="s">
        <v>826</v>
      </c>
      <c r="B302" s="18"/>
      <c r="C302" s="2"/>
      <c r="D302" s="2"/>
      <c r="E302" s="2"/>
      <c r="F302" s="2"/>
      <c r="G302" s="2"/>
      <c r="H302" s="2"/>
      <c r="I302" s="2"/>
      <c r="J302" s="2"/>
    </row>
    <row r="303" ht="15" customHeight="1">
      <c r="A303" s="2" t="s">
        <v>827</v>
      </c>
      <c r="B303" s="52">
        <v>-3681</v>
      </c>
      <c r="C303" s="2"/>
      <c r="D303" s="2"/>
      <c r="E303" s="2"/>
      <c r="F303" s="2"/>
      <c r="G303" s="2"/>
      <c r="H303" s="2"/>
      <c r="I303" s="2"/>
      <c r="J303" s="2"/>
    </row>
    <row r="304" ht="15" customHeight="1">
      <c r="A304" s="2" t="s">
        <v>828</v>
      </c>
      <c r="B304" s="18"/>
      <c r="C304" s="2"/>
      <c r="D304" s="2"/>
      <c r="E304" s="2"/>
      <c r="F304" s="2"/>
      <c r="G304" s="2"/>
      <c r="H304" s="2"/>
      <c r="I304" s="2"/>
      <c r="J304" s="2"/>
    </row>
    <row r="305" ht="15" customHeight="1">
      <c r="A305" s="2" t="s">
        <v>829</v>
      </c>
      <c r="B305" s="103"/>
      <c r="C305" s="2"/>
      <c r="D305" s="2"/>
      <c r="E305" s="2"/>
      <c r="F305" s="2"/>
      <c r="G305" s="2"/>
      <c r="H305" s="2"/>
      <c r="I305" s="2"/>
      <c r="J305" s="2"/>
    </row>
    <row r="306" ht="15" customHeight="1">
      <c r="A306" s="2" t="s">
        <v>830</v>
      </c>
      <c r="B306" s="89">
        <v>478.53</v>
      </c>
      <c r="C306" s="2"/>
      <c r="D306" s="2"/>
      <c r="E306" s="2"/>
      <c r="F306" s="2"/>
      <c r="G306" s="2"/>
      <c r="H306" s="2"/>
      <c r="I306" s="2"/>
      <c r="J306" s="2"/>
    </row>
    <row r="307" ht="15" customHeight="1">
      <c r="A307" s="2" t="s">
        <v>831</v>
      </c>
      <c r="B307" s="89">
        <v>484</v>
      </c>
      <c r="C307" s="2"/>
      <c r="D307" s="2"/>
      <c r="E307" s="2"/>
      <c r="F307" s="2"/>
      <c r="G307" s="2"/>
      <c r="H307" s="2"/>
      <c r="I307" s="2"/>
      <c r="J307" s="2"/>
    </row>
    <row r="308" ht="15" customHeight="1">
      <c r="A308" s="2" t="s">
        <v>832</v>
      </c>
      <c r="B308" s="89">
        <v>685</v>
      </c>
      <c r="C308" s="2"/>
      <c r="D308" s="2"/>
      <c r="E308" s="2"/>
      <c r="F308" s="2"/>
      <c r="G308" s="2"/>
      <c r="H308" s="2"/>
      <c r="I308" s="2"/>
      <c r="J308" s="2"/>
    </row>
    <row r="309" ht="15" customHeight="1">
      <c r="A309" s="2" t="s">
        <v>833</v>
      </c>
      <c r="B309" s="89">
        <v>324</v>
      </c>
      <c r="C309" s="2"/>
      <c r="D309" s="2"/>
      <c r="E309" s="2"/>
      <c r="F309" s="2"/>
      <c r="G309" s="2"/>
      <c r="H309" s="2"/>
      <c r="I309" s="2"/>
      <c r="J309" s="2"/>
    </row>
    <row r="310" ht="15" customHeight="1">
      <c r="A310" s="2" t="s">
        <v>834</v>
      </c>
      <c r="B310" s="89">
        <v>74.38</v>
      </c>
      <c r="C310" s="2"/>
      <c r="D310" s="2"/>
      <c r="E310" s="2"/>
      <c r="F310" s="2"/>
      <c r="G310" s="2"/>
      <c r="H310" s="2"/>
      <c r="I310" s="2"/>
      <c r="J310" s="2"/>
    </row>
    <row r="311" ht="15" customHeight="1">
      <c r="A311" s="2" t="s">
        <v>835</v>
      </c>
      <c r="B311" s="61">
        <v>30</v>
      </c>
      <c r="C311" s="2"/>
      <c r="D311" s="2"/>
      <c r="E311" s="2"/>
      <c r="F311" s="2"/>
      <c r="G311" s="2"/>
      <c r="H311" s="2"/>
      <c r="I311" s="2"/>
      <c r="J311" s="2"/>
    </row>
    <row r="312" ht="15" customHeight="1">
      <c r="A312" s="2" t="s">
        <v>836</v>
      </c>
      <c r="B312" s="108" t="s">
        <v>837</v>
      </c>
      <c r="C312" s="2"/>
      <c r="D312" s="2"/>
      <c r="E312" s="2"/>
      <c r="F312" s="2"/>
      <c r="G312" s="2"/>
      <c r="H312" s="2"/>
      <c r="I312" s="2"/>
      <c r="J312" s="2"/>
    </row>
    <row r="313" ht="15" customHeight="1">
      <c r="A313" s="2" t="s">
        <v>838</v>
      </c>
      <c r="B313" s="79">
        <v>1.76</v>
      </c>
      <c r="C313" s="2"/>
      <c r="D313" s="2"/>
      <c r="E313" s="2"/>
      <c r="F313" s="2"/>
      <c r="G313" s="2"/>
      <c r="H313" s="2"/>
      <c r="I313" s="2"/>
      <c r="J313" s="2"/>
    </row>
    <row r="314" ht="15" customHeight="1">
      <c r="A314" s="2" t="s">
        <v>839</v>
      </c>
      <c r="B314" s="89">
        <v>426.7</v>
      </c>
      <c r="C314" s="2"/>
      <c r="D314" s="2"/>
      <c r="E314" s="2"/>
      <c r="F314" s="2"/>
      <c r="G314" s="2"/>
      <c r="H314" s="2"/>
      <c r="I314" s="2"/>
      <c r="J314" s="2"/>
    </row>
    <row r="315" ht="15" customHeight="1">
      <c r="A315" s="2" t="s">
        <v>840</v>
      </c>
      <c r="B315" s="108" t="s">
        <v>841</v>
      </c>
      <c r="C315" s="2"/>
      <c r="D315" s="2"/>
      <c r="E315" s="2"/>
      <c r="F315" s="2"/>
      <c r="G315" s="2"/>
      <c r="H315" s="2"/>
      <c r="I315" s="2"/>
      <c r="J315" s="2"/>
    </row>
    <row r="316" ht="15" customHeight="1">
      <c r="A316" s="2" t="s">
        <v>842</v>
      </c>
      <c r="B316" s="109">
        <v>46313</v>
      </c>
      <c r="C316" s="2"/>
      <c r="D316" s="2"/>
      <c r="E316" s="2"/>
      <c r="F316" s="2"/>
      <c r="G316" s="2"/>
      <c r="H316" s="2"/>
      <c r="I316" s="2"/>
      <c r="J316" s="2"/>
    </row>
    <row r="317" ht="15" customHeight="1">
      <c r="A317" s="2" t="s">
        <v>843</v>
      </c>
      <c r="B317" s="105"/>
      <c r="C317" s="2"/>
      <c r="D317" s="2"/>
      <c r="E317" s="2"/>
      <c r="F317" s="2"/>
      <c r="G317" s="2"/>
      <c r="H317" s="2"/>
      <c r="I317" s="2"/>
      <c r="J317" s="2"/>
    </row>
    <row r="318" ht="1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ht="15" customHeight="1">
      <c r="A319" s="30" t="s">
        <v>844</v>
      </c>
      <c r="B319" s="30"/>
      <c r="C319" s="30"/>
      <c r="D319" s="30"/>
      <c r="E319" s="30"/>
      <c r="F319" s="30"/>
      <c r="G319" s="30"/>
      <c r="H319" s="30"/>
      <c r="I319" s="30"/>
      <c r="J319" s="30"/>
    </row>
    <row r="320" ht="43.5" customHeight="1">
      <c r="A320" s="111" t="s">
        <v>748</v>
      </c>
      <c r="B320" s="112" t="s">
        <v>845</v>
      </c>
      <c r="C320" s="112" t="s">
        <v>846</v>
      </c>
      <c r="D320" s="112" t="s">
        <v>847</v>
      </c>
      <c r="E320" s="112" t="s">
        <v>848</v>
      </c>
      <c r="F320" s="112" t="s">
        <v>849</v>
      </c>
      <c r="G320" s="112" t="s">
        <v>850</v>
      </c>
      <c r="H320" s="112" t="s">
        <v>851</v>
      </c>
      <c r="I320" s="112" t="s">
        <v>852</v>
      </c>
      <c r="J320" s="112" t="s">
        <v>853</v>
      </c>
    </row>
    <row r="321" ht="15" customHeight="1">
      <c r="A321" s="101">
        <f>DATE(2025,3,31)</f>
        <v>45747</v>
      </c>
      <c r="B321" s="101">
        <f>DATE(2025,4,22)</f>
        <v>45769</v>
      </c>
      <c r="C321" s="113">
        <v>1.73</v>
      </c>
      <c r="D321" s="113">
        <v>1.81</v>
      </c>
      <c r="E321" s="113">
        <v>1.48</v>
      </c>
      <c r="F321" s="113">
        <v>1.92</v>
      </c>
      <c r="G321" s="114">
        <v>2185.83</v>
      </c>
      <c r="H321" s="114">
        <v>2253.4</v>
      </c>
      <c r="I321" s="115">
        <f t="shared" si="68" ref="I321:I326">IF(AND(ISNUMBER(C321),ISNUMBER(D321)),IF(D321&gt;C321,1,0),"n.a.")</f>
        <v>1</v>
      </c>
      <c r="J321" s="116">
        <f t="shared" si="69" ref="J321:J326">D321-C321</f>
        <v>0.08000000000000007</v>
      </c>
    </row>
    <row r="322" ht="15" customHeight="1">
      <c r="A322" s="101">
        <f>DATE(2025,6,30)</f>
        <v>45838</v>
      </c>
      <c r="B322" s="101">
        <f>DATE(2025,7,22)</f>
        <v>45860</v>
      </c>
      <c r="C322" s="113">
        <v>1.92</v>
      </c>
      <c r="D322" s="113">
        <v>2.19</v>
      </c>
      <c r="E322" s="113">
        <v>1.61</v>
      </c>
      <c r="F322" s="113">
        <v>1.81</v>
      </c>
      <c r="G322" s="114">
        <v>2352.79</v>
      </c>
      <c r="H322" s="114">
        <v>2440</v>
      </c>
      <c r="I322" s="115">
        <f t="shared" si="68"/>
        <v>1</v>
      </c>
      <c r="J322" s="116">
        <f t="shared" si="69"/>
        <v>0.27</v>
      </c>
    </row>
    <row r="323" ht="15" customHeight="1">
      <c r="A323" s="101">
        <f>DATE(2025,9,30)</f>
        <v>45930</v>
      </c>
      <c r="B323" s="101">
        <f>DATE(2025,10,21)</f>
        <v>45951</v>
      </c>
      <c r="C323" s="113">
        <v>1.99</v>
      </c>
      <c r="D323" s="113">
        <v>2.4</v>
      </c>
      <c r="E323" s="113">
        <v>1.7</v>
      </c>
      <c r="F323" s="113">
        <v>1.95</v>
      </c>
      <c r="G323" s="114">
        <v>2412.38</v>
      </c>
      <c r="H323" s="114">
        <v>2505.1</v>
      </c>
      <c r="I323" s="115">
        <f t="shared" si="68"/>
        <v>1</v>
      </c>
      <c r="J323" s="116">
        <f t="shared" si="69"/>
        <v>0.4099999999999999</v>
      </c>
    </row>
    <row r="324" ht="15" customHeight="1">
      <c r="A324" s="101">
        <f>DATE(2025,12,31)</f>
        <v>46022</v>
      </c>
      <c r="B324" s="101">
        <f>DATE(2026,1,22)</f>
        <v>46044</v>
      </c>
      <c r="C324" s="113">
        <v>2.27</v>
      </c>
      <c r="D324" s="113">
        <v>2.53</v>
      </c>
      <c r="E324" s="113">
        <v>1.98</v>
      </c>
      <c r="F324" s="113">
        <v>2.21</v>
      </c>
      <c r="G324" s="114">
        <v>2764.53</v>
      </c>
      <c r="H324" s="114">
        <v>2866.2</v>
      </c>
      <c r="I324" s="115">
        <f t="shared" si="68"/>
        <v>1</v>
      </c>
      <c r="J324" s="116">
        <f t="shared" si="69"/>
        <v>0.2599999999999998</v>
      </c>
    </row>
    <row r="325" ht="15" customHeight="1">
      <c r="A325" s="101">
        <f>DATE(2026,3,31)</f>
        <v>46112</v>
      </c>
      <c r="B325" s="101">
        <f>DATE(2026,4,21)</f>
        <v>46133</v>
      </c>
      <c r="C325" s="113">
        <v>2.11</v>
      </c>
      <c r="D325" s="113">
        <v>2.5</v>
      </c>
      <c r="E325" s="113">
        <v>1.93</v>
      </c>
      <c r="F325" s="113">
        <v>2.28</v>
      </c>
      <c r="G325" s="114">
        <v>2617.98</v>
      </c>
      <c r="H325" s="114">
        <v>2770.8</v>
      </c>
      <c r="I325" s="115">
        <f t="shared" si="68"/>
        <v>1</v>
      </c>
      <c r="J325" s="116">
        <f t="shared" si="69"/>
        <v>0.3900000000000001</v>
      </c>
    </row>
    <row r="326" ht="15" customHeight="1">
      <c r="A326" s="101">
        <f>DATE(2026,6,30)</f>
        <v>46203</v>
      </c>
      <c r="B326" s="101">
        <f>DATE(2026,7,16)</f>
        <v>46219</v>
      </c>
      <c r="C326" s="113">
        <v>2.5</v>
      </c>
      <c r="D326" s="113">
        <v>2.8</v>
      </c>
      <c r="E326" s="113">
        <v>2.18</v>
      </c>
      <c r="F326" s="113">
        <v>2.29</v>
      </c>
      <c r="G326" s="114">
        <v>2825</v>
      </c>
      <c r="H326" s="114">
        <v>2892.3</v>
      </c>
      <c r="I326" s="115">
        <f t="shared" si="68"/>
        <v>1</v>
      </c>
      <c r="J326" s="116">
        <f t="shared" si="69"/>
        <v>0.2999999999999998</v>
      </c>
    </row>
    <row r="327" ht="1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ht="15" customHeight="1">
      <c r="A328" s="30" t="s">
        <v>854</v>
      </c>
      <c r="B328" s="30"/>
      <c r="C328" s="30"/>
      <c r="D328" s="30"/>
      <c r="E328" s="30"/>
      <c r="F328" s="30"/>
      <c r="G328" s="30"/>
      <c r="H328" s="30"/>
      <c r="I328" s="30"/>
      <c r="J328" s="30"/>
    </row>
    <row r="329" ht="15" customHeight="1">
      <c r="A329" s="100" t="s">
        <v>855</v>
      </c>
      <c r="B329" s="15" t="s">
        <v>856</v>
      </c>
      <c r="C329" s="15" t="s">
        <v>857</v>
      </c>
      <c r="D329" s="15" t="s">
        <v>858</v>
      </c>
      <c r="E329" s="15"/>
      <c r="F329" s="15"/>
      <c r="G329" s="15"/>
      <c r="H329" s="15"/>
      <c r="I329" s="15"/>
      <c r="J329" s="15"/>
    </row>
    <row r="330" ht="15" customHeight="1">
      <c r="A330" s="2" t="s">
        <v>859</v>
      </c>
      <c r="B330" s="89">
        <v>2.65</v>
      </c>
      <c r="C330" s="52">
        <v>2910</v>
      </c>
      <c r="D330" s="70" t="s">
        <v>81</v>
      </c>
      <c r="E330" s="2"/>
      <c r="F330" s="2"/>
      <c r="G330" s="2"/>
      <c r="H330" s="2"/>
      <c r="I330" s="2"/>
      <c r="J330" s="2"/>
    </row>
    <row r="331" ht="15" customHeight="1">
      <c r="A331" s="2" t="s">
        <v>860</v>
      </c>
      <c r="B331" s="89">
        <v>2.61</v>
      </c>
      <c r="C331" s="52">
        <v>2880</v>
      </c>
      <c r="D331" s="70" t="s">
        <v>81</v>
      </c>
      <c r="E331" s="2"/>
      <c r="F331" s="2"/>
      <c r="G331" s="2"/>
      <c r="H331" s="2"/>
      <c r="I331" s="2"/>
      <c r="J331" s="2"/>
    </row>
    <row r="332" ht="15" customHeight="1">
      <c r="A332" s="2" t="s">
        <v>861</v>
      </c>
      <c r="B332" s="89">
        <v>2.61</v>
      </c>
      <c r="C332" s="52">
        <v>2880</v>
      </c>
      <c r="D332" s="70" t="s">
        <v>81</v>
      </c>
      <c r="E332" s="2"/>
      <c r="F332" s="2"/>
      <c r="G332" s="2"/>
      <c r="H332" s="2"/>
      <c r="I332" s="2"/>
      <c r="J332" s="2"/>
    </row>
    <row r="333" ht="15" customHeight="1">
      <c r="A333" s="2" t="s">
        <v>862</v>
      </c>
      <c r="B333" s="89">
        <v>2.65</v>
      </c>
      <c r="C333" s="18" t="s">
        <v>81</v>
      </c>
      <c r="D333" s="70" t="s">
        <v>81</v>
      </c>
      <c r="E333" s="2"/>
      <c r="F333" s="2"/>
      <c r="G333" s="2"/>
      <c r="H333" s="2"/>
      <c r="I333" s="2"/>
      <c r="J333" s="2"/>
    </row>
    <row r="334" ht="15" customHeight="1">
      <c r="A334" s="2" t="s">
        <v>863</v>
      </c>
      <c r="B334" s="89">
        <v>2.69</v>
      </c>
      <c r="C334" s="52">
        <v>2960</v>
      </c>
      <c r="D334" s="61">
        <v>22</v>
      </c>
      <c r="E334" s="2"/>
      <c r="F334" s="2"/>
      <c r="G334" s="2"/>
      <c r="H334" s="2"/>
      <c r="I334" s="2"/>
      <c r="J334" s="2"/>
    </row>
    <row r="335" ht="1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ht="15" customHeight="1">
      <c r="A336" s="30" t="s">
        <v>864</v>
      </c>
      <c r="B336" s="30"/>
      <c r="C336" s="30"/>
      <c r="D336" s="30"/>
      <c r="E336" s="30"/>
      <c r="F336" s="30"/>
      <c r="G336" s="30"/>
      <c r="H336" s="30"/>
      <c r="I336" s="30"/>
      <c r="J336" s="30"/>
    </row>
    <row r="337" ht="15" customHeight="1">
      <c r="A337" s="2" t="s">
        <v>865</v>
      </c>
      <c r="B337" s="52">
        <v>150.74</v>
      </c>
      <c r="C337" s="2"/>
      <c r="D337" s="2"/>
      <c r="E337" s="2"/>
      <c r="F337" s="2"/>
      <c r="G337" s="2"/>
      <c r="H337" s="2"/>
      <c r="I337" s="2"/>
      <c r="J337" s="2"/>
    </row>
    <row r="338" ht="15" customHeight="1">
      <c r="A338" s="2" t="s">
        <v>866</v>
      </c>
      <c r="B338" s="52">
        <v>2</v>
      </c>
      <c r="C338" s="2"/>
      <c r="D338" s="2"/>
      <c r="E338" s="2"/>
      <c r="F338" s="2"/>
      <c r="G338" s="2"/>
      <c r="H338" s="2"/>
      <c r="I338" s="2"/>
      <c r="J338" s="2"/>
    </row>
    <row r="339" ht="15" customHeight="1">
      <c r="A339" s="2" t="s">
        <v>867</v>
      </c>
      <c r="B339" s="52">
        <v>10</v>
      </c>
      <c r="C339" s="2"/>
      <c r="D339" s="2"/>
      <c r="E339" s="2"/>
      <c r="F339" s="2"/>
      <c r="G339" s="2"/>
      <c r="H339" s="2"/>
      <c r="I339" s="2"/>
      <c r="J339" s="2"/>
    </row>
    <row r="340" ht="15" customHeight="1">
      <c r="A340" s="2" t="s">
        <v>868</v>
      </c>
      <c r="B340" s="105" t="str">
        <f>IF(B337&gt;B339,"Large (&gt;$10bn)",IF(B337&gt;=B338,"Mid ($2-10bn)","Small ($0.3-2bn)"))</f>
        <v>Large (&gt;$10bn)</v>
      </c>
      <c r="C340" s="2"/>
      <c r="D340" s="2"/>
      <c r="E340" s="2"/>
      <c r="F340" s="2"/>
      <c r="G340" s="2"/>
      <c r="H340" s="2"/>
      <c r="I340" s="2"/>
      <c r="J340" s="2"/>
    </row>
    <row r="341" ht="15" customHeight="1">
      <c r="A341" s="2" t="s">
        <v>870</v>
      </c>
      <c r="B341" s="108" t="b">
        <v>1</v>
      </c>
      <c r="C341" s="2"/>
      <c r="D341" s="2"/>
      <c r="E341" s="2"/>
      <c r="F341" s="2"/>
      <c r="G341" s="2"/>
      <c r="H341" s="2"/>
      <c r="I341" s="2"/>
      <c r="J341" s="2"/>
    </row>
    <row r="342" ht="15" customHeight="1">
      <c r="A342" s="31" t="s">
        <v>871</v>
      </c>
      <c r="B342" s="48">
        <v>0.78</v>
      </c>
      <c r="C342" s="33" t="s">
        <v>872</v>
      </c>
      <c r="D342" s="2"/>
      <c r="E342" s="2"/>
      <c r="F342" s="2"/>
      <c r="G342" s="2"/>
      <c r="H342" s="2"/>
      <c r="I342" s="2"/>
      <c r="J342" s="2"/>
    </row>
    <row r="343" ht="15" customHeight="1">
      <c r="A343" s="2" t="s">
        <v>873</v>
      </c>
      <c r="B343" s="61">
        <v>8</v>
      </c>
      <c r="C343" s="2"/>
      <c r="D343" s="2"/>
      <c r="E343" s="2"/>
      <c r="F343" s="2"/>
      <c r="G343" s="2"/>
      <c r="H343" s="2"/>
      <c r="I343" s="2"/>
      <c r="J343" s="2"/>
    </row>
    <row r="344" ht="15" customHeight="1">
      <c r="A344" s="2" t="s">
        <v>874</v>
      </c>
      <c r="B344" s="70">
        <f>COUNT(C321:C326)</f>
        <v>6</v>
      </c>
      <c r="C344" s="2"/>
      <c r="D344" s="2"/>
      <c r="E344" s="2"/>
      <c r="F344" s="2"/>
      <c r="G344" s="2"/>
      <c r="H344" s="2"/>
      <c r="I344" s="2"/>
      <c r="J344" s="2"/>
    </row>
    <row r="345" ht="15" customHeight="1">
      <c r="A345" s="2" t="s">
        <v>875</v>
      </c>
      <c r="B345" s="70">
        <f>SUM(I321:I326)</f>
        <v>6</v>
      </c>
      <c r="C345" s="2"/>
      <c r="D345" s="2"/>
      <c r="E345" s="2"/>
      <c r="F345" s="2"/>
      <c r="G345" s="2"/>
      <c r="H345" s="2"/>
      <c r="I345" s="2"/>
      <c r="J345" s="2"/>
    </row>
    <row r="346" ht="15" customHeight="1">
      <c r="A346" s="31" t="s">
        <v>876</v>
      </c>
      <c r="B346" s="19">
        <f>(B343*B342+B345)/(B343+B344)</f>
        <v>0.8742857142857143</v>
      </c>
      <c r="C346" s="2"/>
      <c r="D346" s="2"/>
      <c r="E346" s="2"/>
      <c r="F346" s="2"/>
      <c r="G346" s="2"/>
      <c r="H346" s="2"/>
      <c r="I346" s="2"/>
      <c r="J346" s="2"/>
    </row>
    <row r="347" ht="15" customHeight="1">
      <c r="A347" s="31" t="s">
        <v>877</v>
      </c>
      <c r="B347" s="48">
        <v>0.86</v>
      </c>
      <c r="C347" s="2"/>
      <c r="D347" s="2"/>
      <c r="E347" s="2"/>
      <c r="F347" s="2"/>
      <c r="G347" s="2"/>
      <c r="H347" s="2"/>
      <c r="I347" s="2"/>
      <c r="J347" s="2"/>
    </row>
    <row r="348" ht="15" customHeight="1">
      <c r="A348" s="31" t="s">
        <v>878</v>
      </c>
      <c r="B348" s="19">
        <f>B347-B346</f>
        <v>-0.014285714285714346</v>
      </c>
      <c r="C348" s="2"/>
      <c r="D348" s="2"/>
      <c r="E348" s="2"/>
      <c r="F348" s="2"/>
      <c r="G348" s="2"/>
      <c r="H348" s="2"/>
      <c r="I348" s="2"/>
      <c r="J348" s="2"/>
    </row>
    <row r="349" ht="15" customHeight="1">
      <c r="A349" s="2" t="s">
        <v>45</v>
      </c>
      <c r="B349" s="108" t="s">
        <v>46</v>
      </c>
      <c r="C349" s="2"/>
      <c r="D349" s="2"/>
      <c r="E349" s="2"/>
      <c r="F349" s="2"/>
      <c r="G349" s="2"/>
      <c r="H349" s="2"/>
      <c r="I349" s="2"/>
      <c r="J349" s="2"/>
    </row>
    <row r="350" ht="15" customHeight="1">
      <c r="A350" s="2" t="s">
        <v>879</v>
      </c>
      <c r="B350" s="23">
        <f>AVERAGE(J321:J326)</f>
        <v>0.285</v>
      </c>
      <c r="C350" s="2"/>
      <c r="D350" s="2"/>
      <c r="E350" s="2"/>
      <c r="F350" s="2"/>
      <c r="G350" s="2"/>
      <c r="H350" s="2"/>
      <c r="I350" s="2"/>
      <c r="J350" s="2"/>
    </row>
    <row r="351" ht="15" customHeight="1">
      <c r="A351" s="2" t="s">
        <v>880</v>
      </c>
      <c r="B351" s="23">
        <f>MIN(J321:J326)</f>
        <v>0.08000000000000007</v>
      </c>
      <c r="C351" s="2"/>
      <c r="D351" s="2"/>
      <c r="E351" s="2"/>
      <c r="F351" s="2"/>
      <c r="G351" s="2"/>
      <c r="H351" s="2"/>
      <c r="I351" s="2"/>
      <c r="J351" s="2"/>
    </row>
    <row r="352" ht="15" customHeight="1">
      <c r="A352" s="2" t="s">
        <v>881</v>
      </c>
      <c r="B352" s="23">
        <f>B267</f>
        <v>0.06</v>
      </c>
      <c r="C352" s="2"/>
      <c r="D352" s="2"/>
      <c r="E352" s="2"/>
      <c r="F352" s="2"/>
      <c r="G352" s="2"/>
      <c r="H352" s="2"/>
      <c r="I352" s="2"/>
      <c r="J352" s="2"/>
    </row>
    <row r="353" ht="1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ht="1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2026-10-19T17:40:47Z</dcterms:created>
</cp:coreProperties>
</file>