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comments8.xml" ContentType="application/vnd.openxmlformats-officedocument.spreadsheetml.comments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worksheets/sheet10.xml" ContentType="application/vnd.openxmlformats-officedocument.spreadsheetml.worksheet+xml"/>
  <Override PartName="/xl/comments10.xml" ContentType="application/vnd.openxmlformats-officedocument.spreadsheetml.comments+xml"/>
  <Override PartName="/xl/worksheets/sheet11.xml" ContentType="application/vnd.openxmlformats-officedocument.spreadsheetml.worksheet+xml"/>
  <Override PartName="/xl/comments11.xml" ContentType="application/vnd.openxmlformats-officedocument.spreadsheetml.comments+xml"/>
  <Override PartName="/xl/worksheets/sheet12.xml" ContentType="application/vnd.openxmlformats-officedocument.spreadsheetml.worksheet+xml"/>
  <Override PartName="/xl/comments12.xml" ContentType="application/vnd.openxmlformats-officedocument.spreadsheetml.comments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omments14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Segment - Software" sheetId="3"/>
    <sheet r:id="rId4" name="Segment - Consulting" sheetId="4"/>
    <sheet r:id="rId5" name="Segment - Infrastructure" sheetId="5"/>
    <sheet r:id="rId6" name="Segment - Financing" sheetId="6"/>
    <sheet r:id="rId7" name="Income Statement" sheetId="7"/>
    <sheet r:id="rId8" name="Balance Sheet" sheetId="8"/>
    <sheet r:id="rId9" name="Cash Flow Statement" sheetId="9"/>
    <sheet r:id="rId10" name="Geo" sheetId="10"/>
    <sheet r:id="rId11" name="Share Count" sheetId="11"/>
    <sheet r:id="rId12" name="Guidance" sheetId="12"/>
    <sheet r:id="rId13" name="Sources" sheetId="13"/>
    <sheet r:id="rId14" name="Inputs" sheetId="14"/>
  </sheets>
  <calcPr calcId="0" iterateCount="100" iterateDelta="0.001"/>
</workbook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26" authorId="0">
      <text>
        <r>
          <rPr>
            <sz val="9"/>
            <color rgb="FF000000"/>
            <rFont val="Arial"/>
            <family val="2"/>
          </rPr>
          <t>IBM 3Q25 8-K Ex.99.1 (S3) | Page n/a | 38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IBM 4Q25 8-K Ex.99.1 (S4) | Page n/a | (5)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IBM 4Q25 8-K Ex.99.1 (S4) | Page n/a | 63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IBM 1Q26 8-K Ex.99.1 (S5) | Page n/a | 48</t>
        </r>
      </text>
    </comment>
    <comment ref="G26" authorId="0">
      <text>
        <r>
          <rPr>
            <sz val="9"/>
            <color rgb="FF000000"/>
            <rFont val="Arial"/>
            <family val="2"/>
          </rPr>
          <t>IBM 2Q26 8-K Ex.99.1 (S6) | Page n/a | 52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IBM 3Q25 8-K Ex.99.1 (S3) | Page n/a | 7 percent at constant currency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IBM 4Q25 8-K Ex.99.1 (S4) | Page n/a | 9 percent at constant currency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IBM 4Q25 8-K Ex.99.1 (S4) | Page n/a | 6 percent at constant currency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IBM 1Q26 8-K Ex.99.1 (S5) | Page n/a | 6 percent at constant currency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IBM 2Q26 8-K Ex.99.1 (S6) | Page n/a | 1 percent at constant currency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IBM 3Q25 10-Q R12 (S7) | Page n/a | approximately $64 billion</t>
        </r>
      </text>
    </comment>
    <comment ref="D51" authorId="0">
      <text>
        <r>
          <rPr>
            <sz val="9"/>
            <color rgb="FF000000"/>
            <rFont val="Arial"/>
            <family val="2"/>
          </rPr>
          <t>IBM FY25 10-K R13 (S8) | Page n/a | approximately $71 billion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IBM 1Q26 10-Q R12 (S9) | Page n/a | approximately $69 billion</t>
        </r>
      </text>
    </comment>
    <comment ref="G51" authorId="0">
      <text>
        <r>
          <rPr>
            <sz val="9"/>
            <color rgb="FF000000"/>
            <rFont val="Arial"/>
            <family val="2"/>
          </rPr>
          <t>IBM 2Q26 10-Q R12 (S10) | Page n/a | approximately $68 billion</t>
        </r>
      </text>
    </comment>
    <comment ref="C55" authorId="0">
      <text>
        <r>
          <rPr>
            <sz val="9"/>
            <color rgb="FF000000"/>
            <rFont val="Arial"/>
            <family val="2"/>
          </rPr>
          <t>IBM 3Q25 10-Q R12 (S7) | Page n/a | Approximately 68 percent</t>
        </r>
      </text>
    </comment>
    <comment ref="D55" authorId="0">
      <text>
        <r>
          <rPr>
            <sz val="9"/>
            <color rgb="FF000000"/>
            <rFont val="Arial"/>
            <family val="2"/>
          </rPr>
          <t>IBM FY25 10-K R13 (S8) | Page n/a | Approximately 67 percent</t>
        </r>
      </text>
    </comment>
    <comment ref="F55" authorId="0">
      <text>
        <r>
          <rPr>
            <sz val="9"/>
            <color rgb="FF000000"/>
            <rFont val="Arial"/>
            <family val="2"/>
          </rPr>
          <t>IBM 1Q26 10-Q R12 (S9) | Page n/a | Approximately 69 percent</t>
        </r>
      </text>
    </comment>
    <comment ref="G55" authorId="0">
      <text>
        <r>
          <rPr>
            <sz val="9"/>
            <color rgb="FF000000"/>
            <rFont val="Arial"/>
            <family val="2"/>
          </rPr>
          <t>IBM 2Q26 10-Q R12 (S10) | Page n/a | Approximately 69 percent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IBM 3Q25 10-Q R12 (S7) | Page n/a | 1,886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IBM 1Q26 10-Q R12 (S9) | Page n/a | 1,905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IBM 2Q26 10-Q R12 (S10) | Page n/a | 1,998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IBM 3Q25 8-K Ex.99.1 (S3) | Page n/a | 12.0% at constant currency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IBM 4Q25 8-K Ex.99.1 (S4) | Page n/a | 8.0% at constant currency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IBM 1Q26 8-K Ex.99.1 (S5) | Page n/a | 10.0% at constant currency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IBM 2Q26 8-K Ex.99.1 (S6) | Page n/a | 11.0% at constant currency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IBM 3Q25 10-Q R12 (S7) | Page n/a | 1,934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IBM 1Q26 10-Q R12 (S9) | Page n/a | 1,741</t>
        </r>
      </text>
    </comment>
    <comment ref="G17" authorId="0">
      <text>
        <r>
          <rPr>
            <sz val="9"/>
            <color rgb="FF000000"/>
            <rFont val="Arial"/>
            <family val="2"/>
          </rPr>
          <t>IBM 2Q26 10-Q R12 (S10) | Page n/a | 1,951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IBM 3Q25 8-K Ex.99.1 (S3) | Page n/a | 22.0% at constant currency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IBM 4Q25 8-K Ex.99.1 (S4) | Page n/a | 14.0% at constant currency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IBM 1Q26 8-K Ex.99.1 (S5) | Page n/a | 7.0% at constant currency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IBM 2Q26 8-K Ex.99.1 (S6) | Page n/a | 3.0% at constant currency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IBM 3Q25 10-Q R12 (S7) | Page n/a | 1,459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IBM 1Q26 10-Q R12 (S9) | Page n/a | 1,474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IBM 2Q26 10-Q R12 (S10) | Page n/a | 1,782</t>
        </r>
      </text>
    </comment>
    <comment ref="C27" authorId="0">
      <text>
        <r>
          <rPr>
            <sz val="9"/>
            <color rgb="FF000000"/>
            <rFont val="Arial"/>
            <family val="2"/>
          </rPr>
          <t>IBM 3Q25 8-K Ex.99.1 (S3) | Page n/a | 7.0% at constant currency</t>
        </r>
      </text>
    </comment>
    <comment ref="D27" authorId="0">
      <text>
        <r>
          <rPr>
            <sz val="9"/>
            <color rgb="FF000000"/>
            <rFont val="Arial"/>
            <family val="2"/>
          </rPr>
          <t>IBM 4Q25 8-K Ex.99.1 (S4) | Page n/a | 19.0% at constant currency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IBM 1Q26 8-K Ex.99.1 (S5) | Page n/a | 16.0% at constant currency</t>
        </r>
      </text>
    </comment>
    <comment ref="G27" authorId="0">
      <text>
        <r>
          <rPr>
            <sz val="9"/>
            <color rgb="FF000000"/>
            <rFont val="Arial"/>
            <family val="2"/>
          </rPr>
          <t>IBM 2Q26 8-K Ex.99.1 (S6) | Page n/a | 18.0% at constant currency</t>
        </r>
      </text>
    </comment>
    <comment ref="C31" authorId="0">
      <text>
        <r>
          <rPr>
            <sz val="9"/>
            <color rgb="FF000000"/>
            <rFont val="Arial"/>
            <family val="2"/>
          </rPr>
          <t>IBM 3Q25 10-Q R12 (S7) | Page n/a | 1,930</t>
        </r>
      </text>
    </comment>
    <comment ref="F31" authorId="0">
      <text>
        <r>
          <rPr>
            <sz val="9"/>
            <color rgb="FF000000"/>
            <rFont val="Arial"/>
            <family val="2"/>
          </rPr>
          <t>IBM 1Q26 10-Q R12 (S9) | Page n/a | 1,932</t>
        </r>
      </text>
    </comment>
    <comment ref="G31" authorId="0">
      <text>
        <r>
          <rPr>
            <sz val="9"/>
            <color rgb="FF000000"/>
            <rFont val="Arial"/>
            <family val="2"/>
          </rPr>
          <t>IBM 2Q26 10-Q R12 (S10) | Page n/a | 2,030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IBM 3Q25 8-K Ex.99.1 (S3) | Page n/a | -3.0% at constant currency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IBM 4Q25 8-K Ex.99.1 (S4) | Page n/a | 4.0% at constant currency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IBM 1Q26 8-K Ex.99.1 (S5) | Page n/a | 2.0% at constant currency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IBM 2Q26 8-K Ex.99.1 (S6) | Page n/a | -9.0% at constant currency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IBM 3Q25 8-K Ex.99.1 (S3) | Page n/a | Change YTY revenue - constant currency 8.8%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IBM 4Q25 8-K Ex.99.1 (S4) | Page n/a | Change YTY revenue - constant currency 10.7%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IBM 4Q25 8-K Ex.99.1 (S4) | Page n/a | Change YTY revenue - constant currency 9.1%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IBM 1Q26 8-K Ex.99.1 (S5) | Page n/a | Change YTY revenue - constant currency 7.9%</t>
        </r>
      </text>
    </comment>
    <comment ref="G42" authorId="0">
      <text>
        <r>
          <rPr>
            <sz val="9"/>
            <color rgb="FF000000"/>
            <rFont val="Arial"/>
            <family val="2"/>
          </rPr>
          <t>IBM 2Q26 8-K Ex.99.1 (S6) | Page n/a | Change YTY revenue - constant currency 4.6%</t>
        </r>
      </text>
    </comment>
    <comment ref="G44" authorId="0">
      <text>
        <r>
          <rPr>
            <sz val="9"/>
            <color rgb="FF000000"/>
            <rFont val="Arial"/>
            <family val="2"/>
          </rPr>
          <t>IBM 2Q26 prepared remarks (S11) | Page n/a | Software revenue grew 5% this quarter, with flat organic revenue growth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IBM 3Q25 8-K Ex.99.1 (S3) | Page n/a | 7,209</t>
        </r>
      </text>
    </comment>
    <comment ref="D47" authorId="0">
      <text>
        <r>
          <rPr>
            <sz val="9"/>
            <color rgb="FF000000"/>
            <rFont val="Arial"/>
            <family val="2"/>
          </rPr>
          <t>IBM 4Q25 8-K Ex.99.1 (S4) | Page n/a | 9,031</t>
        </r>
      </text>
    </comment>
    <comment ref="E47" authorId="0">
      <text>
        <r>
          <rPr>
            <sz val="9"/>
            <color rgb="FF000000"/>
            <rFont val="Arial"/>
            <family val="2"/>
          </rPr>
          <t>IBM 4Q25 8-K Ex.99.1 (S4) | Page n/a | 29,962</t>
        </r>
      </text>
    </comment>
    <comment ref="F47" authorId="0">
      <text>
        <r>
          <rPr>
            <sz val="9"/>
            <color rgb="FF000000"/>
            <rFont val="Arial"/>
            <family val="2"/>
          </rPr>
          <t>IBM 1Q26 8-K Ex.99.1 (S5) | Page n/a | 7,052</t>
        </r>
      </text>
    </comment>
    <comment ref="G47" authorId="0">
      <text>
        <r>
          <rPr>
            <sz val="9"/>
            <color rgb="FF000000"/>
            <rFont val="Arial"/>
            <family val="2"/>
          </rPr>
          <t>IBM 2Q26 8-K Ex.99.1 (S6) | Page n/a | 7,761</t>
        </r>
      </text>
    </comment>
    <comment ref="C54" authorId="0">
      <text>
        <r>
          <rPr>
            <sz val="9"/>
            <color rgb="FF000000"/>
            <rFont val="Arial"/>
            <family val="2"/>
          </rPr>
          <t>IBM 3Q25 earnings charts (S33) | Page n/a | Annual recurring revenue $23.2</t>
        </r>
      </text>
    </comment>
    <comment ref="D54" authorId="0">
      <text>
        <r>
          <rPr>
            <sz val="9"/>
            <color rgb="FF000000"/>
            <rFont val="Arial"/>
            <family val="2"/>
          </rPr>
          <t>IBM 4Q25 earnings charts (S34) | Page n/a | Annual recurring revenue $23.6</t>
        </r>
      </text>
    </comment>
    <comment ref="F54" authorId="0">
      <text>
        <r>
          <rPr>
            <sz val="9"/>
            <color rgb="FF000000"/>
            <rFont val="Arial"/>
            <family val="2"/>
          </rPr>
          <t>IBM 1Q26 earnings charts (S35) | Page n/a | Annual recurring revenue $24.6</t>
        </r>
      </text>
    </comment>
    <comment ref="G54" authorId="0">
      <text>
        <r>
          <rPr>
            <sz val="9"/>
            <color rgb="FF000000"/>
            <rFont val="Arial"/>
            <family val="2"/>
          </rPr>
          <t>IBM 2Q26 earnings charts (S13) | Page n/a | ARR of $24.6B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IBM 3Q25 earnings charts (S33) | Page n/a | $23.2 9%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IBM 1Q26 earnings charts (S35) | Page n/a | $24.6 10%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IBM 2Q26 earnings charts (S13) | Page n/a | up 8% since last year</t>
        </r>
      </text>
    </comment>
    <comment ref="G59" authorId="0">
      <text>
        <r>
          <rPr>
            <sz val="9"/>
            <color rgb="FF000000"/>
            <rFont val="Arial"/>
            <family val="2"/>
          </rPr>
          <t>IBM 2Q26 prepared remarks (S11) | Page n/a | About 80% of our annual Software revenue is recurring</t>
        </r>
      </text>
    </comment>
    <comment ref="F62" authorId="0">
      <text>
        <r>
          <rPr>
            <sz val="9"/>
            <color rgb="FF000000"/>
            <rFont val="Arial"/>
            <family val="2"/>
          </rPr>
          <t>IBM 1Q26 earnings charts (S35) | Page n/a | OpenShift ARR now $2B</t>
        </r>
      </text>
    </comment>
    <comment ref="G62" authorId="0">
      <text>
        <r>
          <rPr>
            <sz val="9"/>
            <color rgb="FF000000"/>
            <rFont val="Arial"/>
            <family val="2"/>
          </rPr>
          <t>IBM 2Q26 earnings charts (S13) | Page n/a | OpenShift ARR now $2.2B</t>
        </r>
      </text>
    </comment>
    <comment ref="C66" authorId="0">
      <text>
        <r>
          <rPr>
            <sz val="9"/>
            <color rgb="FF000000"/>
            <rFont val="Arial"/>
            <family val="2"/>
          </rPr>
          <t>IBM 3Q25 8-K Ex.99.1 (S3) | Page n/a | 83.1%</t>
        </r>
      </text>
    </comment>
    <comment ref="D66" authorId="0">
      <text>
        <r>
          <rPr>
            <sz val="9"/>
            <color rgb="FF000000"/>
            <rFont val="Arial"/>
            <family val="2"/>
          </rPr>
          <t>IBM 4Q25 8-K Ex.99.1 (S4) | Page n/a | 83.4%</t>
        </r>
      </text>
    </comment>
    <comment ref="E66" authorId="0">
      <text>
        <r>
          <rPr>
            <sz val="9"/>
            <color rgb="FF000000"/>
            <rFont val="Arial"/>
            <family val="2"/>
          </rPr>
          <t>IBM 4Q25 8-K Ex.99.1 (S4) | Page n/a | 83.5%</t>
        </r>
      </text>
    </comment>
    <comment ref="F66" authorId="0">
      <text>
        <r>
          <rPr>
            <sz val="9"/>
            <color rgb="FF000000"/>
            <rFont val="Arial"/>
            <family val="2"/>
          </rPr>
          <t>IBM 1Q26 8-K Ex.99.1 (S5) | Page n/a | 82.8%</t>
        </r>
      </text>
    </comment>
    <comment ref="G66" authorId="0">
      <text>
        <r>
          <rPr>
            <sz val="9"/>
            <color rgb="FF000000"/>
            <rFont val="Arial"/>
            <family val="2"/>
          </rPr>
          <t>IBM 2Q26 8-K Ex.99.1 (S6) | Page n/a | 82.6%</t>
        </r>
      </text>
    </comment>
    <comment ref="C71" authorId="0">
      <text>
        <r>
          <rPr>
            <sz val="9"/>
            <color rgb="FF000000"/>
            <rFont val="Arial"/>
            <family val="2"/>
          </rPr>
          <t>IBM 3Q25 8-K Ex.99.1 (S3) | Page n/a | 2,374</t>
        </r>
      </text>
    </comment>
    <comment ref="D71" authorId="0">
      <text>
        <r>
          <rPr>
            <sz val="9"/>
            <color rgb="FF000000"/>
            <rFont val="Arial"/>
            <family val="2"/>
          </rPr>
          <t>IBM 4Q25 8-K Ex.99.1 (S4) | Page n/a | 3,403</t>
        </r>
      </text>
    </comment>
    <comment ref="E71" authorId="0">
      <text>
        <r>
          <rPr>
            <sz val="9"/>
            <color rgb="FF000000"/>
            <rFont val="Arial"/>
            <family val="2"/>
          </rPr>
          <t>IBM 4Q25 8-K Ex.99.1 (S4) | Page n/a | 9,920</t>
        </r>
      </text>
    </comment>
    <comment ref="F71" authorId="0">
      <text>
        <r>
          <rPr>
            <sz val="9"/>
            <color rgb="FF000000"/>
            <rFont val="Arial"/>
            <family val="2"/>
          </rPr>
          <t>IBM 1Q26 8-K Ex.99.1 (S5) | Page n/a | 2,099</t>
        </r>
      </text>
    </comment>
    <comment ref="G71" authorId="0">
      <text>
        <r>
          <rPr>
            <sz val="9"/>
            <color rgb="FF000000"/>
            <rFont val="Arial"/>
            <family val="2"/>
          </rPr>
          <t>IBM 2Q26 8-K Ex.99.1 (S6) | Page n/a | 2,502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IBM 3Q25 10-Q R12 (S7) | Page n/a | 2,905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IBM 1Q26 10-Q R12 (S9) | Page n/a | 2,896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IBM 2Q26 10-Q R12 (S10) | Page n/a | 2,933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IBM 3Q25 8-K Ex.99.1 (S3) | Page n/a | 0.0% at constant currency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IBM 4Q25 8-K Ex.99.1 (S4) | Page n/a | 0.0% at constant currency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IBM 1Q26 8-K Ex.99.1 (S5) | Page n/a | 1.0% at constant currency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IBM 2Q26 8-K Ex.99.1 (S6) | Page n/a | 1.0% at constant currency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IBM 3Q25 10-Q R12 (S7) | Page n/a | 2,419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IBM 1Q26 10-Q R12 (S9) | Page n/a | 2,376</t>
        </r>
      </text>
    </comment>
    <comment ref="G17" authorId="0">
      <text>
        <r>
          <rPr>
            <sz val="9"/>
            <color rgb="FF000000"/>
            <rFont val="Arial"/>
            <family val="2"/>
          </rPr>
          <t>IBM 2Q26 10-Q R12 (S10) | Page n/a | 2,394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IBM 3Q25 8-K Ex.99.1 (S3) | Page n/a | 4.0% at constant currency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IBM 4Q25 8-K Ex.99.1 (S4) | Page n/a | 3.0% at constant currency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IBM 1Q26 8-K Ex.99.1 (S5) | Page n/a | 1.0% at constant currency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IBM 2Q26 8-K Ex.99.1 (S6) | Page n/a | 1.0% at constant currency</t>
        </r>
      </text>
    </comment>
    <comment ref="C28" authorId="0">
      <text>
        <r>
          <rPr>
            <sz val="9"/>
            <color rgb="FF000000"/>
            <rFont val="Arial"/>
            <family val="2"/>
          </rPr>
          <t>IBM 3Q25 8-K Ex.99.1 (S3) | Page n/a | Change YTY revenue - constant currency 1.5%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IBM 4Q25 8-K Ex.99.1 (S4) | Page n/a | Change YTY revenue - constant currency 1.0%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IBM 4Q25 8-K Ex.99.1 (S4) | Page n/a | Change YTY revenue - constant currency 0.4%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IBM 1Q26 8-K Ex.99.1 (S5) | Page n/a | Change YTY revenue - constant currency 0.9%</t>
        </r>
      </text>
    </comment>
    <comment ref="G28" authorId="0">
      <text>
        <r>
          <rPr>
            <sz val="9"/>
            <color rgb="FF000000"/>
            <rFont val="Arial"/>
            <family val="2"/>
          </rPr>
          <t>IBM 2Q26 8-K Ex.99.1 (S6) | Page n/a | Change YTY revenue - constant currency 1.1%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IBM 3Q25 8-K Ex.99.1 (S3) | Page n/a | 5,324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IBM 4Q25 8-K Ex.99.1 (S4) | Page n/a | 5,349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IBM 4Q25 8-K Ex.99.1 (S4) | Page n/a | 21,055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IBM 1Q26 8-K Ex.99.1 (S5) | Page n/a | 5,272</t>
        </r>
      </text>
    </comment>
    <comment ref="G32" authorId="0">
      <text>
        <r>
          <rPr>
            <sz val="9"/>
            <color rgb="FF000000"/>
            <rFont val="Arial"/>
            <family val="2"/>
          </rPr>
          <t>IBM 2Q26 8-K Ex.99.1 (S6) | Page n/a | 5,327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IBM 3Q25 earnings charts (S33) | Page n/a | Signings $5.2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IBM 4Q25 earnings charts (S34) | Page n/a | Signings $6.8</t>
        </r>
      </text>
    </comment>
    <comment ref="E37" authorId="0">
      <text>
        <r>
          <rPr>
            <sz val="9"/>
            <color rgb="FF000000"/>
            <rFont val="Arial"/>
            <family val="2"/>
          </rPr>
          <t>IBM 4Q25 earnings charts (S34) | Page n/a | $21.8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IBM 1Q26 earnings charts (S35) | Page n/a | Signings $5.4</t>
        </r>
      </text>
    </comment>
    <comment ref="G37" authorId="0">
      <text>
        <r>
          <rPr>
            <sz val="9"/>
            <color rgb="FF000000"/>
            <rFont val="Arial"/>
            <family val="2"/>
          </rPr>
          <t>IBM 2Q26 earnings charts (S13) | Page n/a | Signings $5.0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IBM 3Q25 earnings charts (S33) | Page n/a | (5%)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IBM 4Q25 earnings charts (S34) | Page n/a | (22%)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IBM 4Q25 earnings charts (S34) | Page n/a | (15%)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IBM 1Q26 earnings charts (S35) | Page n/a | 6%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IBM 2Q26 earnings charts (S13) | Page n/a | 6%</t>
        </r>
      </text>
    </comment>
    <comment ref="D43" authorId="0">
      <text>
        <r>
          <rPr>
            <sz val="9"/>
            <color rgb="FF000000"/>
            <rFont val="Arial"/>
            <family val="2"/>
          </rPr>
          <t>IBM 4Q25 earnings charts (S34) | Page n/a | $32B backlog, up 2% at actual rates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IBM 3Q25 earnings charts (S33) | Page n/a | Book-to-bill ratio (TTM) 1.12</t>
        </r>
      </text>
    </comment>
    <comment ref="D45" authorId="0">
      <text>
        <r>
          <rPr>
            <sz val="9"/>
            <color rgb="FF000000"/>
            <rFont val="Arial"/>
            <family val="2"/>
          </rPr>
          <t>IBM 4Q25 earnings charts (S34) | Page n/a | Book-to-bill ratio (FY) 1.03</t>
        </r>
      </text>
    </comment>
    <comment ref="F45" authorId="0">
      <text>
        <r>
          <rPr>
            <sz val="9"/>
            <color rgb="FF000000"/>
            <rFont val="Arial"/>
            <family val="2"/>
          </rPr>
          <t>IBM 1Q26 earnings charts (S35) | Page n/a | Book-to-bill ratio (TTM) 1.04</t>
        </r>
      </text>
    </comment>
    <comment ref="G45" authorId="0">
      <text>
        <r>
          <rPr>
            <sz val="9"/>
            <color rgb="FF000000"/>
            <rFont val="Arial"/>
            <family val="2"/>
          </rPr>
          <t>IBM 2Q26 earnings charts (S13) | Page n/a | Book-to-bill ratio (TTM) 1.05</t>
        </r>
      </text>
    </comment>
    <comment ref="G47" authorId="0">
      <text>
        <r>
          <rPr>
            <sz val="9"/>
            <color rgb="FF000000"/>
            <rFont val="Arial"/>
            <family val="2"/>
          </rPr>
          <t>IBM 2Q26 earnings charts (S13) | Page n/a | representing ~50% of signings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IBM 3Q25 8-K Ex.99.1 (S3) | Page n/a | 29.3%</t>
        </r>
      </text>
    </comment>
    <comment ref="D51" authorId="0">
      <text>
        <r>
          <rPr>
            <sz val="9"/>
            <color rgb="FF000000"/>
            <rFont val="Arial"/>
            <family val="2"/>
          </rPr>
          <t>IBM 4Q25 8-K Ex.99.1 (S4) | Page n/a | 28.4%</t>
        </r>
      </text>
    </comment>
    <comment ref="E51" authorId="0">
      <text>
        <r>
          <rPr>
            <sz val="9"/>
            <color rgb="FF000000"/>
            <rFont val="Arial"/>
            <family val="2"/>
          </rPr>
          <t>IBM 4Q25 8-K Ex.99.1 (S4) | Page n/a | 28.1%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IBM 1Q26 8-K Ex.99.1 (S5) | Page n/a | 27.5%</t>
        </r>
      </text>
    </comment>
    <comment ref="G51" authorId="0">
      <text>
        <r>
          <rPr>
            <sz val="9"/>
            <color rgb="FF000000"/>
            <rFont val="Arial"/>
            <family val="2"/>
          </rPr>
          <t>IBM 2Q26 8-K Ex.99.1 (S6) | Page n/a | 28.9%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IBM 3Q25 8-K Ex.99.1 (S3) | Page n/a | 686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IBM 4Q25 8-K Ex.99.1 (S4) | Page n/a | 658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IBM 4Q25 8-K Ex.99.1 (S4) | Page n/a | 2,464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IBM 1Q26 8-K Ex.99.1 (S5) | Page n/a | 558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IBM 2Q26 8-K Ex.99.1 (S6) | Page n/a | 647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IBM 3Q25 10-Q R12 (S7) | Page n/a | 2,263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IBM 1Q26 10-Q R12 (S9) | Page n/a | 2,108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IBM 2Q26 10-Q R12 (S10) | Page n/a | 2,570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IBM 3Q25 8-K Ex.99.1 (S3) | Page n/a | 26.0% at constant currency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IBM 4Q25 8-K Ex.99.1 (S4) | Page n/a | 24.0% at constant currency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IBM 1Q26 8-K Ex.99.1 (S5) | Page n/a | 25.0% at constant currency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IBM 2Q26 8-K Ex.99.1 (S6) | Page n/a | -10.0% at constant currency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IBM 3Q25 8-K Ex.99.1 (S3) | Page n/a | up 61%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IBM 4Q25 8-K Ex.99.1 (S4) | Page n/a | up 67%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IBM 1Q26 8-K Ex.99.1 (S5) | Page n/a | up 51%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IBM 2Q26 8-K Ex.99.1 (S6) | Page n/a | down 42%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IBM 3Q25 8-K Ex.99.1 (S3) | Page n/a | 59 percent at constant currency</t>
        </r>
      </text>
    </comment>
    <comment ref="D19" authorId="0">
      <text>
        <r>
          <rPr>
            <sz val="9"/>
            <color rgb="FF000000"/>
            <rFont val="Arial"/>
            <family val="2"/>
          </rPr>
          <t>IBM 4Q25 8-K Ex.99.1 (S4) | Page n/a | 61 percent at constant currency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IBM 1Q26 8-K Ex.99.1 (S5) | Page n/a | 48 percent at constant currency</t>
        </r>
      </text>
    </comment>
    <comment ref="G19" authorId="0">
      <text>
        <r>
          <rPr>
            <sz val="9"/>
            <color rgb="FF000000"/>
            <rFont val="Arial"/>
            <family val="2"/>
          </rPr>
          <t>IBM 2Q26 8-K Ex.99.1 (S6) | Page n/a | -42 percent at constant currency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IBM 3Q25 8-K Ex.99.1 (S3) | Page n/a | up 10%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IBM 4Q25 8-K Ex.99.1 (S4) | Page n/a | up 3%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IBM 1Q26 8-K Ex.99.1 (S5) | Page n/a | up 17%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IBM 2Q26 8-K Ex.99.1 (S6) | Page n/a | up 37%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IBM 3Q25 8-K Ex.99.1 (S3) | Page n/a | 8 percent at constant currency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IBM 4Q25 8-K Ex.99.1 (S4) | Page n/a | 0 percent at constant currency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IBM 1Q26 8-K Ex.99.1 (S5) | Page n/a | 13 percent at constant currency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IBM 2Q26 8-K Ex.99.1 (S6) | Page n/a | 37 percent at constant currency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IBM 3Q25 10-Q R12 (S7) | Page n/a | 1,296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IBM 1Q26 10-Q R12 (S9) | Page n/a | 1,218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IBM 2Q26 10-Q R12 (S10) | Page n/a | 1,265</t>
        </r>
      </text>
    </comment>
    <comment ref="C39" authorId="0">
      <text>
        <r>
          <rPr>
            <sz val="9"/>
            <color rgb="FF000000"/>
            <rFont val="Arial"/>
            <family val="2"/>
          </rPr>
          <t>IBM 3Q25 8-K Ex.99.1 (S3) | Page n/a | 0.0% at constant currency</t>
        </r>
      </text>
    </comment>
    <comment ref="D39" authorId="0">
      <text>
        <r>
          <rPr>
            <sz val="9"/>
            <color rgb="FF000000"/>
            <rFont val="Arial"/>
            <family val="2"/>
          </rPr>
          <t>IBM 4Q25 8-K Ex.99.1 (S4) | Page n/a | -2.0% at constant currency</t>
        </r>
      </text>
    </comment>
    <comment ref="F39" authorId="0">
      <text>
        <r>
          <rPr>
            <sz val="9"/>
            <color rgb="FF000000"/>
            <rFont val="Arial"/>
            <family val="2"/>
          </rPr>
          <t>IBM 1Q26 8-K Ex.99.1 (S5) | Page n/a | -6.0% at constant currency</t>
        </r>
      </text>
    </comment>
    <comment ref="G39" authorId="0">
      <text>
        <r>
          <rPr>
            <sz val="9"/>
            <color rgb="FF000000"/>
            <rFont val="Arial"/>
            <family val="2"/>
          </rPr>
          <t>IBM 2Q26 8-K Ex.99.1 (S6) | Page n/a | -1.0% at constant currency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IBM 3Q25 8-K Ex.99.1 (S3) | Page n/a | Change YTY revenue - constant currency 15.1%</t>
        </r>
      </text>
    </comment>
    <comment ref="D47" authorId="0">
      <text>
        <r>
          <rPr>
            <sz val="9"/>
            <color rgb="FF000000"/>
            <rFont val="Arial"/>
            <family val="2"/>
          </rPr>
          <t>IBM 4Q25 8-K Ex.99.1 (S4) | Page n/a | Change YTY revenue - constant currency 16.6%</t>
        </r>
      </text>
    </comment>
    <comment ref="E47" authorId="0">
      <text>
        <r>
          <rPr>
            <sz val="9"/>
            <color rgb="FF000000"/>
            <rFont val="Arial"/>
            <family val="2"/>
          </rPr>
          <t>IBM 4Q25 8-K Ex.99.1 (S4) | Page n/a | Change YTY revenue - constant currency 10.4%</t>
        </r>
      </text>
    </comment>
    <comment ref="F47" authorId="0">
      <text>
        <r>
          <rPr>
            <sz val="9"/>
            <color rgb="FF000000"/>
            <rFont val="Arial"/>
            <family val="2"/>
          </rPr>
          <t>IBM 1Q26 8-K Ex.99.1 (S5) | Page n/a | Change YTY revenue - constant currency 11.7%</t>
        </r>
      </text>
    </comment>
    <comment ref="G47" authorId="0">
      <text>
        <r>
          <rPr>
            <sz val="9"/>
            <color rgb="FF000000"/>
            <rFont val="Arial"/>
            <family val="2"/>
          </rPr>
          <t>IBM 2Q26 8-K Ex.99.1 (S6) | Page n/a | Change YTY revenue - constant currency -7.4%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IBM 3Q25 8-K Ex.99.1 (S3) | Page n/a | 3,559</t>
        </r>
      </text>
    </comment>
    <comment ref="D51" authorId="0">
      <text>
        <r>
          <rPr>
            <sz val="9"/>
            <color rgb="FF000000"/>
            <rFont val="Arial"/>
            <family val="2"/>
          </rPr>
          <t>IBM 4Q25 8-K Ex.99.1 (S4) | Page n/a | 5,132</t>
        </r>
      </text>
    </comment>
    <comment ref="E51" authorId="0">
      <text>
        <r>
          <rPr>
            <sz val="9"/>
            <color rgb="FF000000"/>
            <rFont val="Arial"/>
            <family val="2"/>
          </rPr>
          <t>IBM 4Q25 8-K Ex.99.1 (S4) | Page n/a | 15,718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IBM 1Q26 8-K Ex.99.1 (S5) | Page n/a | 3,326</t>
        </r>
      </text>
    </comment>
    <comment ref="G51" authorId="0">
      <text>
        <r>
          <rPr>
            <sz val="9"/>
            <color rgb="FF000000"/>
            <rFont val="Arial"/>
            <family val="2"/>
          </rPr>
          <t>IBM 2Q26 8-K Ex.99.1 (S6) | Page n/a | 3,835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IBM 2Q26 8-K Ex.99.1 (S6) | Page n/a | order backlog of nearly $500 million</t>
        </r>
      </text>
    </comment>
    <comment ref="G58" authorId="0">
      <text>
        <r>
          <rPr>
            <sz val="9"/>
            <color rgb="FF000000"/>
            <rFont val="Arial"/>
            <family val="2"/>
          </rPr>
          <t>IBM 2Q26 prepared remarks (S11) | Page n/a | nearly 130% program-to-program</t>
        </r>
      </text>
    </comment>
    <comment ref="C61" authorId="0">
      <text>
        <r>
          <rPr>
            <sz val="9"/>
            <color rgb="FF000000"/>
            <rFont val="Arial"/>
            <family val="2"/>
          </rPr>
          <t>IBM 3Q25 8-K Ex.99.1 (S3) | Page n/a | 57.2%</t>
        </r>
      </text>
    </comment>
    <comment ref="D61" authorId="0">
      <text>
        <r>
          <rPr>
            <sz val="9"/>
            <color rgb="FF000000"/>
            <rFont val="Arial"/>
            <family val="2"/>
          </rPr>
          <t>IBM 4Q25 8-K Ex.99.1 (S4) | Page n/a | 60.6%</t>
        </r>
      </text>
    </comment>
    <comment ref="E61" authorId="0">
      <text>
        <r>
          <rPr>
            <sz val="9"/>
            <color rgb="FF000000"/>
            <rFont val="Arial"/>
            <family val="2"/>
          </rPr>
          <t>IBM 4Q25 8-K Ex.99.1 (S4) | Page n/a | 58.6%</t>
        </r>
      </text>
    </comment>
    <comment ref="F61" authorId="0">
      <text>
        <r>
          <rPr>
            <sz val="9"/>
            <color rgb="FF000000"/>
            <rFont val="Arial"/>
            <family val="2"/>
          </rPr>
          <t>IBM 1Q26 8-K Ex.99.1 (S5) | Page n/a | 56.9%</t>
        </r>
      </text>
    </comment>
    <comment ref="G61" authorId="0">
      <text>
        <r>
          <rPr>
            <sz val="9"/>
            <color rgb="FF000000"/>
            <rFont val="Arial"/>
            <family val="2"/>
          </rPr>
          <t>IBM 2Q26 8-K Ex.99.1 (S6) | Page n/a | 58.4%</t>
        </r>
      </text>
    </comment>
    <comment ref="C66" authorId="0">
      <text>
        <r>
          <rPr>
            <sz val="9"/>
            <color rgb="FF000000"/>
            <rFont val="Arial"/>
            <family val="2"/>
          </rPr>
          <t>IBM 3Q25 8-K Ex.99.1 (S3) | Page n/a | 644</t>
        </r>
      </text>
    </comment>
    <comment ref="D66" authorId="0">
      <text>
        <r>
          <rPr>
            <sz val="9"/>
            <color rgb="FF000000"/>
            <rFont val="Arial"/>
            <family val="2"/>
          </rPr>
          <t>IBM 4Q25 8-K Ex.99.1 (S4) | Page n/a | 1,601</t>
        </r>
      </text>
    </comment>
    <comment ref="E66" authorId="0">
      <text>
        <r>
          <rPr>
            <sz val="9"/>
            <color rgb="FF000000"/>
            <rFont val="Arial"/>
            <family val="2"/>
          </rPr>
          <t>IBM 4Q25 8-K Ex.99.1 (S4) | Page n/a | 3,458</t>
        </r>
      </text>
    </comment>
    <comment ref="F66" authorId="0">
      <text>
        <r>
          <rPr>
            <sz val="9"/>
            <color rgb="FF000000"/>
            <rFont val="Arial"/>
            <family val="2"/>
          </rPr>
          <t>IBM 1Q26 8-K Ex.99.1 (S5) | Page n/a | 524</t>
        </r>
      </text>
    </comment>
    <comment ref="G66" authorId="0">
      <text>
        <r>
          <rPr>
            <sz val="9"/>
            <color rgb="FF000000"/>
            <rFont val="Arial"/>
            <family val="2"/>
          </rPr>
          <t>IBM 2Q26 8-K Ex.99.1 (S6) | Page n/a | 835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21" authorId="0">
      <text>
        <r>
          <rPr>
            <sz val="9"/>
            <color rgb="FF000000"/>
            <rFont val="Arial"/>
            <family val="2"/>
          </rPr>
          <t>IBM 3Q25 8-K Ex.99.1 (S3) | Page n/a | 200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IBM 4Q25 8-K Ex.99.1 (S4) | Page n/a | 179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IBM 4Q25 8-K Ex.99.1 (S4) | Page n/a | 737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IBM 1Q26 8-K Ex.99.1 (S5) | Page n/a | 220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IBM 2Q26 8-K Ex.99.1 (S6) | Page n/a | 186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IBM 3Q25 8-K Ex.99.1 (S3) | Page n/a | Change YTY revenue - constant currency 8.5%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IBM 4Q25 8-K Ex.99.1 (S4) | Page n/a | Change YTY revenue - constant currency 2.4%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IBM 4Q25 8-K Ex.99.1 (S4) | Page n/a | Change YTY revenue - constant currency 2.5%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IBM 1Q26 8-K Ex.99.1 (S5) | Page n/a | Change YTY revenue - constant currency 10.2%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IBM 2Q26 8-K Ex.99.1 (S6) | Page n/a | Change YTY revenue - constant currency 11.3%</t>
        </r>
      </text>
    </comment>
    <comment ref="C30" authorId="0">
      <text>
        <r>
          <rPr>
            <sz val="9"/>
            <color rgb="FF000000"/>
            <rFont val="Arial"/>
            <family val="2"/>
          </rPr>
          <t>IBM 3Q25 8-K Ex.99.1 (S3) | Page n/a | IBM Financing debt of $11.3 billion</t>
        </r>
      </text>
    </comment>
    <comment ref="D30" authorId="0">
      <text>
        <r>
          <rPr>
            <sz val="9"/>
            <color rgb="FF000000"/>
            <rFont val="Arial"/>
            <family val="2"/>
          </rPr>
          <t>IBM 4Q25 8-K Ex.99.1 (S4) | Page n/a | IBM Financing debt of $15.1 billion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IBM 1Q26 8-K Ex.99.1 (S5) | Page n/a | IBM Financing debt of $12.8 billion</t>
        </r>
      </text>
    </comment>
    <comment ref="G30" authorId="0">
      <text>
        <r>
          <rPr>
            <sz val="9"/>
            <color rgb="FF000000"/>
            <rFont val="Arial"/>
            <family val="2"/>
          </rPr>
          <t>IBM 2Q26 8-K Ex.99.1 (S6) | Page n/a | IBM Financing debt of $13.0 billion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IBM 3Q25 8-K Ex.99.1 (S3) | Page n/a | 45.6%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IBM 4Q25 8-K Ex.99.1 (S4) | Page n/a | 44.1%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IBM 4Q25 8-K Ex.99.1 (S4) | Page n/a | 45.3%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IBM 1Q26 8-K Ex.99.1 (S5) | Page n/a | 43.4%</t>
        </r>
      </text>
    </comment>
    <comment ref="G32" authorId="0">
      <text>
        <r>
          <rPr>
            <sz val="9"/>
            <color rgb="FF000000"/>
            <rFont val="Arial"/>
            <family val="2"/>
          </rPr>
          <t>IBM 2Q26 8-K Ex.99.1 (S6) | Page n/a | 42.5%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IBM 3Q25 8-K Ex.99.1 (S3) | Page n/a | 123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IBM 4Q25 8-K Ex.99.1 (S4) | Page n/a | 150</t>
        </r>
      </text>
    </comment>
    <comment ref="E37" authorId="0">
      <text>
        <r>
          <rPr>
            <sz val="9"/>
            <color rgb="FF000000"/>
            <rFont val="Arial"/>
            <family val="2"/>
          </rPr>
          <t>IBM 4Q25 8-K Ex.99.1 (S4) | Page n/a | 521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IBM 1Q26 8-K Ex.99.1 (S5) | Page n/a | 118</t>
        </r>
      </text>
    </comment>
    <comment ref="G37" authorId="0">
      <text>
        <r>
          <rPr>
            <sz val="9"/>
            <color rgb="FF000000"/>
            <rFont val="Arial"/>
            <family val="2"/>
          </rPr>
          <t>IBM 2Q26 8-K Ex.99.1 (S6) | Page n/a | 108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8" authorId="0">
      <text>
        <r>
          <rPr>
            <sz val="9"/>
            <color rgb="FF000000"/>
            <rFont val="Arial"/>
            <family val="2"/>
          </rPr>
          <t>IBM 3Q25 8-K Ex.99.1 (S3) | Page n/a | 9,360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IBM 4Q25 8-K Ex.99.1 (S4) | Page n/a | 11,928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IBM 4Q25 8-K Ex.99.1 (S4) | Page n/a | 39,297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IBM 1Q26 8-K Ex.99.1 (S5) | Page n/a | 8,950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IBM 2Q26 8-K Ex.99.1 (S6) | Page n/a | 9,907</t>
        </r>
      </text>
    </comment>
    <comment ref="C23" authorId="0">
      <text>
        <r>
          <rPr>
            <sz val="9"/>
            <color rgb="FF000000"/>
            <rFont val="Arial"/>
            <family val="2"/>
          </rPr>
          <t>IBM 3Q25 8-K Ex.99.1 (S3) | Page n/a | 4,748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IBM 4Q25 8-K Ex.99.1 (S4) | Page n/a | 5,462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IBM 4Q25 8-K Ex.99.1 (S4) | Page n/a | 20,123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IBM 1Q26 8-K Ex.99.1 (S5) | Page n/a | 5,089</t>
        </r>
      </text>
    </comment>
    <comment ref="G23" authorId="0">
      <text>
        <r>
          <rPr>
            <sz val="9"/>
            <color rgb="FF000000"/>
            <rFont val="Arial"/>
            <family val="2"/>
          </rPr>
          <t>IBM 2Q26 8-K Ex.99.1 (S6) | Page n/a | 4,981</t>
        </r>
      </text>
    </comment>
    <comment ref="C26" authorId="0">
      <text>
        <r>
          <rPr>
            <sz val="9"/>
            <color rgb="FF000000"/>
            <rFont val="Arial"/>
            <family val="2"/>
          </rPr>
          <t>IBM 3Q25 8-K Ex.99.1 (S3) | Page n/a | 2,082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IBM 4Q25 8-K Ex.99.1 (S4) | Page n/a | 2,187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IBM 4Q25 8-K Ex.99.1 (S4) | Page n/a | 8,316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IBM 1Q26 8-K Ex.99.1 (S5) | Page n/a | 2,173</t>
        </r>
      </text>
    </comment>
    <comment ref="G26" authorId="0">
      <text>
        <r>
          <rPr>
            <sz val="9"/>
            <color rgb="FF000000"/>
            <rFont val="Arial"/>
            <family val="2"/>
          </rPr>
          <t>IBM 2Q26 8-K Ex.99.1 (S6) | Page n/a | 2,311</t>
        </r>
      </text>
    </comment>
    <comment ref="C29" authorId="0">
      <text>
        <r>
          <rPr>
            <sz val="9"/>
            <color rgb="FF000000"/>
            <rFont val="Arial"/>
            <family val="2"/>
          </rPr>
          <t>IBM 3Q25 8-K Ex.99.1 (S3) | Page n/a | (219)</t>
        </r>
      </text>
    </comment>
    <comment ref="D29" authorId="0">
      <text>
        <r>
          <rPr>
            <sz val="9"/>
            <color rgb="FF000000"/>
            <rFont val="Arial"/>
            <family val="2"/>
          </rPr>
          <t>IBM 4Q25 8-K Ex.99.1 (S4) | Page n/a | (277)</t>
        </r>
      </text>
    </comment>
    <comment ref="E29" authorId="0">
      <text>
        <r>
          <rPr>
            <sz val="9"/>
            <color rgb="FF000000"/>
            <rFont val="Arial"/>
            <family val="2"/>
          </rPr>
          <t>IBM 4Q25 8-K Ex.99.1 (S4) | Page n/a | (964)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IBM 1Q26 8-K Ex.99.1 (S5) | Page n/a | (172)</t>
        </r>
      </text>
    </comment>
    <comment ref="G29" authorId="0">
      <text>
        <r>
          <rPr>
            <sz val="9"/>
            <color rgb="FF000000"/>
            <rFont val="Arial"/>
            <family val="2"/>
          </rPr>
          <t>IBM 2Q26 8-K Ex.99.1 (S6) | Page n/a | (166)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IBM 3Q25 8-K Ex.99.1 (S3) | Page n/a | (173)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IBM 4Q25 8-K Ex.99.1 (S4) | Page n/a | (66)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IBM 4Q25 8-K Ex.99.1 (S4) | Page n/a | (442)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IBM 1Q26 8-K Ex.99.1 (S5) | Page n/a | (1)</t>
        </r>
      </text>
    </comment>
    <comment ref="G32" authorId="0">
      <text>
        <r>
          <rPr>
            <sz val="9"/>
            <color rgb="FF000000"/>
            <rFont val="Arial"/>
            <family val="2"/>
          </rPr>
          <t>IBM 2Q26 8-K Ex.99.1 (S6) | Page n/a | (185)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IBM 3Q25 8-K Ex.99.1 (S3) | Page n/a | 492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IBM 4Q25 8-K Ex.99.1 (S4) | Page n/a | 478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IBM 4Q25 8-K Ex.99.1 (S4) | Page n/a | 1,935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IBM 1Q26 8-K Ex.99.1 (S5) | Page n/a | 473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IBM 2Q26 8-K Ex.99.1 (S6) | Page n/a | 486</t>
        </r>
      </text>
    </comment>
    <comment ref="C48" authorId="0">
      <text>
        <r>
          <rPr>
            <sz val="9"/>
            <color rgb="FF000000"/>
            <rFont val="Arial"/>
            <family val="2"/>
          </rPr>
          <t>IBM 3Q25 8-K Ex.99.1 (S3) | Page n/a | 686</t>
        </r>
      </text>
    </comment>
    <comment ref="D48" authorId="0">
      <text>
        <r>
          <rPr>
            <sz val="9"/>
            <color rgb="FF000000"/>
            <rFont val="Arial"/>
            <family val="2"/>
          </rPr>
          <t>IBM 4Q25 8-K Ex.99.1 (S4) | Page n/a | (1,435)</t>
        </r>
      </text>
    </comment>
    <comment ref="E48" authorId="0">
      <text>
        <r>
          <rPr>
            <sz val="9"/>
            <color rgb="FF000000"/>
            <rFont val="Arial"/>
            <family val="2"/>
          </rPr>
          <t>IBM 4Q25 8-K Ex.99.1 (S4) | Page n/a | (242)</t>
        </r>
      </text>
    </comment>
    <comment ref="F48" authorId="0">
      <text>
        <r>
          <rPr>
            <sz val="9"/>
            <color rgb="FF000000"/>
            <rFont val="Arial"/>
            <family val="2"/>
          </rPr>
          <t>IBM 1Q26 8-K Ex.99.1 (S5) | Page n/a | 172</t>
        </r>
      </text>
    </comment>
    <comment ref="G48" authorId="0">
      <text>
        <r>
          <rPr>
            <sz val="9"/>
            <color rgb="FF000000"/>
            <rFont val="Arial"/>
            <family val="2"/>
          </rPr>
          <t>IBM 2Q26 8-K Ex.99.1 (S6) | Page n/a | 313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IBM 3Q25 8-K Ex.99.1 (S3) | Page n/a | 0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IBM 4Q25 8-K Ex.99.1 (S4) | Page n/a | 21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IBM 4Q25 8-K Ex.99.1 (S4) | Page n/a | 22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IBM 1Q26 8-K Ex.99.1 (S5) | Page n/a | 0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IBM 2Q26 8-K Ex.99.1 (S6) | Page n/a | (1)</t>
        </r>
      </text>
    </comment>
    <comment ref="E70" authorId="0">
      <text>
        <r>
          <rPr>
            <sz val="9"/>
            <color rgb="FF000000"/>
            <rFont val="Arial"/>
            <family val="2"/>
          </rPr>
          <t>IBM 4Q25 8-K Ex.99.1 (S4) | Page n/a | $11.17</t>
        </r>
      </text>
    </comment>
    <comment ref="C76" authorId="0">
      <text>
        <r>
          <rPr>
            <sz val="9"/>
            <color rgb="FF000000"/>
            <rFont val="Arial"/>
            <family val="2"/>
          </rPr>
          <t>IBM 3Q25 8-K Ex.99.1 (S3) | Page n/a | 231</t>
        </r>
      </text>
    </comment>
    <comment ref="D76" authorId="0">
      <text>
        <r>
          <rPr>
            <sz val="9"/>
            <color rgb="FF000000"/>
            <rFont val="Arial"/>
            <family val="2"/>
          </rPr>
          <t>IBM 4Q25 8-K Ex.99.1 (S4) | Page n/a | 231</t>
        </r>
      </text>
    </comment>
    <comment ref="E76" authorId="0">
      <text>
        <r>
          <rPr>
            <sz val="9"/>
            <color rgb="FF000000"/>
            <rFont val="Arial"/>
            <family val="2"/>
          </rPr>
          <t>IBM 4Q25 8-K Ex.99.1 (S4) | Page n/a | 888</t>
        </r>
      </text>
    </comment>
    <comment ref="F76" authorId="0">
      <text>
        <r>
          <rPr>
            <sz val="9"/>
            <color rgb="FF000000"/>
            <rFont val="Arial"/>
            <family val="2"/>
          </rPr>
          <t>IBM 1Q26 8-K Ex.99.1 (S5) | Page n/a | 237</t>
        </r>
      </text>
    </comment>
    <comment ref="G76" authorId="0">
      <text>
        <r>
          <rPr>
            <sz val="9"/>
            <color rgb="FF000000"/>
            <rFont val="Arial"/>
            <family val="2"/>
          </rPr>
          <t>IBM 2Q26 8-K Ex.99.1 (S6) | Page n/a | 287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IBM 3Q25 8-K Ex.99.1 (S3) | Page n/a | $(354)</t>
        </r>
      </text>
    </comment>
    <comment ref="D77" authorId="0">
      <text>
        <r>
          <rPr>
            <sz val="9"/>
            <color rgb="FF000000"/>
            <rFont val="Arial"/>
            <family val="2"/>
          </rPr>
          <t>IBM 4Q25 8-K Ex.99.1 (S4) | Page n/a | $(362)</t>
        </r>
      </text>
    </comment>
    <comment ref="E77" authorId="0">
      <text>
        <r>
          <rPr>
            <sz val="9"/>
            <color rgb="FF000000"/>
            <rFont val="Arial"/>
            <family val="2"/>
          </rPr>
          <t>IBM 4Q25 8-K Ex.99.1 (S4) | Page n/a | $(1,417)</t>
        </r>
      </text>
    </comment>
    <comment ref="F77" authorId="0">
      <text>
        <r>
          <rPr>
            <sz val="9"/>
            <color rgb="FF000000"/>
            <rFont val="Arial"/>
            <family val="2"/>
          </rPr>
          <t>IBM 1Q26 8-K Ex.99.1 (S5) | Page n/a | $(408)</t>
        </r>
      </text>
    </comment>
    <comment ref="G77" authorId="0">
      <text>
        <r>
          <rPr>
            <sz val="9"/>
            <color rgb="FF000000"/>
            <rFont val="Arial"/>
            <family val="2"/>
          </rPr>
          <t>IBM 2Q26 8-K Ex.99.1 (S6) | Page n/a | $(421)</t>
        </r>
      </text>
    </comment>
    <comment ref="C79" authorId="0">
      <text>
        <r>
          <rPr>
            <sz val="9"/>
            <color rgb="FF000000"/>
            <rFont val="Arial"/>
            <family val="2"/>
          </rPr>
          <t>IBM 3Q25 8-K Ex.99.1 (S3) | Page n/a | (359)</t>
        </r>
      </text>
    </comment>
    <comment ref="D79" authorId="0">
      <text>
        <r>
          <rPr>
            <sz val="9"/>
            <color rgb="FF000000"/>
            <rFont val="Arial"/>
            <family val="2"/>
          </rPr>
          <t>IBM 4Q25 8-K Ex.99.1 (S4) | Page n/a | (366)</t>
        </r>
      </text>
    </comment>
    <comment ref="E79" authorId="0">
      <text>
        <r>
          <rPr>
            <sz val="9"/>
            <color rgb="FF000000"/>
            <rFont val="Arial"/>
            <family val="2"/>
          </rPr>
          <t>IBM 4Q25 8-K Ex.99.1 (S4) | Page n/a | (1,432)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IBM 1Q26 8-K Ex.99.1 (S5) | Page n/a | (409)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IBM 2Q26 8-K Ex.99.1 (S6) | Page n/a | (429)</t>
        </r>
      </text>
    </comment>
    <comment ref="C81" authorId="0">
      <text>
        <r>
          <rPr>
            <sz val="9"/>
            <color rgb="FF000000"/>
            <rFont val="Arial"/>
            <family val="2"/>
          </rPr>
          <t>IBM 3Q25 8-K Ex.99.1 (S3) | Page n/a | 13</t>
        </r>
      </text>
    </comment>
    <comment ref="D81" authorId="0">
      <text>
        <r>
          <rPr>
            <sz val="9"/>
            <color rgb="FF000000"/>
            <rFont val="Arial"/>
            <family val="2"/>
          </rPr>
          <t>IBM 4Q25 8-K Ex.99.1 (S4) | Page n/a | 4</t>
        </r>
      </text>
    </comment>
    <comment ref="E81" authorId="0">
      <text>
        <r>
          <rPr>
            <sz val="9"/>
            <color rgb="FF000000"/>
            <rFont val="Arial"/>
            <family val="2"/>
          </rPr>
          <t>IBM 4Q25 8-K Ex.99.1 (S4) | Page n/a | 65</t>
        </r>
      </text>
    </comment>
    <comment ref="F81" authorId="0">
      <text>
        <r>
          <rPr>
            <sz val="9"/>
            <color rgb="FF000000"/>
            <rFont val="Arial"/>
            <family val="2"/>
          </rPr>
          <t>IBM 1Q26 8-K Ex.99.1 (S5) | Page n/a | 96</t>
        </r>
      </text>
    </comment>
    <comment ref="G81" authorId="0">
      <text>
        <r>
          <rPr>
            <sz val="9"/>
            <color rgb="FF000000"/>
            <rFont val="Arial"/>
            <family val="2"/>
          </rPr>
          <t>IBM 2Q26 8-K Ex.99.1 (S6) | Page n/a | 96</t>
        </r>
      </text>
    </comment>
    <comment ref="C87" authorId="0">
      <text>
        <r>
          <rPr>
            <sz val="9"/>
            <color rgb="FF000000"/>
            <rFont val="Arial"/>
            <family val="2"/>
          </rPr>
          <t>IBM 3Q25 8-K Ex.99.1 (S3) | Page n/a | 3,033</t>
        </r>
      </text>
    </comment>
    <comment ref="D87" authorId="0">
      <text>
        <r>
          <rPr>
            <sz val="9"/>
            <color rgb="FF000000"/>
            <rFont val="Arial"/>
            <family val="2"/>
          </rPr>
          <t>IBM 4Q25 8-K Ex.99.1 (S4) | Page n/a | 4,745</t>
        </r>
      </text>
    </comment>
    <comment ref="E87" authorId="0">
      <text>
        <r>
          <rPr>
            <sz val="9"/>
            <color rgb="FF000000"/>
            <rFont val="Arial"/>
            <family val="2"/>
          </rPr>
          <t>IBM 4Q25 8-K Ex.99.1 (S4) | Page n/a | 12,713</t>
        </r>
      </text>
    </comment>
    <comment ref="F87" authorId="0">
      <text>
        <r>
          <rPr>
            <sz val="9"/>
            <color rgb="FF000000"/>
            <rFont val="Arial"/>
            <family val="2"/>
          </rPr>
          <t>IBM 1Q26 8-K Ex.99.1 (S5) | Page n/a | 2,129</t>
        </r>
      </text>
    </comment>
    <comment ref="G87" authorId="0">
      <text>
        <r>
          <rPr>
            <sz val="9"/>
            <color rgb="FF000000"/>
            <rFont val="Arial"/>
            <family val="2"/>
          </rPr>
          <t>IBM 2Q26 8-K Ex.99.1 (S6) | Page n/a | 3,290</t>
        </r>
      </text>
    </comment>
    <comment ref="C108" authorId="0">
      <text>
        <r>
          <rPr>
            <sz val="9"/>
            <color rgb="FF000000"/>
            <rFont val="Arial"/>
            <family val="2"/>
          </rPr>
          <t>IBM 3Q25 8-K Ex.99.1 (S3) | Page n/a | 136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IBM 4Q25 8-K Ex.99.1 (S4) | Page n/a | 390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IBM 4Q25 8-K Ex.99.1 (S4) | Page n/a | 786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IBM 1Q26 8-K Ex.99.1 (S5) | Page n/a | 137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IBM 2Q26 8-K Ex.99.1 (S6) | Page n/a | 167</t>
        </r>
      </text>
    </comment>
    <comment ref="C111" authorId="0">
      <text>
        <r>
          <rPr>
            <sz val="9"/>
            <color rgb="FF000000"/>
            <rFont val="Arial"/>
            <family val="2"/>
          </rPr>
          <t>IBM 3Q25 8-K Ex.99.1 (S3) | Page n/a | 3</t>
        </r>
      </text>
    </comment>
    <comment ref="D111" authorId="0">
      <text>
        <r>
          <rPr>
            <sz val="9"/>
            <color rgb="FF000000"/>
            <rFont val="Arial"/>
            <family val="2"/>
          </rPr>
          <t>IBM 4Q25 8-K Ex.99.1 (S4) | Page n/a | 15</t>
        </r>
      </text>
    </comment>
    <comment ref="E111" authorId="0">
      <text>
        <r>
          <rPr>
            <sz val="9"/>
            <color rgb="FF000000"/>
            <rFont val="Arial"/>
            <family val="2"/>
          </rPr>
          <t>IBM 4Q25 8-K Ex.99.1 (S4) | Page n/a | 15</t>
        </r>
      </text>
    </comment>
    <comment ref="F111" authorId="0">
      <text>
        <r>
          <rPr>
            <sz val="9"/>
            <color rgb="FF000000"/>
            <rFont val="Arial"/>
            <family val="2"/>
          </rPr>
          <t>IBM 1Q26 8-K Ex.99.1 (S5) | Page n/a | 3</t>
        </r>
      </text>
    </comment>
    <comment ref="G111" authorId="0">
      <text>
        <r>
          <rPr>
            <sz val="9"/>
            <color rgb="FF000000"/>
            <rFont val="Arial"/>
            <family val="2"/>
          </rPr>
          <t>IBM 2Q26 8-K Ex.99.1 (S6) | Page n/a | 20</t>
        </r>
      </text>
    </comment>
    <comment ref="C112" authorId="0">
      <text>
        <r>
          <rPr>
            <sz val="9"/>
            <color rgb="FF000000"/>
            <rFont val="Arial"/>
            <family val="2"/>
          </rPr>
          <t>IBM 3Q25 8-K Ex.99.1 (S3) | Page n/a | (309)</t>
        </r>
      </text>
    </comment>
    <comment ref="D112" authorId="0">
      <text>
        <r>
          <rPr>
            <sz val="9"/>
            <color rgb="FF000000"/>
            <rFont val="Arial"/>
            <family val="2"/>
          </rPr>
          <t>IBM 4Q25 8-K Ex.99.1 (S4) | Page n/a | 1,468</t>
        </r>
      </text>
    </comment>
    <comment ref="E112" authorId="0">
      <text>
        <r>
          <rPr>
            <sz val="9"/>
            <color rgb="FF000000"/>
            <rFont val="Arial"/>
            <family val="2"/>
          </rPr>
          <t>IBM 4Q25 8-K Ex.99.1 (S4) | Page n/a | 1,161</t>
        </r>
      </text>
    </comment>
    <comment ref="F112" authorId="0">
      <text>
        <r>
          <rPr>
            <sz val="9"/>
            <color rgb="FF000000"/>
            <rFont val="Arial"/>
            <family val="2"/>
          </rPr>
          <t>IBM 1Q26 8-K Ex.99.1 (S5) | Page n/a | (4)</t>
        </r>
      </text>
    </comment>
    <comment ref="G112" authorId="0">
      <text>
        <r>
          <rPr>
            <sz val="9"/>
            <color rgb="FF000000"/>
            <rFont val="Arial"/>
            <family val="2"/>
          </rPr>
          <t>IBM 2Q26 8-K Ex.99.1 (S6) | Page n/a | (2)</t>
        </r>
      </text>
    </comment>
    <comment ref="E131" authorId="0">
      <text>
        <r>
          <rPr>
            <sz val="9"/>
            <color rgb="FF000000"/>
            <rFont val="Arial"/>
            <family val="2"/>
          </rPr>
          <t>IBM 4Q25 8-K Ex.99.1 (S4) | Page n/a | $11.59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IBM 3Q25 8-K Ex.99.1 (S3) | Page n/a | 11,569</t>
        </r>
      </text>
    </comment>
    <comment ref="D10" authorId="0">
      <text>
        <r>
          <rPr>
            <sz val="9"/>
            <color rgb="FF000000"/>
            <rFont val="Arial"/>
            <family val="2"/>
          </rPr>
          <t>IBM 4Q25 8-K Ex.99.1 (S4) | Page n/a | 13,587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IBM 1Q26 8-K Ex.99.1 (S5) | Page n/a | 10,819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IBM 2Q26 8-K Ex.99.1 (S6) | Page n/a | 7,172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IBM 3Q25 8-K Ex.99.1 (S3) | Page n/a | 30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IBM 4Q25 8-K Ex.99.1 (S4) | Page n/a | 54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IBM 1Q26 8-K Ex.99.1 (S5) | Page n/a | 45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IBM 2Q26 8-K Ex.99.1 (S6) | Page n/a | 45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IBM 3Q25 8-K Ex.99.1 (S3) | Page n/a | 3,286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IBM 4Q25 8-K Ex.99.1 (S4) | Page n/a | 830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IBM 1Q26 8-K Ex.99.1 (S5) | Page n/a | 964</t>
        </r>
      </text>
    </comment>
    <comment ref="G14" authorId="0">
      <text>
        <r>
          <rPr>
            <sz val="9"/>
            <color rgb="FF000000"/>
            <rFont val="Arial"/>
            <family val="2"/>
          </rPr>
          <t>IBM 2Q26 8-K Ex.99.1 (S6) | Page n/a | 960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IBM 3Q25 8-K Ex.99.1 (S3) | Page n/a | 5,532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IBM 4Q25 8-K Ex.99.1 (S4) | Page n/a | 8,112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IBM 1Q26 8-K Ex.99.1 (S5) | Page n/a | 6,493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IBM 2Q26 8-K Ex.99.1 (S6) | Page n/a | 6,044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IBM 3Q25 8-K Ex.99.1 (S3) | Page n/a | 5,156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IBM 4Q25 8-K Ex.99.1 (S4) | Page n/a | 7,344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IBM 1Q26 8-K Ex.99.1 (S5) | Page n/a | 5,767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IBM 2Q26 8-K Ex.99.1 (S6) | Page n/a | 5,782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IBM 3Q25 8-K Ex.99.1 (S3) | Page n/a | 745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IBM 4Q25 8-K Ex.99.1 (S4) | Page n/a | 1,131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IBM 1Q26 8-K Ex.99.1 (S5) | Page n/a | 743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IBM 2Q26 8-K Ex.99.1 (S6) | Page n/a | 874</t>
        </r>
      </text>
    </comment>
    <comment ref="C22" authorId="0">
      <text>
        <r>
          <rPr>
            <sz val="9"/>
            <color rgb="FF000000"/>
            <rFont val="Arial"/>
            <family val="2"/>
          </rPr>
          <t>IBM 3Q25 8-K Ex.99.1 (S3) | Page n/a | 1,174</t>
        </r>
      </text>
    </comment>
    <comment ref="D22" authorId="0">
      <text>
        <r>
          <rPr>
            <sz val="9"/>
            <color rgb="FF000000"/>
            <rFont val="Arial"/>
            <family val="2"/>
          </rPr>
          <t>IBM 4Q25 8-K Ex.99.1 (S4) | Page n/a | 1,052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IBM 1Q26 8-K Ex.99.1 (S5) | Page n/a | 1,242</t>
        </r>
      </text>
    </comment>
    <comment ref="G22" authorId="0">
      <text>
        <r>
          <rPr>
            <sz val="9"/>
            <color rgb="FF000000"/>
            <rFont val="Arial"/>
            <family val="2"/>
          </rPr>
          <t>IBM 2Q26 8-K Ex.99.1 (S6) | Page n/a | 1,348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IBM 3Q25 8-K Ex.99.1 (S3) | Page n/a | 1,397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IBM 4Q25 8-K Ex.99.1 (S4) | Page n/a | 1,220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IBM 1Q26 8-K Ex.99.1 (S5) | Page n/a | 1,476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IBM 2Q26 8-K Ex.99.1 (S6) | Page n/a | 1,746</t>
        </r>
      </text>
    </comment>
    <comment ref="C26" authorId="0">
      <text>
        <r>
          <rPr>
            <sz val="9"/>
            <color rgb="FF000000"/>
            <rFont val="Arial"/>
            <family val="2"/>
          </rPr>
          <t>IBM 3Q25 8-K Ex.99.1 (S3) | Page n/a | 1,113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IBM 4Q25 8-K Ex.99.1 (S4) | Page n/a | 1,084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IBM 1Q26 8-K Ex.99.1 (S5) | Page n/a | 1,157</t>
        </r>
      </text>
    </comment>
    <comment ref="G26" authorId="0">
      <text>
        <r>
          <rPr>
            <sz val="9"/>
            <color rgb="FF000000"/>
            <rFont val="Arial"/>
            <family val="2"/>
          </rPr>
          <t>IBM 2Q26 8-K Ex.99.1 (S6) | Page n/a | 1,238</t>
        </r>
      </text>
    </comment>
    <comment ref="C28" authorId="0">
      <text>
        <r>
          <rPr>
            <sz val="9"/>
            <color rgb="FF000000"/>
            <rFont val="Arial"/>
            <family val="2"/>
          </rPr>
          <t>IBM 3Q25 8-K Ex.99.1 (S3) | Page n/a | 2,739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IBM 4Q25 8-K Ex.99.1 (S4) | Page n/a | 2,530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IBM 1Q26 8-K Ex.99.1 (S5) | Page n/a | 3,209</t>
        </r>
      </text>
    </comment>
    <comment ref="G28" authorId="0">
      <text>
        <r>
          <rPr>
            <sz val="9"/>
            <color rgb="FF000000"/>
            <rFont val="Arial"/>
            <family val="2"/>
          </rPr>
          <t>IBM 2Q26 8-K Ex.99.1 (S6) | Page n/a | 3,188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IBM 3Q25 8-K Ex.99.1 (S3) | Page n/a | 5,851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IBM 4Q25 8-K Ex.99.1 (S4) | Page n/a | 5,899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IBM 1Q26 8-K Ex.99.1 (S5) | Page n/a | 5,781</t>
        </r>
      </text>
    </comment>
    <comment ref="G32" authorId="0">
      <text>
        <r>
          <rPr>
            <sz val="9"/>
            <color rgb="FF000000"/>
            <rFont val="Arial"/>
            <family val="2"/>
          </rPr>
          <t>IBM 2Q26 8-K Ex.99.1 (S6) | Page n/a | 5,736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IBM 3Q25 8-K Ex.99.1 (S3) | Page n/a | 3,223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IBM 4Q25 8-K Ex.99.1 (S4) | Page n/a | 3,129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IBM 1Q26 8-K Ex.99.1 (S5) | Page n/a | 3,219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IBM 2Q26 8-K Ex.99.1 (S6) | Page n/a | 3,068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IBM 3Q25 8-K Ex.99.1 (S3) | Page n/a | 6,258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IBM 4Q25 8-K Ex.99.1 (S4) | Page n/a | 7,708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IBM 1Q26 8-K Ex.99.1 (S5) | Page n/a | 7,014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IBM 2Q26 8-K Ex.99.1 (S6) | Page n/a | 7,126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IBM 3Q25 8-K Ex.99.1 (S3) | Page n/a | 8,044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IBM 4Q25 8-K Ex.99.1 (S4) | Page n/a | 7,544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IBM 1Q26 8-K Ex.99.1 (S5) | Page n/a | 7,578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IBM 2Q26 8-K Ex.99.1 (S6) | Page n/a | 7,645</t>
        </r>
      </text>
    </comment>
    <comment ref="C40" authorId="0">
      <text>
        <r>
          <rPr>
            <sz val="9"/>
            <color rgb="FF000000"/>
            <rFont val="Arial"/>
            <family val="2"/>
          </rPr>
          <t>IBM 3Q25 8-K Ex.99.1 (S3) | Page n/a | 768</t>
        </r>
      </text>
    </comment>
    <comment ref="D40" authorId="0">
      <text>
        <r>
          <rPr>
            <sz val="9"/>
            <color rgb="FF000000"/>
            <rFont val="Arial"/>
            <family val="2"/>
          </rPr>
          <t>IBM 4Q25 8-K Ex.99.1 (S4) | Page n/a | 825</t>
        </r>
      </text>
    </comment>
    <comment ref="F40" authorId="0">
      <text>
        <r>
          <rPr>
            <sz val="9"/>
            <color rgb="FF000000"/>
            <rFont val="Arial"/>
            <family val="2"/>
          </rPr>
          <t>IBM 1Q26 8-K Ex.99.1 (S5) | Page n/a | 831</t>
        </r>
      </text>
    </comment>
    <comment ref="G40" authorId="0">
      <text>
        <r>
          <rPr>
            <sz val="9"/>
            <color rgb="FF000000"/>
            <rFont val="Arial"/>
            <family val="2"/>
          </rPr>
          <t>IBM 2Q26 8-K Ex.99.1 (S6) | Page n/a | 835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IBM 3Q25 8-K Ex.99.1 (S3) | Page n/a | 8,505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IBM 4Q25 8-K Ex.99.1 (S4) | Page n/a | 8,610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IBM 1Q26 8-K Ex.99.1 (S5) | Page n/a | 8,552</t>
        </r>
      </text>
    </comment>
    <comment ref="G42" authorId="0">
      <text>
        <r>
          <rPr>
            <sz val="9"/>
            <color rgb="FF000000"/>
            <rFont val="Arial"/>
            <family val="2"/>
          </rPr>
          <t>IBM 2Q26 8-K Ex.99.1 (S6) | Page n/a | 8,709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IBM 3Q25 8-K Ex.99.1 (S3) | Page n/a | 67,396</t>
        </r>
      </text>
    </comment>
    <comment ref="D44" authorId="0">
      <text>
        <r>
          <rPr>
            <sz val="9"/>
            <color rgb="FF000000"/>
            <rFont val="Arial"/>
            <family val="2"/>
          </rPr>
          <t>IBM 4Q25 8-K Ex.99.1 (S4) | Page n/a | 67,717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IBM 1Q26 8-K Ex.99.1 (S5) | Page n/a | 74,709</t>
        </r>
      </text>
    </comment>
    <comment ref="G44" authorId="0">
      <text>
        <r>
          <rPr>
            <sz val="9"/>
            <color rgb="FF000000"/>
            <rFont val="Arial"/>
            <family val="2"/>
          </rPr>
          <t>IBM 2Q26 8-K Ex.99.1 (S6) | Page n/a | 74,599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IBM 3Q25 8-K Ex.99.1 (S3) | Page n/a | 11,729</t>
        </r>
      </text>
    </comment>
    <comment ref="D46" authorId="0">
      <text>
        <r>
          <rPr>
            <sz val="9"/>
            <color rgb="FF000000"/>
            <rFont val="Arial"/>
            <family val="2"/>
          </rPr>
          <t>IBM 4Q25 8-K Ex.99.1 (S4) | Page n/a | 11,391</t>
        </r>
      </text>
    </comment>
    <comment ref="F46" authorId="0">
      <text>
        <r>
          <rPr>
            <sz val="9"/>
            <color rgb="FF000000"/>
            <rFont val="Arial"/>
            <family val="2"/>
          </rPr>
          <t>IBM 1Q26 8-K Ex.99.1 (S5) | Page n/a | 14,624</t>
        </r>
      </text>
    </comment>
    <comment ref="G46" authorId="0">
      <text>
        <r>
          <rPr>
            <sz val="9"/>
            <color rgb="FF000000"/>
            <rFont val="Arial"/>
            <family val="2"/>
          </rPr>
          <t>IBM 2Q26 8-K Ex.99.1 (S6) | Page n/a | 13,955</t>
        </r>
      </text>
    </comment>
    <comment ref="C48" authorId="0">
      <text>
        <r>
          <rPr>
            <sz val="9"/>
            <color rgb="FF000000"/>
            <rFont val="Arial"/>
            <family val="2"/>
          </rPr>
          <t>IBM 3Q25 8-K Ex.99.1 (S3) | Page n/a | 1,796</t>
        </r>
      </text>
    </comment>
    <comment ref="D48" authorId="0">
      <text>
        <r>
          <rPr>
            <sz val="9"/>
            <color rgb="FF000000"/>
            <rFont val="Arial"/>
            <family val="2"/>
          </rPr>
          <t>IBM 4Q25 8-K Ex.99.1 (S4) | Page n/a | 2,112</t>
        </r>
      </text>
    </comment>
    <comment ref="F48" authorId="0">
      <text>
        <r>
          <rPr>
            <sz val="9"/>
            <color rgb="FF000000"/>
            <rFont val="Arial"/>
            <family val="2"/>
          </rPr>
          <t>IBM 1Q26 8-K Ex.99.1 (S5) | Page n/a | 2,009</t>
        </r>
      </text>
    </comment>
    <comment ref="G48" authorId="0">
      <text>
        <r>
          <rPr>
            <sz val="9"/>
            <color rgb="FF000000"/>
            <rFont val="Arial"/>
            <family val="2"/>
          </rPr>
          <t>IBM 2Q26 8-K Ex.99.1 (S6) | Page n/a | 2,028</t>
        </r>
      </text>
    </comment>
    <comment ref="C53" authorId="0">
      <text>
        <r>
          <rPr>
            <sz val="9"/>
            <color rgb="FF000000"/>
            <rFont val="Arial"/>
            <family val="2"/>
          </rPr>
          <t>IBM 3Q25 8-K Ex.99.1 (S3) | Page n/a | 1,663</t>
        </r>
      </text>
    </comment>
    <comment ref="D53" authorId="0">
      <text>
        <r>
          <rPr>
            <sz val="9"/>
            <color rgb="FF000000"/>
            <rFont val="Arial"/>
            <family val="2"/>
          </rPr>
          <t>IBM 4Q25 8-K Ex.99.1 (S4) | Page n/a | 2,347</t>
        </r>
      </text>
    </comment>
    <comment ref="F53" authorId="0">
      <text>
        <r>
          <rPr>
            <sz val="9"/>
            <color rgb="FF000000"/>
            <rFont val="Arial"/>
            <family val="2"/>
          </rPr>
          <t>IBM 1Q26 8-K Ex.99.1 (S5) | Page n/a | 2,053</t>
        </r>
      </text>
    </comment>
    <comment ref="G53" authorId="0">
      <text>
        <r>
          <rPr>
            <sz val="9"/>
            <color rgb="FF000000"/>
            <rFont val="Arial"/>
            <family val="2"/>
          </rPr>
          <t>IBM 2Q26 8-K Ex.99.1 (S6) | Page n/a | 2,023</t>
        </r>
      </text>
    </comment>
    <comment ref="C55" authorId="0">
      <text>
        <r>
          <rPr>
            <sz val="9"/>
            <color rgb="FF000000"/>
            <rFont val="Arial"/>
            <family val="2"/>
          </rPr>
          <t>IBM 3Q25 8-K Ex.99.1 (S3) | Page n/a | 7,942</t>
        </r>
      </text>
    </comment>
    <comment ref="D55" authorId="0">
      <text>
        <r>
          <rPr>
            <sz val="9"/>
            <color rgb="FF000000"/>
            <rFont val="Arial"/>
            <family val="2"/>
          </rPr>
          <t>IBM 4Q25 8-K Ex.99.1 (S4) | Page n/a | 6,424</t>
        </r>
      </text>
    </comment>
    <comment ref="F55" authorId="0">
      <text>
        <r>
          <rPr>
            <sz val="9"/>
            <color rgb="FF000000"/>
            <rFont val="Arial"/>
            <family val="2"/>
          </rPr>
          <t>IBM 1Q26 8-K Ex.99.1 (S5) | Page n/a | 8,655</t>
        </r>
      </text>
    </comment>
    <comment ref="G55" authorId="0">
      <text>
        <r>
          <rPr>
            <sz val="9"/>
            <color rgb="FF000000"/>
            <rFont val="Arial"/>
            <family val="2"/>
          </rPr>
          <t>IBM 2Q26 8-K Ex.99.1 (S6) | Page n/a | 5,775</t>
        </r>
      </text>
    </comment>
    <comment ref="C57" authorId="0">
      <text>
        <r>
          <rPr>
            <sz val="9"/>
            <color rgb="FF000000"/>
            <rFont val="Arial"/>
            <family val="2"/>
          </rPr>
          <t>IBM 3Q25 8-K Ex.99.1 (S3) | Page n/a | 3,867</t>
        </r>
      </text>
    </comment>
    <comment ref="D57" authorId="0">
      <text>
        <r>
          <rPr>
            <sz val="9"/>
            <color rgb="FF000000"/>
            <rFont val="Arial"/>
            <family val="2"/>
          </rPr>
          <t>IBM 4Q25 8-K Ex.99.1 (S4) | Page n/a | 4,756</t>
        </r>
      </text>
    </comment>
    <comment ref="F57" authorId="0">
      <text>
        <r>
          <rPr>
            <sz val="9"/>
            <color rgb="FF000000"/>
            <rFont val="Arial"/>
            <family val="2"/>
          </rPr>
          <t>IBM 1Q26 8-K Ex.99.1 (S5) | Page n/a | 4,039</t>
        </r>
      </text>
    </comment>
    <comment ref="G57" authorId="0">
      <text>
        <r>
          <rPr>
            <sz val="9"/>
            <color rgb="FF000000"/>
            <rFont val="Arial"/>
            <family val="2"/>
          </rPr>
          <t>IBM 2Q26 8-K Ex.99.1 (S6) | Page n/a | 4,395</t>
        </r>
      </text>
    </comment>
    <comment ref="C59" authorId="0">
      <text>
        <r>
          <rPr>
            <sz val="9"/>
            <color rgb="FF000000"/>
            <rFont val="Arial"/>
            <family val="2"/>
          </rPr>
          <t>IBM 3Q25 8-K Ex.99.1 (S3) | Page n/a | 3,508</t>
        </r>
      </text>
    </comment>
    <comment ref="D59" authorId="0">
      <text>
        <r>
          <rPr>
            <sz val="9"/>
            <color rgb="FF000000"/>
            <rFont val="Arial"/>
            <family val="2"/>
          </rPr>
          <t>IBM 4Q25 8-K Ex.99.1 (S4) | Page n/a | 4,114</t>
        </r>
      </text>
    </comment>
    <comment ref="F59" authorId="0">
      <text>
        <r>
          <rPr>
            <sz val="9"/>
            <color rgb="FF000000"/>
            <rFont val="Arial"/>
            <family val="2"/>
          </rPr>
          <t>IBM 1Q26 8-K Ex.99.1 (S5) | Page n/a | 3,941</t>
        </r>
      </text>
    </comment>
    <comment ref="G59" authorId="0">
      <text>
        <r>
          <rPr>
            <sz val="9"/>
            <color rgb="FF000000"/>
            <rFont val="Arial"/>
            <family val="2"/>
          </rPr>
          <t>IBM 2Q26 8-K Ex.99.1 (S6) | Page n/a | 3,364</t>
        </r>
      </text>
    </comment>
    <comment ref="C61" authorId="0">
      <text>
        <r>
          <rPr>
            <sz val="9"/>
            <color rgb="FF000000"/>
            <rFont val="Arial"/>
            <family val="2"/>
          </rPr>
          <t>IBM 3Q25 8-K Ex.99.1 (S3) | Page n/a | 13,878</t>
        </r>
      </text>
    </comment>
    <comment ref="D61" authorId="0">
      <text>
        <r>
          <rPr>
            <sz val="9"/>
            <color rgb="FF000000"/>
            <rFont val="Arial"/>
            <family val="2"/>
          </rPr>
          <t>IBM 4Q25 8-K Ex.99.1 (S4) | Page n/a | 16,101</t>
        </r>
      </text>
    </comment>
    <comment ref="F61" authorId="0">
      <text>
        <r>
          <rPr>
            <sz val="9"/>
            <color rgb="FF000000"/>
            <rFont val="Arial"/>
            <family val="2"/>
          </rPr>
          <t>IBM 1Q26 8-K Ex.99.1 (S5) | Page n/a | 17,034</t>
        </r>
      </text>
    </comment>
    <comment ref="G61" authorId="0">
      <text>
        <r>
          <rPr>
            <sz val="9"/>
            <color rgb="FF000000"/>
            <rFont val="Arial"/>
            <family val="2"/>
          </rPr>
          <t>IBM 2Q26 8-K Ex.99.1 (S6) | Page n/a | 16,160</t>
        </r>
      </text>
    </comment>
    <comment ref="C63" authorId="0">
      <text>
        <r>
          <rPr>
            <sz val="9"/>
            <color rgb="FF000000"/>
            <rFont val="Arial"/>
            <family val="2"/>
          </rPr>
          <t>IBM 3Q25 8-K Ex.99.1 (S3) | Page n/a | 807</t>
        </r>
      </text>
    </comment>
    <comment ref="D63" authorId="0">
      <text>
        <r>
          <rPr>
            <sz val="9"/>
            <color rgb="FF000000"/>
            <rFont val="Arial"/>
            <family val="2"/>
          </rPr>
          <t>IBM 4Q25 8-K Ex.99.1 (S4) | Page n/a | 800</t>
        </r>
      </text>
    </comment>
    <comment ref="F63" authorId="0">
      <text>
        <r>
          <rPr>
            <sz val="9"/>
            <color rgb="FF000000"/>
            <rFont val="Arial"/>
            <family val="2"/>
          </rPr>
          <t>IBM 1Q26 8-K Ex.99.1 (S5) | Page n/a | 798</t>
        </r>
      </text>
    </comment>
    <comment ref="G63" authorId="0">
      <text>
        <r>
          <rPr>
            <sz val="9"/>
            <color rgb="FF000000"/>
            <rFont val="Arial"/>
            <family val="2"/>
          </rPr>
          <t>IBM 2Q26 8-K Ex.99.1 (S6) | Page n/a | 770</t>
        </r>
      </text>
    </comment>
    <comment ref="C65" authorId="0">
      <text>
        <r>
          <rPr>
            <sz val="9"/>
            <color rgb="FF000000"/>
            <rFont val="Arial"/>
            <family val="2"/>
          </rPr>
          <t>IBM 3Q25 8-K Ex.99.1 (S3) | Page n/a | 3,477</t>
        </r>
      </text>
    </comment>
    <comment ref="D65" authorId="0">
      <text>
        <r>
          <rPr>
            <sz val="9"/>
            <color rgb="FF000000"/>
            <rFont val="Arial"/>
            <family val="2"/>
          </rPr>
          <t>IBM 4Q25 8-K Ex.99.1 (S4) | Page n/a | 4,116</t>
        </r>
      </text>
    </comment>
    <comment ref="F65" authorId="0">
      <text>
        <r>
          <rPr>
            <sz val="9"/>
            <color rgb="FF000000"/>
            <rFont val="Arial"/>
            <family val="2"/>
          </rPr>
          <t>IBM 1Q26 8-K Ex.99.1 (S5) | Page n/a | 3,582</t>
        </r>
      </text>
    </comment>
    <comment ref="G65" authorId="0">
      <text>
        <r>
          <rPr>
            <sz val="9"/>
            <color rgb="FF000000"/>
            <rFont val="Arial"/>
            <family val="2"/>
          </rPr>
          <t>IBM 2Q26 8-K Ex.99.1 (S6) | Page n/a | 3,425</t>
        </r>
      </text>
    </comment>
    <comment ref="C69" authorId="0">
      <text>
        <r>
          <rPr>
            <sz val="9"/>
            <color rgb="FF000000"/>
            <rFont val="Arial"/>
            <family val="2"/>
          </rPr>
          <t>IBM 3Q25 8-K Ex.99.1 (S3) | Page n/a | 55,174</t>
        </r>
      </text>
    </comment>
    <comment ref="D69" authorId="0">
      <text>
        <r>
          <rPr>
            <sz val="9"/>
            <color rgb="FF000000"/>
            <rFont val="Arial"/>
            <family val="2"/>
          </rPr>
          <t>IBM 4Q25 8-K Ex.99.1 (S4) | Page n/a | 54,836</t>
        </r>
      </text>
    </comment>
    <comment ref="F69" authorId="0">
      <text>
        <r>
          <rPr>
            <sz val="9"/>
            <color rgb="FF000000"/>
            <rFont val="Arial"/>
            <family val="2"/>
          </rPr>
          <t>IBM 1Q26 8-K Ex.99.1 (S5) | Page n/a | 57,706</t>
        </r>
      </text>
    </comment>
    <comment ref="G69" authorId="0">
      <text>
        <r>
          <rPr>
            <sz val="9"/>
            <color rgb="FF000000"/>
            <rFont val="Arial"/>
            <family val="2"/>
          </rPr>
          <t>IBM 2Q26 8-K Ex.99.1 (S6) | Page n/a | 56,212</t>
        </r>
      </text>
    </comment>
    <comment ref="C71" authorId="0">
      <text>
        <r>
          <rPr>
            <sz val="9"/>
            <color rgb="FF000000"/>
            <rFont val="Arial"/>
            <family val="2"/>
          </rPr>
          <t>IBM 3Q25 8-K Ex.99.1 (S3) | Page n/a | 9,735</t>
        </r>
      </text>
    </comment>
    <comment ref="D71" authorId="0">
      <text>
        <r>
          <rPr>
            <sz val="9"/>
            <color rgb="FF000000"/>
            <rFont val="Arial"/>
            <family val="2"/>
          </rPr>
          <t>IBM 4Q25 8-K Ex.99.1 (S4) | Page n/a | 9,018</t>
        </r>
      </text>
    </comment>
    <comment ref="F71" authorId="0">
      <text>
        <r>
          <rPr>
            <sz val="9"/>
            <color rgb="FF000000"/>
            <rFont val="Arial"/>
            <family val="2"/>
          </rPr>
          <t>IBM 1Q26 8-K Ex.99.1 (S5) | Page n/a | 8,763</t>
        </r>
      </text>
    </comment>
    <comment ref="G71" authorId="0">
      <text>
        <r>
          <rPr>
            <sz val="9"/>
            <color rgb="FF000000"/>
            <rFont val="Arial"/>
            <family val="2"/>
          </rPr>
          <t>IBM 2Q26 8-K Ex.99.1 (S6) | Page n/a | 8,603</t>
        </r>
      </text>
    </comment>
    <comment ref="C73" authorId="0">
      <text>
        <r>
          <rPr>
            <sz val="9"/>
            <color rgb="FF000000"/>
            <rFont val="Arial"/>
            <family val="2"/>
          </rPr>
          <t>IBM 3Q25 8-K Ex.99.1 (S3) | Page n/a | 3,863</t>
        </r>
      </text>
    </comment>
    <comment ref="D73" authorId="0">
      <text>
        <r>
          <rPr>
            <sz val="9"/>
            <color rgb="FF000000"/>
            <rFont val="Arial"/>
            <family val="2"/>
          </rPr>
          <t>IBM 4Q25 8-K Ex.99.1 (S4) | Page n/a | 4,271</t>
        </r>
      </text>
    </comment>
    <comment ref="F73" authorId="0">
      <text>
        <r>
          <rPr>
            <sz val="9"/>
            <color rgb="FF000000"/>
            <rFont val="Arial"/>
            <family val="2"/>
          </rPr>
          <t>IBM 1Q26 8-K Ex.99.1 (S5) | Page n/a | 4,195</t>
        </r>
      </text>
    </comment>
    <comment ref="G73" authorId="0">
      <text>
        <r>
          <rPr>
            <sz val="9"/>
            <color rgb="FF000000"/>
            <rFont val="Arial"/>
            <family val="2"/>
          </rPr>
          <t>IBM 2Q26 8-K Ex.99.1 (S6) | Page n/a | 4,272</t>
        </r>
      </text>
    </comment>
    <comment ref="C75" authorId="0">
      <text>
        <r>
          <rPr>
            <sz val="9"/>
            <color rgb="FF000000"/>
            <rFont val="Arial"/>
            <family val="2"/>
          </rPr>
          <t>IBM 3Q25 8-K Ex.99.1 (S3) | Page n/a | 2,646</t>
        </r>
      </text>
    </comment>
    <comment ref="D75" authorId="0">
      <text>
        <r>
          <rPr>
            <sz val="9"/>
            <color rgb="FF000000"/>
            <rFont val="Arial"/>
            <family val="2"/>
          </rPr>
          <t>IBM 4Q25 8-K Ex.99.1 (S4) | Page n/a | 2,547</t>
        </r>
      </text>
    </comment>
    <comment ref="F75" authorId="0">
      <text>
        <r>
          <rPr>
            <sz val="9"/>
            <color rgb="FF000000"/>
            <rFont val="Arial"/>
            <family val="2"/>
          </rPr>
          <t>IBM 1Q26 8-K Ex.99.1 (S5) | Page n/a | 2,643</t>
        </r>
      </text>
    </comment>
    <comment ref="G75" authorId="0">
      <text>
        <r>
          <rPr>
            <sz val="9"/>
            <color rgb="FF000000"/>
            <rFont val="Arial"/>
            <family val="2"/>
          </rPr>
          <t>IBM 2Q26 8-K Ex.99.1 (S6) | Page n/a | 2,515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IBM 3Q25 8-K Ex.99.1 (S3) | Page n/a | 11,762</t>
        </r>
      </text>
    </comment>
    <comment ref="D77" authorId="0">
      <text>
        <r>
          <rPr>
            <sz val="9"/>
            <color rgb="FF000000"/>
            <rFont val="Arial"/>
            <family val="2"/>
          </rPr>
          <t>IBM 4Q25 8-K Ex.99.1 (S4) | Page n/a | 9,810</t>
        </r>
      </text>
    </comment>
    <comment ref="F77" authorId="0">
      <text>
        <r>
          <rPr>
            <sz val="9"/>
            <color rgb="FF000000"/>
            <rFont val="Arial"/>
            <family val="2"/>
          </rPr>
          <t>IBM 1Q26 8-K Ex.99.1 (S5) | Page n/a | 9,767</t>
        </r>
      </text>
    </comment>
    <comment ref="G77" authorId="0">
      <text>
        <r>
          <rPr>
            <sz val="9"/>
            <color rgb="FF000000"/>
            <rFont val="Arial"/>
            <family val="2"/>
          </rPr>
          <t>IBM 2Q26 8-K Ex.99.1 (S6) | Page n/a | 10,044</t>
        </r>
      </text>
    </comment>
    <comment ref="C82" authorId="0">
      <text>
        <r>
          <rPr>
            <sz val="9"/>
            <color rgb="FF000000"/>
            <rFont val="Arial"/>
            <family val="2"/>
          </rPr>
          <t>IBM 3Q25 8-K Ex.99.1 (S3) | Page n/a | 62,819</t>
        </r>
      </text>
    </comment>
    <comment ref="D82" authorId="0">
      <text>
        <r>
          <rPr>
            <sz val="9"/>
            <color rgb="FF000000"/>
            <rFont val="Arial"/>
            <family val="2"/>
          </rPr>
          <t>IBM 4Q25 8-K Ex.99.1 (S4) | Page n/a | 63,318</t>
        </r>
      </text>
    </comment>
    <comment ref="F82" authorId="0">
      <text>
        <r>
          <rPr>
            <sz val="9"/>
            <color rgb="FF000000"/>
            <rFont val="Arial"/>
            <family val="2"/>
          </rPr>
          <t>IBM 1Q26 8-K Ex.99.1 (S5) | Page n/a | 63,936</t>
        </r>
      </text>
    </comment>
    <comment ref="G82" authorId="0">
      <text>
        <r>
          <rPr>
            <sz val="9"/>
            <color rgb="FF000000"/>
            <rFont val="Arial"/>
            <family val="2"/>
          </rPr>
          <t>IBM 2Q26 8-K Ex.99.1 (S6) | Page n/a | 64,600</t>
        </r>
      </text>
    </comment>
    <comment ref="C84" authorId="0">
      <text>
        <r>
          <rPr>
            <sz val="9"/>
            <color rgb="FF000000"/>
            <rFont val="Arial"/>
            <family val="2"/>
          </rPr>
          <t>IBM 3Q25 8-K Ex.99.1 (S3) | Page n/a | 151,581</t>
        </r>
      </text>
    </comment>
    <comment ref="D84" authorId="0">
      <text>
        <r>
          <rPr>
            <sz val="9"/>
            <color rgb="FF000000"/>
            <rFont val="Arial"/>
            <family val="2"/>
          </rPr>
          <t>IBM 4Q25 8-K Ex.99.1 (S4) | Page n/a | 155,648</t>
        </r>
      </text>
    </comment>
    <comment ref="F84" authorId="0">
      <text>
        <r>
          <rPr>
            <sz val="9"/>
            <color rgb="FF000000"/>
            <rFont val="Arial"/>
            <family val="2"/>
          </rPr>
          <t>IBM 1Q26 8-K Ex.99.1 (S5) | Page n/a | 155,327</t>
        </r>
      </text>
    </comment>
    <comment ref="G84" authorId="0">
      <text>
        <r>
          <rPr>
            <sz val="9"/>
            <color rgb="FF000000"/>
            <rFont val="Arial"/>
            <family val="2"/>
          </rPr>
          <t>IBM 2Q26 8-K Ex.99.1 (S6) | Page n/a | 155,937</t>
        </r>
      </text>
    </comment>
    <comment ref="C86" authorId="0">
      <text>
        <r>
          <rPr>
            <sz val="9"/>
            <color rgb="FF000000"/>
            <rFont val="Arial"/>
            <family val="2"/>
          </rPr>
          <t>IBM 3Q25 8-K Ex.99.1 (S3) | Page n/a | (170,512)</t>
        </r>
      </text>
    </comment>
    <comment ref="D86" authorId="0">
      <text>
        <r>
          <rPr>
            <sz val="9"/>
            <color rgb="FF000000"/>
            <rFont val="Arial"/>
            <family val="2"/>
          </rPr>
          <t>IBM 4Q25 8-K Ex.99.1 (S4) | Page n/a | (170,605)</t>
        </r>
      </text>
    </comment>
    <comment ref="F86" authorId="0">
      <text>
        <r>
          <rPr>
            <sz val="9"/>
            <color rgb="FF000000"/>
            <rFont val="Arial"/>
            <family val="2"/>
          </rPr>
          <t>IBM 1Q26 8-K Ex.99.1 (S5) | Page n/a | (170,874)</t>
        </r>
      </text>
    </comment>
    <comment ref="G86" authorId="0">
      <text>
        <r>
          <rPr>
            <sz val="9"/>
            <color rgb="FF000000"/>
            <rFont val="Arial"/>
            <family val="2"/>
          </rPr>
          <t>IBM 2Q26 8-K Ex.99.1 (S6) | Page n/a | (170,934)</t>
        </r>
      </text>
    </comment>
    <comment ref="C88" authorId="0">
      <text>
        <r>
          <rPr>
            <sz val="9"/>
            <color rgb="FF000000"/>
            <rFont val="Arial"/>
            <family val="2"/>
          </rPr>
          <t>IBM 3Q25 8-K Ex.99.1 (S3) | Page n/a | (15,983)</t>
        </r>
      </text>
    </comment>
    <comment ref="D88" authorId="0">
      <text>
        <r>
          <rPr>
            <sz val="9"/>
            <color rgb="FF000000"/>
            <rFont val="Arial"/>
            <family val="2"/>
          </rPr>
          <t>IBM 4Q25 8-K Ex.99.1 (S4) | Page n/a | (15,713)</t>
        </r>
      </text>
    </comment>
    <comment ref="F88" authorId="0">
      <text>
        <r>
          <rPr>
            <sz val="9"/>
            <color rgb="FF000000"/>
            <rFont val="Arial"/>
            <family val="2"/>
          </rPr>
          <t>IBM 1Q26 8-K Ex.99.1 (S5) | Page n/a | (15,415)</t>
        </r>
      </text>
    </comment>
    <comment ref="G88" authorId="0">
      <text>
        <r>
          <rPr>
            <sz val="9"/>
            <color rgb="FF000000"/>
            <rFont val="Arial"/>
            <family val="2"/>
          </rPr>
          <t>IBM 2Q26 8-K Ex.99.1 (S6) | Page n/a | (15,151)</t>
        </r>
      </text>
    </comment>
    <comment ref="C92" authorId="0">
      <text>
        <r>
          <rPr>
            <sz val="9"/>
            <color rgb="FF000000"/>
            <rFont val="Arial"/>
            <family val="2"/>
          </rPr>
          <t>IBM 3Q25 8-K Ex.99.1 (S3) | Page n/a | 85</t>
        </r>
      </text>
    </comment>
    <comment ref="D92" authorId="0">
      <text>
        <r>
          <rPr>
            <sz val="9"/>
            <color rgb="FF000000"/>
            <rFont val="Arial"/>
            <family val="2"/>
          </rPr>
          <t>IBM 4Q25 8-K Ex.99.1 (S4) | Page n/a | 93</t>
        </r>
      </text>
    </comment>
    <comment ref="F92" authorId="0">
      <text>
        <r>
          <rPr>
            <sz val="9"/>
            <color rgb="FF000000"/>
            <rFont val="Arial"/>
            <family val="2"/>
          </rPr>
          <t>IBM 1Q26 8-K Ex.99.1 (S5) | Page n/a | 81</t>
        </r>
      </text>
    </comment>
    <comment ref="G92" authorId="0">
      <text>
        <r>
          <rPr>
            <sz val="9"/>
            <color rgb="FF000000"/>
            <rFont val="Arial"/>
            <family val="2"/>
          </rPr>
          <t>IBM 2Q26 8-K Ex.99.1 (S6) | Page n/a | 89</t>
        </r>
      </text>
    </comment>
    <comment ref="C102" authorId="0">
      <text>
        <r>
          <rPr>
            <sz val="9"/>
            <color rgb="FF000000"/>
            <rFont val="Arial"/>
            <family val="2"/>
          </rPr>
          <t>IBM 3Q25 8-K Ex.99.1 (S3) | Page n/a | 146,312</t>
        </r>
      </text>
    </comment>
    <comment ref="D102" authorId="0">
      <text>
        <r>
          <rPr>
            <sz val="9"/>
            <color rgb="FF000000"/>
            <rFont val="Arial"/>
            <family val="2"/>
          </rPr>
          <t>IBM 4Q25 8-K Ex.99.1 (S4) | Page n/a | 151,880</t>
        </r>
      </text>
    </comment>
    <comment ref="F102" authorId="0">
      <text>
        <r>
          <rPr>
            <sz val="9"/>
            <color rgb="FF000000"/>
            <rFont val="Arial"/>
            <family val="2"/>
          </rPr>
          <t>IBM 1Q26 8-K Ex.99.1 (S5) | Page n/a | 156,229</t>
        </r>
      </text>
    </comment>
    <comment ref="G102" authorId="0">
      <text>
        <r>
          <rPr>
            <sz val="9"/>
            <color rgb="FF000000"/>
            <rFont val="Arial"/>
            <family val="2"/>
          </rPr>
          <t>IBM 2Q26 8-K Ex.99.1 (S6) | Page n/a | 152,099</t>
        </r>
      </text>
    </comment>
    <comment ref="C104" authorId="0">
      <text>
        <r>
          <rPr>
            <sz val="9"/>
            <color rgb="FF000000"/>
            <rFont val="Arial"/>
            <family val="2"/>
          </rPr>
          <t>IBM 3Q25 8-K Ex.99.1 (S3) | Page n/a | 118,322</t>
        </r>
      </text>
    </comment>
    <comment ref="D104" authorId="0">
      <text>
        <r>
          <rPr>
            <sz val="9"/>
            <color rgb="FF000000"/>
            <rFont val="Arial"/>
            <family val="2"/>
          </rPr>
          <t>IBM 4Q25 8-K Ex.99.1 (S4) | Page n/a | 119,139</t>
        </r>
      </text>
    </comment>
    <comment ref="F104" authorId="0">
      <text>
        <r>
          <rPr>
            <sz val="9"/>
            <color rgb="FF000000"/>
            <rFont val="Arial"/>
            <family val="2"/>
          </rPr>
          <t>IBM 1Q26 8-K Ex.99.1 (S5) | Page n/a | 123,174</t>
        </r>
      </text>
    </comment>
    <comment ref="G104" authorId="0">
      <text>
        <r>
          <rPr>
            <sz val="9"/>
            <color rgb="FF000000"/>
            <rFont val="Arial"/>
            <family val="2"/>
          </rPr>
          <t>IBM 2Q26 8-K Ex.99.1 (S6) | Page n/a | 117,558</t>
        </r>
      </text>
    </comment>
    <comment ref="C106" authorId="0">
      <text>
        <r>
          <rPr>
            <sz val="9"/>
            <color rgb="FF000000"/>
            <rFont val="Arial"/>
            <family val="2"/>
          </rPr>
          <t>IBM 3Q25 8-K Ex.99.1 (S3) | Page n/a | 27,990</t>
        </r>
      </text>
    </comment>
    <comment ref="D106" authorId="0">
      <text>
        <r>
          <rPr>
            <sz val="9"/>
            <color rgb="FF000000"/>
            <rFont val="Arial"/>
            <family val="2"/>
          </rPr>
          <t>IBM 4Q25 8-K Ex.99.1 (S4) | Page n/a | 32,740</t>
        </r>
      </text>
    </comment>
    <comment ref="F106" authorId="0">
      <text>
        <r>
          <rPr>
            <sz val="9"/>
            <color rgb="FF000000"/>
            <rFont val="Arial"/>
            <family val="2"/>
          </rPr>
          <t>IBM 1Q26 8-K Ex.99.1 (S5) | Page n/a | 33,056</t>
        </r>
      </text>
    </comment>
    <comment ref="G106" authorId="0">
      <text>
        <r>
          <rPr>
            <sz val="9"/>
            <color rgb="FF000000"/>
            <rFont val="Arial"/>
            <family val="2"/>
          </rPr>
          <t>IBM 2Q26 8-K Ex.99.1 (S6) | Page n/a | 34,541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" authorId="0">
      <text>
        <r>
          <rPr>
            <sz val="9"/>
            <color rgb="FF000000"/>
            <rFont val="Arial"/>
            <family val="2"/>
          </rPr>
          <t>IBM 3Q25 8-K Ex.99.1 (S3) | Page n/a | 1,283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IBM 4Q25 8-K Ex.99.1 (S4) | Page n/a | 1,297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IBM 4Q25 8-K Ex.99.1 (S4) | Page n/a | 5,021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IBM 1Q26 8-K Ex.99.1 (S5) | Page n/a | 555</t>
        </r>
      </text>
    </comment>
    <comment ref="G14" authorId="0">
      <text>
        <r>
          <rPr>
            <sz val="9"/>
            <color rgb="FF000000"/>
            <rFont val="Arial"/>
            <family val="2"/>
          </rPr>
          <t>IBM 2Q26 8-K Ex.99.1 (S6) | Page n/a | 533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IBM 1Q26 8-K Ex.99.1 (S5) | Page n/a | 719</t>
        </r>
      </text>
    </comment>
    <comment ref="G15" authorId="0">
      <text>
        <r>
          <rPr>
            <sz val="9"/>
            <color rgb="FF000000"/>
            <rFont val="Arial"/>
            <family val="2"/>
          </rPr>
          <t>IBM 2Q26 8-K Ex.99.1 (S6) | Page n/a | 817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IBM 3Q25 8-K Ex.99.1 (S3) | Page n/a | 444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IBM 4Q25 8-K Ex.99.1 (S4) | Page n/a | 430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IBM 4Q25 8-K Ex.99.1 (S4) | Page n/a | 1,715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IBM 1Q26 8-K Ex.99.1 (S5) | Page n/a | 506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IBM 2Q26 8-K Ex.99.1 (S6) | Page n/a | 498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IBM 3Q25 8-K Ex.99.1 (S3) | Page n/a | 298</t>
        </r>
      </text>
    </comment>
    <comment ref="D19" authorId="0">
      <text>
        <r>
          <rPr>
            <sz val="9"/>
            <color rgb="FF000000"/>
            <rFont val="Arial"/>
            <family val="2"/>
          </rPr>
          <t>IBM 4Q25 8-K Ex.99.1 (S4) | Page n/a | (4,063)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IBM 4Q25 8-K Ex.99.1 (S4) | Page n/a | (3,159)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IBM 1Q26 8-K Ex.99.1 (S5) | Page n/a | 2,565</t>
        </r>
      </text>
    </comment>
    <comment ref="G19" authorId="0">
      <text>
        <r>
          <rPr>
            <sz val="9"/>
            <color rgb="FF000000"/>
            <rFont val="Arial"/>
            <family val="2"/>
          </rPr>
          <t>IBM 2Q26 8-K Ex.99.1 (S6) | Page n/a | (302)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IBM 3Q25 8-K Ex.99.1 (S3) | Page n/a | 3,081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IBM 4Q25 8-K Ex.99.1 (S4) | Page n/a | 4,040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IBM 4Q25 8-K Ex.99.1 (S4) | Page n/a | 13,193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IBM 1Q26 8-K Ex.99.1 (S5) | Page n/a | 5,169</t>
        </r>
      </text>
    </comment>
    <comment ref="G25" authorId="0">
      <text>
        <r>
          <rPr>
            <sz val="9"/>
            <color rgb="FF000000"/>
            <rFont val="Arial"/>
            <family val="2"/>
          </rPr>
          <t>IBM 2Q26 8-K Ex.99.1 (S6) | Page n/a | 2,597</t>
        </r>
      </text>
    </comment>
    <comment ref="C30" authorId="0">
      <text>
        <r>
          <rPr>
            <sz val="9"/>
            <color rgb="FF000000"/>
            <rFont val="Arial"/>
            <family val="2"/>
          </rPr>
          <t>IBM 3Q25 8-K Ex.99.1 (S3) | Page n/a | (410)</t>
        </r>
      </text>
    </comment>
    <comment ref="D30" authorId="0">
      <text>
        <r>
          <rPr>
            <sz val="9"/>
            <color rgb="FF000000"/>
            <rFont val="Arial"/>
            <family val="2"/>
          </rPr>
          <t>IBM 4Q25 8-K Ex.99.1 (S4) | Page n/a | (550)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IBM 4Q25 8-K Ex.99.1 (S4) | Page n/a | (1,617)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IBM 1Q26 8-K Ex.99.1 (S5) | Page n/a | (384)</t>
        </r>
      </text>
    </comment>
    <comment ref="G30" authorId="0">
      <text>
        <r>
          <rPr>
            <sz val="9"/>
            <color rgb="FF000000"/>
            <rFont val="Arial"/>
            <family val="2"/>
          </rPr>
          <t>IBM 2Q26 8-K Ex.99.1 (S6) | Page n/a | (359)</t>
        </r>
      </text>
    </comment>
    <comment ref="C33" authorId="0">
      <text>
        <r>
          <rPr>
            <sz val="9"/>
            <color rgb="FF000000"/>
            <rFont val="Arial"/>
            <family val="2"/>
          </rPr>
          <t>IBM 3Q25 8-K Ex.99.1 (S3) | Page n/a | (58)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IBM 4Q25 8-K Ex.99.1 (S4) | Page n/a | (391)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IBM 4Q25 8-K Ex.99.1 (S4) | Page n/a | (8,294)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IBM 1Q26 8-K Ex.99.1 (S5) | Page n/a | (10,465)</t>
        </r>
      </text>
    </comment>
    <comment ref="G33" authorId="0">
      <text>
        <r>
          <rPr>
            <sz val="9"/>
            <color rgb="FF000000"/>
            <rFont val="Arial"/>
            <family val="2"/>
          </rPr>
          <t>IBM 2Q26 8-K Ex.99.1 (S6) | Page n/a | (15)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IBM 3Q25 8-K Ex.99.1 (S3) | Page n/a | -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IBM 4Q25 8-K Ex.99.1 (S4) | Page n/a | -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IBM 4Q25 8-K Ex.99.1 (S4) | Page n/a | -1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IBM 1Q26 8-K Ex.99.1 (S5) | Page n/a | 1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IBM 2Q26 8-K Ex.99.1 (S6) | Page n/a | -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IBM 3Q25 8-K Ex.99.1 (S3) | Page n/a | (437)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IBM 4Q25 8-K Ex.99.1 (S4) | Page n/a | 1,417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IBM 4Q25 8-K Ex.99.1 (S4) | Page n/a | (10,302)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IBM 1Q26 8-K Ex.99.1 (S5) | Page n/a | (10,489)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IBM 2Q26 8-K Ex.99.1 (S6) | Page n/a | (481)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IBM 1Q26 8-K Ex.99.1 (S5) | Page n/a | 7,437</t>
        </r>
      </text>
    </comment>
    <comment ref="G42" authorId="0">
      <text>
        <r>
          <rPr>
            <sz val="9"/>
            <color rgb="FF000000"/>
            <rFont val="Arial"/>
            <family val="2"/>
          </rPr>
          <t>IBM 2Q26 8-K Ex.99.1 (S6) | Page n/a | 0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IBM 1Q26 8-K Ex.99.1 (S5) | Page n/a | (2,928)</t>
        </r>
      </text>
    </comment>
    <comment ref="G43" authorId="0">
      <text>
        <r>
          <rPr>
            <sz val="9"/>
            <color rgb="FF000000"/>
            <rFont val="Arial"/>
            <family val="2"/>
          </rPr>
          <t>IBM 2Q26 8-K Ex.99.1 (S6) | Page n/a | (4,213)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IBM 1Q26 8-K Ex.99.1 (S5) | Page n/a | 0</t>
        </r>
      </text>
    </comment>
    <comment ref="G44" authorId="0">
      <text>
        <r>
          <rPr>
            <sz val="9"/>
            <color rgb="FF000000"/>
            <rFont val="Arial"/>
            <family val="2"/>
          </rPr>
          <t>IBM 2Q26 8-K Ex.99.1 (S6) | Page n/a | 1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IBM 3Q25 8-K Ex.99.1 (S3) | Page n/a | (1,108)</t>
        </r>
      </text>
    </comment>
    <comment ref="D45" authorId="0">
      <text>
        <r>
          <rPr>
            <sz val="9"/>
            <color rgb="FF000000"/>
            <rFont val="Arial"/>
            <family val="2"/>
          </rPr>
          <t>IBM 4Q25 8-K Ex.99.1 (S4) | Page n/a | (1,810)</t>
        </r>
      </text>
    </comment>
    <comment ref="E45" authorId="0">
      <text>
        <r>
          <rPr>
            <sz val="9"/>
            <color rgb="FF000000"/>
            <rFont val="Arial"/>
            <family val="2"/>
          </rPr>
          <t>IBM 4Q25 8-K Ex.99.1 (S4) | Page n/a | 2,873</t>
        </r>
      </text>
    </comment>
    <comment ref="C48" authorId="0">
      <text>
        <r>
          <rPr>
            <sz val="9"/>
            <color rgb="FF000000"/>
            <rFont val="Arial"/>
            <family val="2"/>
          </rPr>
          <t>IBM 3Q25 8-K Ex.99.1 (S3) | Page n/a | (1,569)</t>
        </r>
      </text>
    </comment>
    <comment ref="D48" authorId="0">
      <text>
        <r>
          <rPr>
            <sz val="9"/>
            <color rgb="FF000000"/>
            <rFont val="Arial"/>
            <family val="2"/>
          </rPr>
          <t>IBM 4Q25 8-K Ex.99.1 (S4) | Page n/a | (1,573)</t>
        </r>
      </text>
    </comment>
    <comment ref="E48" authorId="0">
      <text>
        <r>
          <rPr>
            <sz val="9"/>
            <color rgb="FF000000"/>
            <rFont val="Arial"/>
            <family val="2"/>
          </rPr>
          <t>IBM 4Q25 8-K Ex.99.1 (S4) | Page n/a | (6,255)</t>
        </r>
      </text>
    </comment>
    <comment ref="F48" authorId="0">
      <text>
        <r>
          <rPr>
            <sz val="9"/>
            <color rgb="FF000000"/>
            <rFont val="Arial"/>
            <family val="2"/>
          </rPr>
          <t>IBM 1Q26 8-K Ex.99.1 (S5) | Page n/a | (1,576)</t>
        </r>
      </text>
    </comment>
    <comment ref="G48" authorId="0">
      <text>
        <r>
          <rPr>
            <sz val="9"/>
            <color rgb="FF000000"/>
            <rFont val="Arial"/>
            <family val="2"/>
          </rPr>
          <t>IBM 2Q26 8-K Ex.99.1 (S6) | Page n/a | (1,590)</t>
        </r>
      </text>
    </comment>
    <comment ref="C54" authorId="0">
      <text>
        <r>
          <rPr>
            <sz val="9"/>
            <color rgb="FF000000"/>
            <rFont val="Arial"/>
            <family val="2"/>
          </rPr>
          <t>IBM 3Q25 8-K Ex.99.1 (S3) | Page n/a | (3,012)</t>
        </r>
      </text>
    </comment>
    <comment ref="D54" authorId="0">
      <text>
        <r>
          <rPr>
            <sz val="9"/>
            <color rgb="FF000000"/>
            <rFont val="Arial"/>
            <family val="2"/>
          </rPr>
          <t>IBM 4Q25 8-K Ex.99.1 (S4) | Page n/a | (3,406)</t>
        </r>
      </text>
    </comment>
    <comment ref="E54" authorId="0">
      <text>
        <r>
          <rPr>
            <sz val="9"/>
            <color rgb="FF000000"/>
            <rFont val="Arial"/>
            <family val="2"/>
          </rPr>
          <t>IBM 4Q25 8-K Ex.99.1 (S4) | Page n/a | (3,829)</t>
        </r>
      </text>
    </comment>
    <comment ref="F54" authorId="0">
      <text>
        <r>
          <rPr>
            <sz val="9"/>
            <color rgb="FF000000"/>
            <rFont val="Arial"/>
            <family val="2"/>
          </rPr>
          <t>IBM 1Q26 8-K Ex.99.1 (S5) | Page n/a | 2,719</t>
        </r>
      </text>
    </comment>
    <comment ref="G54" authorId="0">
      <text>
        <r>
          <rPr>
            <sz val="9"/>
            <color rgb="FF000000"/>
            <rFont val="Arial"/>
            <family val="2"/>
          </rPr>
          <t>IBM 2Q26 8-K Ex.99.1 (S6) | Page n/a | (5,728)</t>
        </r>
      </text>
    </comment>
    <comment ref="C57" authorId="0">
      <text>
        <r>
          <rPr>
            <sz val="9"/>
            <color rgb="FF000000"/>
            <rFont val="Arial"/>
            <family val="2"/>
          </rPr>
          <t>IBM 3Q25 8-K Ex.99.1 (S3) | Page n/a | (59)</t>
        </r>
      </text>
    </comment>
    <comment ref="D57" authorId="0">
      <text>
        <r>
          <rPr>
            <sz val="9"/>
            <color rgb="FF000000"/>
            <rFont val="Arial"/>
            <family val="2"/>
          </rPr>
          <t>IBM 4Q25 8-K Ex.99.1 (S4) | Page n/a | (10)</t>
        </r>
      </text>
    </comment>
    <comment ref="E57" authorId="0">
      <text>
        <r>
          <rPr>
            <sz val="9"/>
            <color rgb="FF000000"/>
            <rFont val="Arial"/>
            <family val="2"/>
          </rPr>
          <t>IBM 4Q25 8-K Ex.99.1 (S4) | Page n/a | 418</t>
        </r>
      </text>
    </comment>
    <comment ref="F57" authorId="0">
      <text>
        <r>
          <rPr>
            <sz val="9"/>
            <color rgb="FF000000"/>
            <rFont val="Arial"/>
            <family val="2"/>
          </rPr>
          <t>IBM 1Q26 8-K Ex.99.1 (S5) | Page n/a | (177)</t>
        </r>
      </text>
    </comment>
    <comment ref="G57" authorId="0">
      <text>
        <r>
          <rPr>
            <sz val="9"/>
            <color rgb="FF000000"/>
            <rFont val="Arial"/>
            <family val="2"/>
          </rPr>
          <t>IBM 2Q26 8-K Ex.99.1 (S6) | Page n/a | (35)</t>
        </r>
      </text>
    </comment>
    <comment ref="C78" authorId="0">
      <text>
        <r>
          <rPr>
            <sz val="9"/>
            <color rgb="FF000000"/>
            <rFont val="Arial"/>
            <family val="2"/>
          </rPr>
          <t>IBM 3Q25 8-K Ex.99.1 (S3) | Page n/a | 2,373</t>
        </r>
      </text>
    </comment>
    <comment ref="D78" authorId="0">
      <text>
        <r>
          <rPr>
            <sz val="9"/>
            <color rgb="FF000000"/>
            <rFont val="Arial"/>
            <family val="2"/>
          </rPr>
          <t>IBM 4Q25 8-K Ex.99.1 (S4) | Page n/a | 7,553</t>
        </r>
      </text>
    </comment>
    <comment ref="E78" authorId="0">
      <text>
        <r>
          <rPr>
            <sz val="9"/>
            <color rgb="FF000000"/>
            <rFont val="Arial"/>
            <family val="2"/>
          </rPr>
          <t>IBM 4Q25 8-K Ex.99.1 (S4) | Page n/a | 14,734</t>
        </r>
      </text>
    </comment>
    <comment ref="F78" authorId="0">
      <text>
        <r>
          <rPr>
            <sz val="9"/>
            <color rgb="FF000000"/>
            <rFont val="Arial"/>
            <family val="2"/>
          </rPr>
          <t>IBM 1Q26 8-K Ex.99.1 (S5) | Page n/a | 2,220</t>
        </r>
      </text>
    </comment>
    <comment ref="G78" authorId="0">
      <text>
        <r>
          <rPr>
            <sz val="9"/>
            <color rgb="FF000000"/>
            <rFont val="Arial"/>
            <family val="2"/>
          </rPr>
          <t>IBM 2Q26 8-K Ex.99.1 (S6) | Page n/a | 2,540</t>
        </r>
      </text>
    </comment>
    <comment ref="C83" authorId="0">
      <text>
        <r>
          <rPr>
            <sz val="9"/>
            <color rgb="FF000000"/>
            <rFont val="Arial"/>
            <family val="2"/>
          </rPr>
          <t>IBM 3Q25 8-K Ex.99.1 (S3) | Page n/a | 0.3</t>
        </r>
      </text>
    </comment>
    <comment ref="D83" authorId="0">
      <text>
        <r>
          <rPr>
            <sz val="9"/>
            <color rgb="FF000000"/>
            <rFont val="Arial"/>
            <family val="2"/>
          </rPr>
          <t>IBM 4Q25 8-K Ex.99.1 (S4) | Page n/a | 0.3</t>
        </r>
      </text>
    </comment>
    <comment ref="E83" authorId="0">
      <text>
        <r>
          <rPr>
            <sz val="9"/>
            <color rgb="FF000000"/>
            <rFont val="Arial"/>
            <family val="2"/>
          </rPr>
          <t>IBM 4Q25 8-K Ex.99.1 (S4) | Page n/a | 1.3</t>
        </r>
      </text>
    </comment>
    <comment ref="F83" authorId="0">
      <text>
        <r>
          <rPr>
            <sz val="9"/>
            <color rgb="FF000000"/>
            <rFont val="Arial"/>
            <family val="2"/>
          </rPr>
          <t>IBM 1Q26 8-K Ex.99.1 (S5) | Page n/a | 0.3</t>
        </r>
      </text>
    </comment>
    <comment ref="G83" authorId="0">
      <text>
        <r>
          <rPr>
            <sz val="9"/>
            <color rgb="FF000000"/>
            <rFont val="Arial"/>
            <family val="2"/>
          </rPr>
          <t>IBM 2Q26 8-K Ex.99.1 (S6) | Page n/a | 0.4</t>
        </r>
      </text>
    </comment>
    <comment ref="C84" authorId="0">
      <text>
        <r>
          <rPr>
            <sz val="9"/>
            <color rgb="FF000000"/>
            <rFont val="Arial"/>
            <family val="2"/>
          </rPr>
          <t>IBM 3Q25 8-K Ex.99.1 (S3) | Page n/a | 0.7</t>
        </r>
      </text>
    </comment>
    <comment ref="D84" authorId="0">
      <text>
        <r>
          <rPr>
            <sz val="9"/>
            <color rgb="FF000000"/>
            <rFont val="Arial"/>
            <family val="2"/>
          </rPr>
          <t>IBM 4Q25 8-K Ex.99.1 (S4) | Page n/a | 0.7</t>
        </r>
      </text>
    </comment>
    <comment ref="E84" authorId="0">
      <text>
        <r>
          <rPr>
            <sz val="9"/>
            <color rgb="FF000000"/>
            <rFont val="Arial"/>
            <family val="2"/>
          </rPr>
          <t>IBM 4Q25 8-K Ex.99.1 (S4) | Page n/a | 2.9</t>
        </r>
      </text>
    </comment>
    <comment ref="F84" authorId="0">
      <text>
        <r>
          <rPr>
            <sz val="9"/>
            <color rgb="FF000000"/>
            <rFont val="Arial"/>
            <family val="2"/>
          </rPr>
          <t>IBM 1Q26 8-K Ex.99.1 (S5) | Page n/a | 0.7</t>
        </r>
      </text>
    </comment>
    <comment ref="G84" authorId="0">
      <text>
        <r>
          <rPr>
            <sz val="9"/>
            <color rgb="FF000000"/>
            <rFont val="Arial"/>
            <family val="2"/>
          </rPr>
          <t>IBM 2Q26 8-K Ex.99.1 (S6) | Page n/a | 0.7</t>
        </r>
      </text>
    </comment>
    <comment ref="C86" authorId="0">
      <text>
        <r>
          <rPr>
            <sz val="9"/>
            <color rgb="FF000000"/>
            <rFont val="Arial"/>
            <family val="2"/>
          </rPr>
          <t>IBM 3Q25 8-K Ex.99.1 (S3) | Page n/a | 0.0</t>
        </r>
      </text>
    </comment>
    <comment ref="D86" authorId="0">
      <text>
        <r>
          <rPr>
            <sz val="9"/>
            <color rgb="FF000000"/>
            <rFont val="Arial"/>
            <family val="2"/>
          </rPr>
          <t>IBM 4Q25 8-K Ex.99.1 (S4) | Page n/a | 0.3</t>
        </r>
      </text>
    </comment>
    <comment ref="E86" authorId="0">
      <text>
        <r>
          <rPr>
            <sz val="9"/>
            <color rgb="FF000000"/>
            <rFont val="Arial"/>
            <family val="2"/>
          </rPr>
          <t>IBM 4Q25 8-K Ex.99.1 (S4) | Page n/a | 0.7</t>
        </r>
      </text>
    </comment>
    <comment ref="F86" authorId="0">
      <text>
        <r>
          <rPr>
            <sz val="9"/>
            <color rgb="FF000000"/>
            <rFont val="Arial"/>
            <family val="2"/>
          </rPr>
          <t>IBM 1Q26 8-K Ex.99.1 (S5) | Page n/a | 0.3</t>
        </r>
      </text>
    </comment>
    <comment ref="G86" authorId="0">
      <text>
        <r>
          <rPr>
            <sz val="9"/>
            <color rgb="FF000000"/>
            <rFont val="Arial"/>
            <family val="2"/>
          </rPr>
          <t>IBM 2Q26 8-K Ex.99.1 (S6) | Page n/a | 0.0</t>
        </r>
      </text>
    </comment>
    <comment ref="C87" authorId="0">
      <text>
        <r>
          <rPr>
            <sz val="9"/>
            <color rgb="FF000000"/>
            <rFont val="Arial"/>
            <family val="2"/>
          </rPr>
          <t>IBM 3Q25 8-K Ex.99.1 (S3) | Page n/a | 0.0</t>
        </r>
      </text>
    </comment>
    <comment ref="D87" authorId="0">
      <text>
        <r>
          <rPr>
            <sz val="9"/>
            <color rgb="FF000000"/>
            <rFont val="Arial"/>
            <family val="2"/>
          </rPr>
          <t>IBM 4Q25 8-K Ex.99.1 (S4) | Page n/a | 0.0</t>
        </r>
      </text>
    </comment>
    <comment ref="E87" authorId="0">
      <text>
        <r>
          <rPr>
            <sz val="9"/>
            <color rgb="FF000000"/>
            <rFont val="Arial"/>
            <family val="2"/>
          </rPr>
          <t>IBM 4Q25 8-K Ex.99.1 (S4) | Page n/a | 0.0</t>
        </r>
      </text>
    </comment>
    <comment ref="F87" authorId="0">
      <text>
        <r>
          <rPr>
            <sz val="9"/>
            <color rgb="FF000000"/>
            <rFont val="Arial"/>
            <family val="2"/>
          </rPr>
          <t>IBM 1Q26 8-K Ex.99.1 (S5) | Page n/a | 0.0</t>
        </r>
      </text>
    </comment>
    <comment ref="G87" authorId="0">
      <text>
        <r>
          <rPr>
            <sz val="9"/>
            <color rgb="FF000000"/>
            <rFont val="Arial"/>
            <family val="2"/>
          </rPr>
          <t>IBM 2Q26 8-K Ex.99.1 (S6) | Page n/a | -0.1</t>
        </r>
      </text>
    </comment>
    <comment ref="C89" authorId="0">
      <text>
        <r>
          <rPr>
            <sz val="9"/>
            <color rgb="FF000000"/>
            <rFont val="Arial"/>
            <family val="2"/>
          </rPr>
          <t>IBM 3Q25 8-K Ex.99.1 (S3) | Page n/a | $4.6</t>
        </r>
      </text>
    </comment>
    <comment ref="D89" authorId="0">
      <text>
        <r>
          <rPr>
            <sz val="9"/>
            <color rgb="FF000000"/>
            <rFont val="Arial"/>
            <family val="2"/>
          </rPr>
          <t>IBM 4Q25 8-K Ex.99.1 (S4) | Page n/a | $6.5</t>
        </r>
      </text>
    </comment>
    <comment ref="E89" authorId="0">
      <text>
        <r>
          <rPr>
            <sz val="9"/>
            <color rgb="FF000000"/>
            <rFont val="Arial"/>
            <family val="2"/>
          </rPr>
          <t>IBM 4Q25 8-K Ex.99.1 (S4) | Page n/a | $19.2</t>
        </r>
      </text>
    </comment>
    <comment ref="F89" authorId="0">
      <text>
        <r>
          <rPr>
            <sz val="9"/>
            <color rgb="FF000000"/>
            <rFont val="Arial"/>
            <family val="2"/>
          </rPr>
          <t>IBM 1Q26 8-K Ex.99.1 (S5) | Page n/a | $4.0</t>
        </r>
      </text>
    </comment>
    <comment ref="G89" authorId="0">
      <text>
        <r>
          <rPr>
            <sz val="9"/>
            <color rgb="FF000000"/>
            <rFont val="Arial"/>
            <family val="2"/>
          </rPr>
          <t>IBM 2Q26 8-K Ex.99.1 (S6) | Page n/a | $4.8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IBM 3Q25 10-Q R12 (S7) | Page n/a | 8,143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IBM 1Q26 10-Q R12 (S9) | Page n/a | 7,861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IBM 2Q26 10-Q R12 (S10) | Page n/a | 8,417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IBM FY25 10-K MD&amp;A (S8) | Page n/a | 6.9 percent adjusted for currency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IBM 2Q26 earnings charts (S13) | Page n/a | -1.0% at constant currency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IBM 3Q25 10-Q R12 (S7) | Page n/a | 5,251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IBM 1Q26 10-Q R12 (S9) | Page n/a | 5,242</t>
        </r>
      </text>
    </comment>
    <comment ref="G17" authorId="0">
      <text>
        <r>
          <rPr>
            <sz val="9"/>
            <color rgb="FF000000"/>
            <rFont val="Arial"/>
            <family val="2"/>
          </rPr>
          <t>IBM 2Q26 10-Q R12 (S10) | Page n/a | 5,633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IBM FY25 10-K MD&amp;A (S8) | Page n/a | 9.0 percent adjusted for currency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IBM 2Q26 earnings charts (S13) | Page n/a | 2.0% at constant currency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IBM 3Q25 10-Q R12 (S7) | Page n/a | 2,936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IBM 1Q26 10-Q R12 (S9) | Page n/a | 2,814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IBM 2Q26 10-Q R12 (S10) | Page n/a | 3,112</t>
        </r>
      </text>
    </comment>
    <comment ref="E27" authorId="0">
      <text>
        <r>
          <rPr>
            <sz val="9"/>
            <color rgb="FF000000"/>
            <rFont val="Arial"/>
            <family val="2"/>
          </rPr>
          <t>IBM FY25 10-K MD&amp;A (S8) | Page n/a | -0.7 percent adjusted for currency</t>
        </r>
      </text>
    </comment>
    <comment ref="G27" authorId="0">
      <text>
        <r>
          <rPr>
            <sz val="9"/>
            <color rgb="FF000000"/>
            <rFont val="Arial"/>
            <family val="2"/>
          </rPr>
          <t>IBM 2Q26 earnings charts (S13) | Page n/a | 5.0% at constant currency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IBM 3Q25 8-K Ex.99.1 (S3) | Page n/a | 948.9</t>
        </r>
      </text>
    </comment>
    <comment ref="D10" authorId="0">
      <text>
        <r>
          <rPr>
            <sz val="9"/>
            <color rgb="FF000000"/>
            <rFont val="Arial"/>
            <family val="2"/>
          </rPr>
          <t>IBM 4Q25 8-K Ex.99.1 (S4) | Page n/a | 952.4</t>
        </r>
      </text>
    </comment>
    <comment ref="E10" authorId="0">
      <text>
        <r>
          <rPr>
            <sz val="9"/>
            <color rgb="FF000000"/>
            <rFont val="Arial"/>
            <family val="2"/>
          </rPr>
          <t>IBM 4Q25 8-K Ex.99.1 (S4) | Page n/a | 948.7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IBM 1Q26 8-K Ex.99.1 (S5) | Page n/a | 952.1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IBM 2Q26 8-K Ex.99.1 (S6) | Page n/a | 953.3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IBM 3Q25 8-K Ex.99.1 (S3) | Page n/a | 933.9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IBM 4Q25 8-K Ex.99.1 (S4) | Page n/a | 936.5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IBM 4Q25 8-K Ex.99.1 (S4) | Page n/a | 932.3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IBM 1Q26 8-K Ex.99.1 (S5) | Page n/a | 938.5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IBM 2Q26 8-K Ex.99.1 (S6) | Page n/a | 941.2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IBM 3Q25 10-Q cover (S30) | Page n/a | 934,735,206 shares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IBM 2Q26 10-Q cover (S29) | Page n/a | 942,134,390 shares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IBM 1Q26 8-K Ex.99.1 (S5) | Page n/a | (350)</t>
        </r>
      </text>
    </comment>
    <comment ref="G22" authorId="0">
      <text>
        <r>
          <rPr>
            <sz val="9"/>
            <color rgb="FF000000"/>
            <rFont val="Arial"/>
            <family val="2"/>
          </rPr>
          <t>IBM 2Q26 8-K Ex.99.1 (S6) | Page n/a | (116)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IBM 1Q26 8-K Ex.99.1 (S5) | Page n/a | 178</t>
        </r>
      </text>
    </comment>
    <comment ref="G23" authorId="0">
      <text>
        <r>
          <rPr>
            <sz val="9"/>
            <color rgb="FF000000"/>
            <rFont val="Arial"/>
            <family val="2"/>
          </rPr>
          <t>IBM 2Q26 8-K Ex.99.1 (S6) | Page n/a | 240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IBM 3Q25 8-K Ex.99.1 (S3) | Page n/a | $1.68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IBM 4Q25 8-K Ex.99.1 (S4) | Page n/a | $1.68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IBM FY25 10-K (S8) | Page n/a | 1.67 + 3 x 1.68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IBM 4Q25 8-K Ex.99.1 (S4) | Page n/a | $1.68 (paid 10-Mar-26)</t>
        </r>
      </text>
    </comment>
    <comment ref="G25" authorId="0">
      <text>
        <r>
          <rPr>
            <sz val="9"/>
            <color rgb="FF000000"/>
            <rFont val="Arial"/>
            <family val="2"/>
          </rPr>
          <t>IBM 1Q26 8-K Ex.99.1 (S5) | Page n/a | $1.69 (paid 10-Jun-26)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E11" authorId="0">
      <text>
        <r>
          <rPr>
            <sz val="9"/>
            <color rgb="FF000000"/>
            <rFont val="Arial"/>
            <family val="2"/>
          </rPr>
          <t>IBM 4Q25 8-K Ex.99.1 (S4) | Page n/a | 0.05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IBM 4Q25 8-K Ex.99.1 (S4) | Page n/a | 0.005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IBM 4Q25 8-K Ex.99.1 (S4) | Page n/a | about $1 billion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IBM 1Q26 8-K Ex.99.1 (S5) | Page n/a | 0.05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IBM 1Q26 8-K Ex.99.1 (S5) | Page n/a | 0.005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IBM 1Q26 8-K Ex.99.1 (S5) | Page n/a | 1000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IBM 2Q26 8-K Ex.99.1 (S6) | Page n/a | 0.04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IBM 2Q26 8-K Ex.99.1 (S6) | Page n/a | neutral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IBM 2Q26 8-K Ex.99.1 (S6) | Page n/a | 1000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IBM 2Q26 prepared remarks (S11) | Page n/a | 100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IBM 2Q26 prepared remarks (S11) | Page n/a | mid-teens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IBM 2Q26 prepared remarks (S11) | Page n/a | 0.06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IBM 2Q26 prepared remarks (S11) | Page n/a | low single digits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IBM 2Q26 prepared remarks (S11) | Page n/a | low-to-mid single digits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IBM 2Q26 prepared remarks (S11) | Page n/a | consistent with the full year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IBM 2Q26 prepared remarks (S11) | Page n/a | one-and-a-half-point headwind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IBM 2Q26 prepared remarks (S11) | Page n/a | mid-teens</t>
        </r>
      </text>
    </comment>
    <comment ref="E29" authorId="0">
      <text>
        <r>
          <rPr>
            <sz val="9"/>
            <color rgb="FF000000"/>
            <rFont val="Arial"/>
            <family val="2"/>
          </rPr>
          <t>IBM 3Q25 8-K Ex.99.1 (S3) | Page n/a | more than 5 percent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IBM 3Q25 8-K Ex.99.1 (S3) | Page n/a | about $14 billion</t>
        </r>
      </text>
    </comment>
    <comment ref="E31" authorId="0">
      <text>
        <r>
          <rPr>
            <sz val="9"/>
            <color rgb="FF000000"/>
            <rFont val="Arial"/>
            <family val="2"/>
          </rPr>
          <t>IBM 3Q25 8-K Ex.99.1 (S3) | Page n/a | about one-and-a-half-point tailwind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IBM investor letter 14-Jul-26 (S14) | Page n/a | $17.2 billion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IBM investor letter 14-Jul-26 (S14) | Page n/a | $2.93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" authorId="0">
      <text>
        <r>
          <rPr>
            <sz val="9"/>
            <color rgb="FF000000"/>
            <rFont val="Arial"/>
            <family val="2"/>
          </rPr>
          <t>IBM_consensus.json | Page n/a | IBM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IBM_consensus.json | Page n/a | International Business Machines Corporation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IBM_consensus.json | Page n/a | NYSE:IBM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IBM_consensus.json | Page n/a | 112350</t>
        </r>
      </text>
    </comment>
    <comment ref="C15" authorId="0">
      <text>
        <r>
          <rPr>
            <sz val="9"/>
            <color rgb="FF000000"/>
            <rFont val="Arial"/>
            <family val="2"/>
          </rPr>
          <t>IBM_consensus.json | Page n/a | USD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IBM_consensus.json | Page n/a | Dec-31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IBM_consensus.json | Page n/a | FQ3 2026 - Sep 2026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IBM_consensus.json | Page n/a | 2026-09-30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IBM_consensus.json | Page n/a | 2026-10-21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IBM_consensus.json | Page n/a | normalized diluted and GAAP diluted, as labelled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IBM_consensus.json | Page n/a | 20</t>
        </r>
      </text>
    </comment>
    <comment ref="C22" authorId="0">
      <text>
        <r>
          <rPr>
            <sz val="9"/>
            <color rgb="FF000000"/>
            <rFont val="Arial"/>
            <family val="2"/>
          </rPr>
          <t>IBM_consensus.json | Page n/a | 20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IBM_consensus.json | Page n/a | 2.87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IBM_consensus.json | Page n/a | 2.85</t>
        </r>
      </text>
    </comment>
    <comment ref="C26" authorId="0">
      <text>
        <r>
          <rPr>
            <sz val="9"/>
            <color rgb="FF000000"/>
            <rFont val="Arial"/>
            <family val="2"/>
          </rPr>
          <t>IBM_consensus.json | Page n/a | 3.12</t>
        </r>
      </text>
    </comment>
    <comment ref="C27" authorId="0">
      <text>
        <r>
          <rPr>
            <sz val="9"/>
            <color rgb="FF000000"/>
            <rFont val="Arial"/>
            <family val="2"/>
          </rPr>
          <t>IBM_consensus.json | Page n/a | 2.75</t>
        </r>
      </text>
    </comment>
    <comment ref="C28" authorId="0">
      <text>
        <r>
          <rPr>
            <sz val="9"/>
            <color rgb="FF000000"/>
            <rFont val="Arial"/>
            <family val="2"/>
          </rPr>
          <t>IBM_consensus.json | Page n/a | 0.09</t>
        </r>
      </text>
    </comment>
    <comment ref="C29" authorId="0">
      <text>
        <r>
          <rPr>
            <sz val="9"/>
            <color rgb="FF000000"/>
            <rFont val="Arial"/>
            <family val="2"/>
          </rPr>
          <t>IBM_consensus.json | Page n/a | 20</t>
        </r>
      </text>
    </comment>
    <comment ref="C33" authorId="0">
      <text>
        <r>
          <rPr>
            <sz val="9"/>
            <color rgb="FF000000"/>
            <rFont val="Arial"/>
            <family val="2"/>
          </rPr>
          <t>IBM_consensus.json | Page n/a | 2.45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IBM_consensus.json | Page n/a | 2.45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IBM_consensus.json | Page n/a | 2.73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IBM_consensus.json | Page n/a | 2.19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IBM_consensus.json | Page n/a | 0.18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IBM_consensus.json | Page n/a | 8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IBM_consensus.json | Page n/a | 16842.96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IBM_consensus.json | Page n/a | 16820.0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IBM_consensus.json | Page n/a | 17050.0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IBM_consensus.json | Page n/a | 16669.83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IBM_consensus.json | Page n/a | 112.11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IBM_consensus.json | Page n/a | 19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IBM_consensus.json | Page n/a | 4670.44</t>
        </r>
      </text>
    </comment>
    <comment ref="C52" authorId="0">
      <text>
        <r>
          <rPr>
            <sz val="9"/>
            <color rgb="FF000000"/>
            <rFont val="Arial"/>
            <family val="2"/>
          </rPr>
          <t>IBM_consensus.json | Page n/a | 3558.79</t>
        </r>
      </text>
    </comment>
    <comment ref="C53" authorId="0">
      <text>
        <r>
          <rPr>
            <sz val="9"/>
            <color rgb="FF000000"/>
            <rFont val="Arial"/>
            <family val="2"/>
          </rPr>
          <t>IBM_consensus.json | Page n/a | 3235.27</t>
        </r>
      </text>
    </comment>
    <comment ref="C54" authorId="0">
      <text>
        <r>
          <rPr>
            <sz val="9"/>
            <color rgb="FF000000"/>
            <rFont val="Arial"/>
            <family val="2"/>
          </rPr>
          <t>IBM_consensus.json | Page n/a | 2669.75</t>
        </r>
      </text>
    </comment>
    <comment ref="C55" authorId="0">
      <text>
        <r>
          <rPr>
            <sz val="9"/>
            <color rgb="FF000000"/>
            <rFont val="Arial"/>
            <family val="2"/>
          </rPr>
          <t>IBM_consensus.json | Page n/a | 2778.18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IBM_consensus.json | Page n/a | 2347.29</t>
        </r>
      </text>
    </comment>
    <comment ref="C63" authorId="0">
      <text>
        <r>
          <rPr>
            <sz val="9"/>
            <color rgb="FF000000"/>
            <rFont val="Arial"/>
            <family val="2"/>
          </rPr>
          <t>IBM_consensus.json | Page n/a | -465.89</t>
        </r>
      </text>
    </comment>
    <comment ref="C64" authorId="0">
      <text>
        <r>
          <rPr>
            <sz val="9"/>
            <color rgb="FF000000"/>
            <rFont val="Arial"/>
            <family val="2"/>
          </rPr>
          <t>IBM_consensus.json | Page n/a | 47338.0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IBM_consensus.json | Page n/a | 242.65</t>
        </r>
      </text>
    </comment>
    <comment ref="C68" authorId="0">
      <text>
        <r>
          <rPr>
            <sz val="9"/>
            <color rgb="FF000000"/>
            <rFont val="Arial"/>
            <family val="2"/>
          </rPr>
          <t>IBM_consensus.json | Page n/a | 240.0</t>
        </r>
      </text>
    </comment>
    <comment ref="C69" authorId="0">
      <text>
        <r>
          <rPr>
            <sz val="9"/>
            <color rgb="FF000000"/>
            <rFont val="Arial"/>
            <family val="2"/>
          </rPr>
          <t>IBM_consensus.json | Page n/a | 297.0</t>
        </r>
      </text>
    </comment>
    <comment ref="C70" authorId="0">
      <text>
        <r>
          <rPr>
            <sz val="9"/>
            <color rgb="FF000000"/>
            <rFont val="Arial"/>
            <family val="2"/>
          </rPr>
          <t>IBM_consensus.json | Page n/a | 174.0</t>
        </r>
      </text>
    </comment>
    <comment ref="C71" authorId="0">
      <text>
        <r>
          <rPr>
            <sz val="9"/>
            <color rgb="FF000000"/>
            <rFont val="Arial"/>
            <family val="2"/>
          </rPr>
          <t>IBM_consensus.json | Page n/a | 26.06</t>
        </r>
      </text>
    </comment>
    <comment ref="C72" authorId="0">
      <text>
        <r>
          <rPr>
            <sz val="9"/>
            <color rgb="FF000000"/>
            <rFont val="Arial"/>
            <family val="2"/>
          </rPr>
          <t>IBM_consensus.json | Page n/a | 23</t>
        </r>
      </text>
    </comment>
    <comment ref="C73" authorId="0">
      <text>
        <r>
          <rPr>
            <sz val="9"/>
            <color rgb="FF000000"/>
            <rFont val="Arial"/>
            <family val="2"/>
          </rPr>
          <t>IBM_consensus.json | Page n/a | Outperform</t>
        </r>
      </text>
    </comment>
    <comment ref="C74" authorId="0">
      <text>
        <r>
          <rPr>
            <sz val="9"/>
            <color rgb="FF000000"/>
            <rFont val="Arial"/>
            <family val="2"/>
          </rPr>
          <t>IBM_consensus.json | Page n/a | 2.28</t>
        </r>
      </text>
    </comment>
    <comment ref="C75" authorId="0">
      <text>
        <r>
          <rPr>
            <sz val="9"/>
            <color rgb="FF000000"/>
            <rFont val="Arial"/>
            <family val="2"/>
          </rPr>
          <t>IBM_consensus.json | Page n/a | 232.14</t>
        </r>
      </text>
    </comment>
    <comment ref="C76" authorId="0">
      <text>
        <r>
          <rPr>
            <sz val="9"/>
            <color rgb="FF000000"/>
            <rFont val="Arial"/>
            <family val="2"/>
          </rPr>
          <t>IBM_consensus.json | Page n/a | 332.46/199.19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IBM_consensus.json | Page n/a | 2026-10-18</t>
        </r>
      </text>
    </comment>
    <comment ref="C81" authorId="0">
      <text>
        <r>
          <rPr>
            <sz val="9"/>
            <color rgb="FF000000"/>
            <rFont val="Arial"/>
            <family val="2"/>
          </rPr>
          <t>IBM_consensus.json | Page n/a | 20</t>
        </r>
      </text>
    </comment>
    <comment ref="D85" authorId="0">
      <text>
        <r>
          <rPr>
            <sz val="9"/>
            <color rgb="FF000000"/>
            <rFont val="Arial"/>
            <family val="2"/>
          </rPr>
          <t>IBM_history.csv | Page n/a | 1.43</t>
        </r>
      </text>
    </comment>
    <comment ref="E85" authorId="0">
      <text>
        <r>
          <rPr>
            <sz val="9"/>
            <color rgb="FF000000"/>
            <rFont val="Arial"/>
            <family val="2"/>
          </rPr>
          <t>IBM_history.csv | Page n/a | 1.6</t>
        </r>
      </text>
    </comment>
    <comment ref="F85" authorId="0">
      <text>
        <r>
          <rPr>
            <sz val="9"/>
            <color rgb="FF000000"/>
            <rFont val="Arial"/>
            <family val="2"/>
          </rPr>
          <t>IBM_history.csv | Page n/a | 1.08</t>
        </r>
      </text>
    </comment>
    <comment ref="G85" authorId="0">
      <text>
        <r>
          <rPr>
            <sz val="9"/>
            <color rgb="FF000000"/>
            <rFont val="Arial"/>
            <family val="2"/>
          </rPr>
          <t>IBM_history.csv | Page n/a | 1.12</t>
        </r>
      </text>
    </comment>
    <comment ref="H85" authorId="0">
      <text>
        <r>
          <rPr>
            <sz val="9"/>
            <color rgb="FF000000"/>
            <rFont val="Arial"/>
            <family val="2"/>
          </rPr>
          <t>IBM_history.csv | Page n/a | 14390.56</t>
        </r>
      </text>
    </comment>
    <comment ref="I85" authorId="0">
      <text>
        <r>
          <rPr>
            <sz val="9"/>
            <color rgb="FF000000"/>
            <rFont val="Arial"/>
            <family val="2"/>
          </rPr>
          <t>IBM_history.csv | Page n/a | 14541.0</t>
        </r>
      </text>
    </comment>
    <comment ref="D86" authorId="0">
      <text>
        <r>
          <rPr>
            <sz val="9"/>
            <color rgb="FF000000"/>
            <rFont val="Arial"/>
            <family val="2"/>
          </rPr>
          <t>IBM_history.csv | Page n/a | 2.65</t>
        </r>
      </text>
    </comment>
    <comment ref="E86" authorId="0">
      <text>
        <r>
          <rPr>
            <sz val="9"/>
            <color rgb="FF000000"/>
            <rFont val="Arial"/>
            <family val="2"/>
          </rPr>
          <t>IBM_history.csv | Page n/a | 2.8</t>
        </r>
      </text>
    </comment>
    <comment ref="F86" authorId="0">
      <text>
        <r>
          <rPr>
            <sz val="9"/>
            <color rgb="FF000000"/>
            <rFont val="Arial"/>
            <family val="2"/>
          </rPr>
          <t>IBM_history.csv | Page n/a | 2.27</t>
        </r>
      </text>
    </comment>
    <comment ref="G86" authorId="0">
      <text>
        <r>
          <rPr>
            <sz val="9"/>
            <color rgb="FF000000"/>
            <rFont val="Arial"/>
            <family val="2"/>
          </rPr>
          <t>IBM_history.csv | Page n/a | 2.31</t>
        </r>
      </text>
    </comment>
    <comment ref="H86" authorId="0">
      <text>
        <r>
          <rPr>
            <sz val="9"/>
            <color rgb="FF000000"/>
            <rFont val="Arial"/>
            <family val="2"/>
          </rPr>
          <t>IBM_history.csv | Page n/a | 16591.53</t>
        </r>
      </text>
    </comment>
    <comment ref="I86" authorId="0">
      <text>
        <r>
          <rPr>
            <sz val="9"/>
            <color rgb="FF000000"/>
            <rFont val="Arial"/>
            <family val="2"/>
          </rPr>
          <t>IBM_history.csv | Page n/a | 16977.0</t>
        </r>
      </text>
    </comment>
    <comment ref="D87" authorId="0">
      <text>
        <r>
          <rPr>
            <sz val="9"/>
            <color rgb="FF000000"/>
            <rFont val="Arial"/>
            <family val="2"/>
          </rPr>
          <t>IBM_history.csv | Page n/a | 2.45</t>
        </r>
      </text>
    </comment>
    <comment ref="E87" authorId="0">
      <text>
        <r>
          <rPr>
            <sz val="9"/>
            <color rgb="FF000000"/>
            <rFont val="Arial"/>
            <family val="2"/>
          </rPr>
          <t>IBM_history.csv | Page n/a | 2.65</t>
        </r>
      </text>
    </comment>
    <comment ref="F87" authorId="0">
      <text>
        <r>
          <rPr>
            <sz val="9"/>
            <color rgb="FF000000"/>
            <rFont val="Arial"/>
            <family val="2"/>
          </rPr>
          <t>IBM_history.csv | Page n/a | 1.92</t>
        </r>
      </text>
    </comment>
    <comment ref="G87" authorId="0">
      <text>
        <r>
          <rPr>
            <sz val="9"/>
            <color rgb="FF000000"/>
            <rFont val="Arial"/>
            <family val="2"/>
          </rPr>
          <t>IBM_history.csv | Page n/a | 1.84</t>
        </r>
      </text>
    </comment>
    <comment ref="H87" authorId="0">
      <text>
        <r>
          <rPr>
            <sz val="9"/>
            <color rgb="FF000000"/>
            <rFont val="Arial"/>
            <family val="2"/>
          </rPr>
          <t>IBM_history.csv | Page n/a | 16097.24</t>
        </r>
      </text>
    </comment>
    <comment ref="I87" authorId="0">
      <text>
        <r>
          <rPr>
            <sz val="9"/>
            <color rgb="FF000000"/>
            <rFont val="Arial"/>
            <family val="2"/>
          </rPr>
          <t>IBM_history.csv | Page n/a | 16331.0</t>
        </r>
      </text>
    </comment>
    <comment ref="D88" authorId="0">
      <text>
        <r>
          <rPr>
            <sz val="9"/>
            <color rgb="FF000000"/>
            <rFont val="Arial"/>
            <family val="2"/>
          </rPr>
          <t>IBM_history.csv | Page n/a | 4.29</t>
        </r>
      </text>
    </comment>
    <comment ref="E88" authorId="0">
      <text>
        <r>
          <rPr>
            <sz val="9"/>
            <color rgb="FF000000"/>
            <rFont val="Arial"/>
            <family val="2"/>
          </rPr>
          <t>IBM_history.csv | Page n/a | 4.52</t>
        </r>
      </text>
    </comment>
    <comment ref="F88" authorId="0">
      <text>
        <r>
          <rPr>
            <sz val="9"/>
            <color rgb="FF000000"/>
            <rFont val="Arial"/>
            <family val="2"/>
          </rPr>
          <t>IBM_history.csv | Page n/a | 3.67</t>
        </r>
      </text>
    </comment>
    <comment ref="G88" authorId="0">
      <text>
        <r>
          <rPr>
            <sz val="9"/>
            <color rgb="FF000000"/>
            <rFont val="Arial"/>
            <family val="2"/>
          </rPr>
          <t>IBM_history.csv | Page n/a | 5.88</t>
        </r>
      </text>
    </comment>
    <comment ref="H88" authorId="0">
      <text>
        <r>
          <rPr>
            <sz val="9"/>
            <color rgb="FF000000"/>
            <rFont val="Arial"/>
            <family val="2"/>
          </rPr>
          <t>IBM_history.csv | Page n/a | 19215.47</t>
        </r>
      </text>
    </comment>
    <comment ref="I88" authorId="0">
      <text>
        <r>
          <rPr>
            <sz val="9"/>
            <color rgb="FF000000"/>
            <rFont val="Arial"/>
            <family val="2"/>
          </rPr>
          <t>IBM_history.csv | Page n/a | 19686.0</t>
        </r>
      </text>
    </comment>
    <comment ref="D89" authorId="0">
      <text>
        <r>
          <rPr>
            <sz val="9"/>
            <color rgb="FF000000"/>
            <rFont val="Arial"/>
            <family val="2"/>
          </rPr>
          <t>IBM_history.csv | Page n/a | 1.81</t>
        </r>
      </text>
    </comment>
    <comment ref="E89" authorId="0">
      <text>
        <r>
          <rPr>
            <sz val="9"/>
            <color rgb="FF000000"/>
            <rFont val="Arial"/>
            <family val="2"/>
          </rPr>
          <t>IBM_history.csv | Page n/a | 1.91</t>
        </r>
      </text>
    </comment>
    <comment ref="F89" authorId="0">
      <text>
        <r>
          <rPr>
            <sz val="9"/>
            <color rgb="FF000000"/>
            <rFont val="Arial"/>
            <family val="2"/>
          </rPr>
          <t>IBM_history.csv | Page n/a | 1.38</t>
        </r>
      </text>
    </comment>
    <comment ref="G89" authorId="0">
      <text>
        <r>
          <rPr>
            <sz val="9"/>
            <color rgb="FF000000"/>
            <rFont val="Arial"/>
            <family val="2"/>
          </rPr>
          <t>IBM_history.csv | Page n/a | 1.28</t>
        </r>
      </text>
    </comment>
    <comment ref="H89" authorId="0">
      <text>
        <r>
          <rPr>
            <sz val="9"/>
            <color rgb="FF000000"/>
            <rFont val="Arial"/>
            <family val="2"/>
          </rPr>
          <t>IBM_history.csv | Page n/a | 15651.4</t>
        </r>
      </text>
    </comment>
    <comment ref="I89" authorId="0">
      <text>
        <r>
          <rPr>
            <sz val="9"/>
            <color rgb="FF000000"/>
            <rFont val="Arial"/>
            <family val="2"/>
          </rPr>
          <t>IBM_history.csv | Page n/a | 15917.0</t>
        </r>
      </text>
    </comment>
    <comment ref="D90" authorId="0">
      <text>
        <r>
          <rPr>
            <sz val="9"/>
            <color rgb="FF000000"/>
            <rFont val="Arial"/>
            <family val="2"/>
          </rPr>
          <t>IBM_history.csv | Page n/a | 2.93</t>
        </r>
      </text>
    </comment>
    <comment ref="E90" authorId="0">
      <text>
        <r>
          <rPr>
            <sz val="9"/>
            <color rgb="FF000000"/>
            <rFont val="Arial"/>
            <family val="2"/>
          </rPr>
          <t>IBM_history.csv | Page n/a | 2.93</t>
        </r>
      </text>
    </comment>
    <comment ref="F90" authorId="0">
      <text>
        <r>
          <rPr>
            <sz val="9"/>
            <color rgb="FF000000"/>
            <rFont val="Arial"/>
            <family val="2"/>
          </rPr>
          <t>IBM_history.csv | Page n/a | 2.28</t>
        </r>
      </text>
    </comment>
    <comment ref="G90" authorId="0">
      <text>
        <r>
          <rPr>
            <sz val="9"/>
            <color rgb="FF000000"/>
            <rFont val="Arial"/>
            <family val="2"/>
          </rPr>
          <t>IBM_history.csv | Page n/a | 2.27</t>
        </r>
      </text>
    </comment>
    <comment ref="H90" authorId="0">
      <text>
        <r>
          <rPr>
            <sz val="9"/>
            <color rgb="FF000000"/>
            <rFont val="Arial"/>
            <family val="2"/>
          </rPr>
          <t>IBM_history.csv | Page n/a | 17263.69</t>
        </r>
      </text>
    </comment>
    <comment ref="I90" authorId="0">
      <text>
        <r>
          <rPr>
            <sz val="9"/>
            <color rgb="FF000000"/>
            <rFont val="Arial"/>
            <family val="2"/>
          </rPr>
          <t>IBM_history.csv | Page n/a | 17162.0</t>
        </r>
      </text>
    </comment>
    <comment ref="C104" authorId="0">
      <text>
        <r>
          <rPr>
            <sz val="9"/>
            <color rgb="FF000000"/>
            <rFont val="Arial"/>
            <family val="2"/>
          </rPr>
          <t>IBM 3Q25 8-K Ex.99.1 (S3) | Page n/a | 14,968</t>
        </r>
      </text>
    </comment>
    <comment ref="D104" authorId="0">
      <text>
        <r>
          <rPr>
            <sz val="9"/>
            <color rgb="FF000000"/>
            <rFont val="Arial"/>
            <family val="2"/>
          </rPr>
          <t>IBM 4Q25 8-K Ex.99.1 (S4) | Page n/a | 17,553</t>
        </r>
      </text>
    </comment>
    <comment ref="E104" authorId="0">
      <text>
        <r>
          <rPr>
            <sz val="9"/>
            <color rgb="FF000000"/>
            <rFont val="Arial"/>
            <family val="2"/>
          </rPr>
          <t>IBM 4Q25 8-K Ex.99.1 (S4) | Page n/a | 62,753</t>
        </r>
      </text>
    </comment>
    <comment ref="C105" authorId="0">
      <text>
        <r>
          <rPr>
            <sz val="9"/>
            <color rgb="FF000000"/>
            <rFont val="Arial"/>
            <family val="2"/>
          </rPr>
          <t>IBM 3Q25 8-K Ex.99.1 (S3) | Page n/a | 6,524</t>
        </r>
      </text>
    </comment>
    <comment ref="D105" authorId="0">
      <text>
        <r>
          <rPr>
            <sz val="9"/>
            <color rgb="FF000000"/>
            <rFont val="Arial"/>
            <family val="2"/>
          </rPr>
          <t>IBM 4Q25 8-K Ex.99.1 (S4) | Page n/a | 7,924</t>
        </r>
      </text>
    </comment>
    <comment ref="E105" authorId="0">
      <text>
        <r>
          <rPr>
            <sz val="9"/>
            <color rgb="FF000000"/>
            <rFont val="Arial"/>
            <family val="2"/>
          </rPr>
          <t>IBM 4Q25 8-K Ex.99.1 (S4) | Page n/a | 27,085</t>
        </r>
      </text>
    </comment>
    <comment ref="F105" authorId="0">
      <text>
        <r>
          <rPr>
            <sz val="9"/>
            <color rgb="FF000000"/>
            <rFont val="Arial"/>
            <family val="2"/>
          </rPr>
          <t>IBM 1Q26 8-K Ex.99.1 (S5) | Page n/a | 6,336</t>
        </r>
      </text>
    </comment>
    <comment ref="G105" authorId="0">
      <text>
        <r>
          <rPr>
            <sz val="9"/>
            <color rgb="FF000000"/>
            <rFont val="Arial"/>
            <family val="2"/>
          </rPr>
          <t>IBM 2Q26 8-K Ex.99.1 (S6) | Page n/a | 7,387</t>
        </r>
      </text>
    </comment>
    <comment ref="C106" authorId="0">
      <text>
        <r>
          <rPr>
            <sz val="9"/>
            <color rgb="FF000000"/>
            <rFont val="Arial"/>
            <family val="2"/>
          </rPr>
          <t>IBM 3Q25 8-K Ex.99.1 (S3) | Page n/a | 5,152</t>
        </r>
      </text>
    </comment>
    <comment ref="D106" authorId="0">
      <text>
        <r>
          <rPr>
            <sz val="9"/>
            <color rgb="FF000000"/>
            <rFont val="Arial"/>
            <family val="2"/>
          </rPr>
          <t>IBM 4Q25 8-K Ex.99.1 (S4) | Page n/a | 5,175</t>
        </r>
      </text>
    </comment>
    <comment ref="E106" authorId="0">
      <text>
        <r>
          <rPr>
            <sz val="9"/>
            <color rgb="FF000000"/>
            <rFont val="Arial"/>
            <family val="2"/>
          </rPr>
          <t>IBM 4Q25 8-K Ex.99.1 (S4) | Page n/a | 20,692</t>
        </r>
      </text>
    </comment>
    <comment ref="F106" authorId="0">
      <text>
        <r>
          <rPr>
            <sz val="9"/>
            <color rgb="FF000000"/>
            <rFont val="Arial"/>
            <family val="2"/>
          </rPr>
          <t>IBM 1Q26 8-K Ex.99.1 (S5) | Page n/a | 5,068</t>
        </r>
      </text>
    </comment>
    <comment ref="G106" authorId="0">
      <text>
        <r>
          <rPr>
            <sz val="9"/>
            <color rgb="FF000000"/>
            <rFont val="Arial"/>
            <family val="2"/>
          </rPr>
          <t>IBM 2Q26 8-K Ex.99.1 (S6) | Page n/a | 5,314</t>
        </r>
      </text>
    </comment>
    <comment ref="C107" authorId="0">
      <text>
        <r>
          <rPr>
            <sz val="9"/>
            <color rgb="FF000000"/>
            <rFont val="Arial"/>
            <family val="2"/>
          </rPr>
          <t>IBM 3Q25 8-K Ex.99.1 (S3) | Page n/a | 3,042</t>
        </r>
      </text>
    </comment>
    <comment ref="D107" authorId="0">
      <text>
        <r>
          <rPr>
            <sz val="9"/>
            <color rgb="FF000000"/>
            <rFont val="Arial"/>
            <family val="2"/>
          </rPr>
          <t>IBM 4Q25 8-K Ex.99.1 (S4) | Page n/a | 4,256</t>
        </r>
      </text>
    </comment>
    <comment ref="E107" authorId="0">
      <text>
        <r>
          <rPr>
            <sz val="9"/>
            <color rgb="FF000000"/>
            <rFont val="Arial"/>
            <family val="2"/>
          </rPr>
          <t>IBM 4Q25 8-K Ex.99.1 (S4) | Page n/a | 14,020</t>
        </r>
      </text>
    </comment>
    <comment ref="F107" authorId="0">
      <text>
        <r>
          <rPr>
            <sz val="9"/>
            <color rgb="FF000000"/>
            <rFont val="Arial"/>
            <family val="2"/>
          </rPr>
          <t>IBM 1Q26 8-K Ex.99.1 (S5) | Page n/a | 2,886</t>
        </r>
      </text>
    </comment>
    <comment ref="G107" authorId="0">
      <text>
        <r>
          <rPr>
            <sz val="9"/>
            <color rgb="FF000000"/>
            <rFont val="Arial"/>
            <family val="2"/>
          </rPr>
          <t>IBM 2Q26 8-K Ex.99.1 (S6) | Page n/a | 4,142</t>
        </r>
      </text>
    </comment>
    <comment ref="C108" authorId="0">
      <text>
        <r>
          <rPr>
            <sz val="9"/>
            <color rgb="FF000000"/>
            <rFont val="Arial"/>
            <family val="2"/>
          </rPr>
          <t>IBM 3Q25 8-K Ex.99.1 (S3) | Page n/a | 181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IBM 4Q25 8-K Ex.99.1 (S4) | Page n/a | 170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IBM 4Q25 8-K Ex.99.1 (S4) | Page n/a | 713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IBM 1Q26 8-K Ex.99.1 (S5) | Page n/a | 191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IBM 2Q26 8-K Ex.99.1 (S6) | Page n/a | 166</t>
        </r>
      </text>
    </comment>
    <comment ref="C109" authorId="0">
      <text>
        <r>
          <rPr>
            <sz val="9"/>
            <color rgb="FF000000"/>
            <rFont val="Arial"/>
            <family val="2"/>
          </rPr>
          <t>IBM 3Q25 8-K Ex.99.1 (S3) | Page n/a | 68</t>
        </r>
      </text>
    </comment>
    <comment ref="D109" authorId="0">
      <text>
        <r>
          <rPr>
            <sz val="9"/>
            <color rgb="FF000000"/>
            <rFont val="Arial"/>
            <family val="2"/>
          </rPr>
          <t>IBM 4Q25 8-K Ex.99.1 (S4) | Page n/a | 29</t>
        </r>
      </text>
    </comment>
    <comment ref="E109" authorId="0">
      <text>
        <r>
          <rPr>
            <sz val="9"/>
            <color rgb="FF000000"/>
            <rFont val="Arial"/>
            <family val="2"/>
          </rPr>
          <t>IBM 4Q25 8-K Ex.99.1 (S4) | Page n/a | 243</t>
        </r>
      </text>
    </comment>
    <comment ref="F109" authorId="0">
      <text>
        <r>
          <rPr>
            <sz val="9"/>
            <color rgb="FF000000"/>
            <rFont val="Arial"/>
            <family val="2"/>
          </rPr>
          <t>IBM 1Q26 8-K Ex.99.1 (S5) | Page n/a | 61</t>
        </r>
      </text>
    </comment>
    <comment ref="G109" authorId="0">
      <text>
        <r>
          <rPr>
            <sz val="9"/>
            <color rgb="FF000000"/>
            <rFont val="Arial"/>
            <family val="2"/>
          </rPr>
          <t>IBM 2Q26 8-K Ex.99.1 (S6) | Page n/a | -31</t>
        </r>
      </text>
    </comment>
    <comment ref="C110" authorId="0">
      <text>
        <r>
          <rPr>
            <sz val="9"/>
            <color rgb="FF000000"/>
            <rFont val="Arial"/>
            <family val="2"/>
          </rPr>
          <t>IBM 3Q25 10-Q R12 (S7) | Page n/a | 1,659</t>
        </r>
      </text>
    </comment>
    <comment ref="F110" authorId="0">
      <text>
        <r>
          <rPr>
            <sz val="9"/>
            <color rgb="FF000000"/>
            <rFont val="Arial"/>
            <family val="2"/>
          </rPr>
          <t>IBM 1Q26 10-Q R12 (S9) | Page n/a | 1,687</t>
        </r>
      </text>
    </comment>
    <comment ref="G110" authorId="0">
      <text>
        <r>
          <rPr>
            <sz val="9"/>
            <color rgb="FF000000"/>
            <rFont val="Arial"/>
            <family val="2"/>
          </rPr>
          <t>IBM 2Q26 10-Q R12 (S10) | Page n/a | 1,796</t>
        </r>
      </text>
    </comment>
    <comment ref="C111" authorId="0">
      <text>
        <r>
          <rPr>
            <sz val="9"/>
            <color rgb="FF000000"/>
            <rFont val="Arial"/>
            <family val="2"/>
          </rPr>
          <t>IBM 3Q25 10-Q R12 (S7) | Page n/a | 1,563</t>
        </r>
      </text>
    </comment>
    <comment ref="F111" authorId="0">
      <text>
        <r>
          <rPr>
            <sz val="9"/>
            <color rgb="FF000000"/>
            <rFont val="Arial"/>
            <family val="2"/>
          </rPr>
          <t>IBM 1Q26 10-Q R12 (S9) | Page n/a | 1,584</t>
        </r>
      </text>
    </comment>
    <comment ref="G111" authorId="0">
      <text>
        <r>
          <rPr>
            <sz val="9"/>
            <color rgb="FF000000"/>
            <rFont val="Arial"/>
            <family val="2"/>
          </rPr>
          <t>IBM 2Q26 10-Q R12 (S10) | Page n/a | 1,883</t>
        </r>
      </text>
    </comment>
    <comment ref="C112" authorId="0">
      <text>
        <r>
          <rPr>
            <sz val="9"/>
            <color rgb="FF000000"/>
            <rFont val="Arial"/>
            <family val="2"/>
          </rPr>
          <t>IBM 3Q25 10-Q R12 (S7) | Page n/a | 1,352</t>
        </r>
      </text>
    </comment>
    <comment ref="F112" authorId="0">
      <text>
        <r>
          <rPr>
            <sz val="9"/>
            <color rgb="FF000000"/>
            <rFont val="Arial"/>
            <family val="2"/>
          </rPr>
          <t>IBM 1Q26 10-Q R12 (S9) | Page n/a | 1,236</t>
        </r>
      </text>
    </comment>
    <comment ref="G112" authorId="0">
      <text>
        <r>
          <rPr>
            <sz val="9"/>
            <color rgb="FF000000"/>
            <rFont val="Arial"/>
            <family val="2"/>
          </rPr>
          <t>IBM 2Q26 10-Q R12 (S10) | Page n/a | 1,499</t>
        </r>
      </text>
    </comment>
    <comment ref="C113" authorId="0">
      <text>
        <r>
          <rPr>
            <sz val="9"/>
            <color rgb="FF000000"/>
            <rFont val="Arial"/>
            <family val="2"/>
          </rPr>
          <t>IBM 3Q25 10-Q R12 (S7) | Page n/a | 1,951</t>
        </r>
      </text>
    </comment>
    <comment ref="F113" authorId="0">
      <text>
        <r>
          <rPr>
            <sz val="9"/>
            <color rgb="FF000000"/>
            <rFont val="Arial"/>
            <family val="2"/>
          </rPr>
          <t>IBM 1Q26 10-Q R12 (S9) | Page n/a | 1,828</t>
        </r>
      </text>
    </comment>
    <comment ref="G113" authorId="0">
      <text>
        <r>
          <rPr>
            <sz val="9"/>
            <color rgb="FF000000"/>
            <rFont val="Arial"/>
            <family val="2"/>
          </rPr>
          <t>IBM 2Q26 10-Q R12 (S10) | Page n/a | 2,208</t>
        </r>
      </text>
    </comment>
    <comment ref="C114" authorId="0">
      <text>
        <r>
          <rPr>
            <sz val="9"/>
            <color rgb="FF000000"/>
            <rFont val="Arial"/>
            <family val="2"/>
          </rPr>
          <t>IBM 3Q25 10-Q R12 (S7) | Page n/a | 2,856</t>
        </r>
      </text>
    </comment>
    <comment ref="F114" authorId="0">
      <text>
        <r>
          <rPr>
            <sz val="9"/>
            <color rgb="FF000000"/>
            <rFont val="Arial"/>
            <family val="2"/>
          </rPr>
          <t>IBM 1Q26 10-Q R12 (S9) | Page n/a | 2,782</t>
        </r>
      </text>
    </comment>
    <comment ref="G114" authorId="0">
      <text>
        <r>
          <rPr>
            <sz val="9"/>
            <color rgb="FF000000"/>
            <rFont val="Arial"/>
            <family val="2"/>
          </rPr>
          <t>IBM 2Q26 10-Q R12 (S10) | Page n/a | 2,920</t>
        </r>
      </text>
    </comment>
    <comment ref="C115" authorId="0">
      <text>
        <r>
          <rPr>
            <sz val="9"/>
            <color rgb="FF000000"/>
            <rFont val="Arial"/>
            <family val="2"/>
          </rPr>
          <t>IBM 3Q25 10-Q R12 (S7) | Page n/a | 2,297</t>
        </r>
      </text>
    </comment>
    <comment ref="F115" authorId="0">
      <text>
        <r>
          <rPr>
            <sz val="9"/>
            <color rgb="FF000000"/>
            <rFont val="Arial"/>
            <family val="2"/>
          </rPr>
          <t>IBM 1Q26 10-Q R12 (S9) | Page n/a | 2,286</t>
        </r>
      </text>
    </comment>
    <comment ref="G115" authorId="0">
      <text>
        <r>
          <rPr>
            <sz val="9"/>
            <color rgb="FF000000"/>
            <rFont val="Arial"/>
            <family val="2"/>
          </rPr>
          <t>IBM 2Q26 10-Q R12 (S10) | Page n/a | 2,395</t>
        </r>
      </text>
    </comment>
    <comment ref="C116" authorId="0">
      <text>
        <r>
          <rPr>
            <sz val="9"/>
            <color rgb="FF000000"/>
            <rFont val="Arial"/>
            <family val="2"/>
          </rPr>
          <t>IBM 3Q25 10-Q R12 (S7) | Page n/a | 1,765</t>
        </r>
      </text>
    </comment>
    <comment ref="F116" authorId="0">
      <text>
        <r>
          <rPr>
            <sz val="9"/>
            <color rgb="FF000000"/>
            <rFont val="Arial"/>
            <family val="2"/>
          </rPr>
          <t>IBM 1Q26 10-Q R12 (S9) | Page n/a | 1,646</t>
        </r>
      </text>
    </comment>
    <comment ref="G116" authorId="0">
      <text>
        <r>
          <rPr>
            <sz val="9"/>
            <color rgb="FF000000"/>
            <rFont val="Arial"/>
            <family val="2"/>
          </rPr>
          <t>IBM 2Q26 10-Q R12 (S10) | Page n/a | 2,866</t>
        </r>
      </text>
    </comment>
    <comment ref="C117" authorId="0">
      <text>
        <r>
          <rPr>
            <sz val="9"/>
            <color rgb="FF000000"/>
            <rFont val="Arial"/>
            <family val="2"/>
          </rPr>
          <t>IBM 3Q25 10-Q R12 (S7) | Page n/a | 1,277</t>
        </r>
      </text>
    </comment>
    <comment ref="F117" authorId="0">
      <text>
        <r>
          <rPr>
            <sz val="9"/>
            <color rgb="FF000000"/>
            <rFont val="Arial"/>
            <family val="2"/>
          </rPr>
          <t>IBM 1Q26 10-Q R12 (S9) | Page n/a | 1,240</t>
        </r>
      </text>
    </comment>
    <comment ref="G117" authorId="0">
      <text>
        <r>
          <rPr>
            <sz val="9"/>
            <color rgb="FF000000"/>
            <rFont val="Arial"/>
            <family val="2"/>
          </rPr>
          <t>IBM 2Q26 10-Q R12 (S10) | Page n/a | 1,275</t>
        </r>
      </text>
    </comment>
    <comment ref="C118" authorId="0">
      <text>
        <r>
          <rPr>
            <sz val="9"/>
            <color rgb="FF000000"/>
            <rFont val="Arial"/>
            <family val="2"/>
          </rPr>
          <t>IBM 3Q25 10-Q R12 (S7) | Page n/a | 7,453</t>
        </r>
      </text>
    </comment>
    <comment ref="F118" authorId="0">
      <text>
        <r>
          <rPr>
            <sz val="9"/>
            <color rgb="FF000000"/>
            <rFont val="Arial"/>
            <family val="2"/>
          </rPr>
          <t>IBM 1Q26 10-Q R12 (S9) | Page n/a | 7,206</t>
        </r>
      </text>
    </comment>
    <comment ref="G118" authorId="0">
      <text>
        <r>
          <rPr>
            <sz val="9"/>
            <color rgb="FF000000"/>
            <rFont val="Arial"/>
            <family val="2"/>
          </rPr>
          <t>IBM 2Q26 10-Q R12 (S10) | Page n/a | 8,462</t>
        </r>
      </text>
    </comment>
    <comment ref="C119" authorId="0">
      <text>
        <r>
          <rPr>
            <sz val="9"/>
            <color rgb="FF000000"/>
            <rFont val="Arial"/>
            <family val="2"/>
          </rPr>
          <t>IBM 3Q25 10-Q R12 (S7) | Page n/a | 4,584</t>
        </r>
      </text>
    </comment>
    <comment ref="F119" authorId="0">
      <text>
        <r>
          <rPr>
            <sz val="9"/>
            <color rgb="FF000000"/>
            <rFont val="Arial"/>
            <family val="2"/>
          </rPr>
          <t>IBM 1Q26 10-Q R12 (S9) | Page n/a | 4,552</t>
        </r>
      </text>
    </comment>
    <comment ref="G119" authorId="0">
      <text>
        <r>
          <rPr>
            <sz val="9"/>
            <color rgb="FF000000"/>
            <rFont val="Arial"/>
            <family val="2"/>
          </rPr>
          <t>IBM 2Q26 10-Q R12 (S10) | Page n/a | 5,413</t>
        </r>
      </text>
    </comment>
    <comment ref="C120" authorId="0">
      <text>
        <r>
          <rPr>
            <sz val="9"/>
            <color rgb="FF000000"/>
            <rFont val="Arial"/>
            <family val="2"/>
          </rPr>
          <t>IBM 3Q25 10-Q R12 (S7) | Page n/a | 2,932</t>
        </r>
      </text>
    </comment>
    <comment ref="F120" authorId="0">
      <text>
        <r>
          <rPr>
            <sz val="9"/>
            <color rgb="FF000000"/>
            <rFont val="Arial"/>
            <family val="2"/>
          </rPr>
          <t>IBM 1Q26 10-Q R12 (S9) | Page n/a | 2,783</t>
        </r>
      </text>
    </comment>
    <comment ref="G120" authorId="0">
      <text>
        <r>
          <rPr>
            <sz val="9"/>
            <color rgb="FF000000"/>
            <rFont val="Arial"/>
            <family val="2"/>
          </rPr>
          <t>IBM 2Q26 10-Q R12 (S10) | Page n/a | 3,103</t>
        </r>
      </text>
    </comment>
    <comment ref="C121" authorId="0">
      <text>
        <r>
          <rPr>
            <sz val="9"/>
            <color rgb="FF000000"/>
            <rFont val="Arial"/>
            <family val="2"/>
          </rPr>
          <t>IBM 3Q25 8-K Ex.99.1 (S3) | Page n/a | 0.832</t>
        </r>
      </text>
    </comment>
    <comment ref="D121" authorId="0">
      <text>
        <r>
          <rPr>
            <sz val="9"/>
            <color rgb="FF000000"/>
            <rFont val="Arial"/>
            <family val="2"/>
          </rPr>
          <t>IBM 4Q25 8-K Ex.99.1 (S4) | Page n/a | 0.85</t>
        </r>
      </text>
    </comment>
    <comment ref="E121" authorId="0">
      <text>
        <r>
          <rPr>
            <sz val="9"/>
            <color rgb="FF000000"/>
            <rFont val="Arial"/>
            <family val="2"/>
          </rPr>
          <t>IBM 4Q25 8-K Ex.99.1 (S4) | Page n/a | 0.837</t>
        </r>
      </text>
    </comment>
    <comment ref="F121" authorId="0">
      <text>
        <r>
          <rPr>
            <sz val="9"/>
            <color rgb="FF000000"/>
            <rFont val="Arial"/>
            <family val="2"/>
          </rPr>
          <t>IBM 1Q26 8-K Ex.99.1 (S5) | Page n/a | 0.836</t>
        </r>
      </text>
    </comment>
    <comment ref="G121" authorId="0">
      <text>
        <r>
          <rPr>
            <sz val="9"/>
            <color rgb="FF000000"/>
            <rFont val="Arial"/>
            <family val="2"/>
          </rPr>
          <t>IBM 2Q26 8-K Ex.99.1 (S6) | Page n/a | 0.839</t>
        </r>
      </text>
    </comment>
    <comment ref="C122" authorId="0">
      <text>
        <r>
          <rPr>
            <sz val="9"/>
            <color rgb="FF000000"/>
            <rFont val="Arial"/>
            <family val="2"/>
          </rPr>
          <t>IBM 3Q25 8-K Ex.99.1 (S3) | Page n/a | 0.284</t>
        </r>
      </text>
    </comment>
    <comment ref="D122" authorId="0">
      <text>
        <r>
          <rPr>
            <sz val="9"/>
            <color rgb="FF000000"/>
            <rFont val="Arial"/>
            <family val="2"/>
          </rPr>
          <t>IBM 4Q25 8-K Ex.99.1 (S4) | Page n/a | 0.28</t>
        </r>
      </text>
    </comment>
    <comment ref="E122" authorId="0">
      <text>
        <r>
          <rPr>
            <sz val="9"/>
            <color rgb="FF000000"/>
            <rFont val="Arial"/>
            <family val="2"/>
          </rPr>
          <t>IBM 4Q25 8-K Ex.99.1 (S4) | Page n/a | 0.27</t>
        </r>
      </text>
    </comment>
    <comment ref="F122" authorId="0">
      <text>
        <r>
          <rPr>
            <sz val="9"/>
            <color rgb="FF000000"/>
            <rFont val="Arial"/>
            <family val="2"/>
          </rPr>
          <t>IBM 1Q26 8-K Ex.99.1 (S5) | Page n/a | 0.273</t>
        </r>
      </text>
    </comment>
    <comment ref="G122" authorId="0">
      <text>
        <r>
          <rPr>
            <sz val="9"/>
            <color rgb="FF000000"/>
            <rFont val="Arial"/>
            <family val="2"/>
          </rPr>
          <t>IBM 2Q26 8-K Ex.99.1 (S6) | Page n/a | 0.275</t>
        </r>
      </text>
    </comment>
    <comment ref="C123" authorId="0">
      <text>
        <r>
          <rPr>
            <sz val="9"/>
            <color rgb="FF000000"/>
            <rFont val="Arial"/>
            <family val="2"/>
          </rPr>
          <t>IBM 3Q25 8-K Ex.99.1 (S3) | Page n/a | 0.55</t>
        </r>
      </text>
    </comment>
    <comment ref="D123" authorId="0">
      <text>
        <r>
          <rPr>
            <sz val="9"/>
            <color rgb="FF000000"/>
            <rFont val="Arial"/>
            <family val="2"/>
          </rPr>
          <t>IBM 4Q25 8-K Ex.99.1 (S4) | Page n/a | 0.569</t>
        </r>
      </text>
    </comment>
    <comment ref="E123" authorId="0">
      <text>
        <r>
          <rPr>
            <sz val="9"/>
            <color rgb="FF000000"/>
            <rFont val="Arial"/>
            <family val="2"/>
          </rPr>
          <t>IBM 4Q25 8-K Ex.99.1 (S4) | Page n/a | 0.558</t>
        </r>
      </text>
    </comment>
    <comment ref="F123" authorId="0">
      <text>
        <r>
          <rPr>
            <sz val="9"/>
            <color rgb="FF000000"/>
            <rFont val="Arial"/>
            <family val="2"/>
          </rPr>
          <t>IBM 1Q26 8-K Ex.99.1 (S5) | Page n/a | 0.528</t>
        </r>
      </text>
    </comment>
    <comment ref="G123" authorId="0">
      <text>
        <r>
          <rPr>
            <sz val="9"/>
            <color rgb="FF000000"/>
            <rFont val="Arial"/>
            <family val="2"/>
          </rPr>
          <t>IBM 2Q26 8-K Ex.99.1 (S6) | Page n/a | 0.615</t>
        </r>
      </text>
    </comment>
    <comment ref="C124" authorId="0">
      <text>
        <r>
          <rPr>
            <sz val="9"/>
            <color rgb="FF000000"/>
            <rFont val="Arial"/>
            <family val="2"/>
          </rPr>
          <t>IBM 3Q25 8-K Ex.99.1 (S3) | Page n/a | 0.472</t>
        </r>
      </text>
    </comment>
    <comment ref="D124" authorId="0">
      <text>
        <r>
          <rPr>
            <sz val="9"/>
            <color rgb="FF000000"/>
            <rFont val="Arial"/>
            <family val="2"/>
          </rPr>
          <t>IBM 4Q25 8-K Ex.99.1 (S4) | Page n/a | 0.469</t>
        </r>
      </text>
    </comment>
    <comment ref="E124" authorId="0">
      <text>
        <r>
          <rPr>
            <sz val="9"/>
            <color rgb="FF000000"/>
            <rFont val="Arial"/>
            <family val="2"/>
          </rPr>
          <t>IBM 4Q25 8-K Ex.99.1 (S4) | Page n/a | 0.479</t>
        </r>
      </text>
    </comment>
    <comment ref="F124" authorId="0">
      <text>
        <r>
          <rPr>
            <sz val="9"/>
            <color rgb="FF000000"/>
            <rFont val="Arial"/>
            <family val="2"/>
          </rPr>
          <t>IBM 1Q26 8-K Ex.99.1 (S5) | Page n/a | 0.458</t>
        </r>
      </text>
    </comment>
    <comment ref="G124" authorId="0">
      <text>
        <r>
          <rPr>
            <sz val="9"/>
            <color rgb="FF000000"/>
            <rFont val="Arial"/>
            <family val="2"/>
          </rPr>
          <t>IBM 2Q26 8-K Ex.99.1 (S6) | Page n/a | 0.457</t>
        </r>
      </text>
    </comment>
    <comment ref="C125" authorId="0">
      <text>
        <r>
          <rPr>
            <sz val="9"/>
            <color rgb="FF000000"/>
            <rFont val="Arial"/>
            <family val="2"/>
          </rPr>
          <t>IBM 3Q25 8-K Ex.99.1 (S3) | Page n/a | 1,969</t>
        </r>
      </text>
    </comment>
    <comment ref="D125" authorId="0">
      <text>
        <r>
          <rPr>
            <sz val="9"/>
            <color rgb="FF000000"/>
            <rFont val="Arial"/>
            <family val="2"/>
          </rPr>
          <t>IBM 4Q25 8-K Ex.99.1 (S4) | Page n/a | 3,102</t>
        </r>
      </text>
    </comment>
    <comment ref="E125" authorId="0">
      <text>
        <r>
          <rPr>
            <sz val="9"/>
            <color rgb="FF000000"/>
            <rFont val="Arial"/>
            <family val="2"/>
          </rPr>
          <t>IBM 4Q25 8-K Ex.99.1 (S4) | Page n/a | 8,684</t>
        </r>
      </text>
    </comment>
    <comment ref="F125" authorId="0">
      <text>
        <r>
          <rPr>
            <sz val="9"/>
            <color rgb="FF000000"/>
            <rFont val="Arial"/>
            <family val="2"/>
          </rPr>
          <t>IBM 1Q26 8-K Ex.99.1 (S5) | Page n/a | 1,847</t>
        </r>
      </text>
    </comment>
    <comment ref="G125" authorId="0">
      <text>
        <r>
          <rPr>
            <sz val="9"/>
            <color rgb="FF000000"/>
            <rFont val="Arial"/>
            <family val="2"/>
          </rPr>
          <t>IBM 2Q26 8-K Ex.99.1 (S6) | Page n/a | 2,296</t>
        </r>
      </text>
    </comment>
    <comment ref="C126" authorId="0">
      <text>
        <r>
          <rPr>
            <sz val="9"/>
            <color rgb="FF000000"/>
            <rFont val="Arial"/>
            <family val="2"/>
          </rPr>
          <t>IBM 3Q25 8-K Ex.99.1 (S3) | Page n/a | 559</t>
        </r>
      </text>
    </comment>
    <comment ref="D126" authorId="0">
      <text>
        <r>
          <rPr>
            <sz val="9"/>
            <color rgb="FF000000"/>
            <rFont val="Arial"/>
            <family val="2"/>
          </rPr>
          <t>IBM 4Q25 8-K Ex.99.1 (S4) | Page n/a | 606</t>
        </r>
      </text>
    </comment>
    <comment ref="E126" authorId="0">
      <text>
        <r>
          <rPr>
            <sz val="9"/>
            <color rgb="FF000000"/>
            <rFont val="Arial"/>
            <family val="2"/>
          </rPr>
          <t>IBM 4Q25 8-K Ex.99.1 (S4) | Page n/a | 2,054</t>
        </r>
      </text>
    </comment>
    <comment ref="F126" authorId="0">
      <text>
        <r>
          <rPr>
            <sz val="9"/>
            <color rgb="FF000000"/>
            <rFont val="Arial"/>
            <family val="2"/>
          </rPr>
          <t>IBM 1Q26 8-K Ex.99.1 (S5) | Page n/a | 558</t>
        </r>
      </text>
    </comment>
    <comment ref="G126" authorId="0">
      <text>
        <r>
          <rPr>
            <sz val="9"/>
            <color rgb="FF000000"/>
            <rFont val="Arial"/>
            <family val="2"/>
          </rPr>
          <t>IBM 2Q26 8-K Ex.99.1 (S6) | Page n/a | 562</t>
        </r>
      </text>
    </comment>
    <comment ref="C127" authorId="0">
      <text>
        <r>
          <rPr>
            <sz val="9"/>
            <color rgb="FF000000"/>
            <rFont val="Arial"/>
            <family val="2"/>
          </rPr>
          <t>IBM 3Q25 8-K Ex.99.1 (S3) | Page n/a | 422</t>
        </r>
      </text>
    </comment>
    <comment ref="D127" authorId="0">
      <text>
        <r>
          <rPr>
            <sz val="9"/>
            <color rgb="FF000000"/>
            <rFont val="Arial"/>
            <family val="2"/>
          </rPr>
          <t>IBM 4Q25 8-K Ex.99.1 (S4) | Page n/a | 1,063</t>
        </r>
      </text>
    </comment>
    <comment ref="E127" authorId="0">
      <text>
        <r>
          <rPr>
            <sz val="9"/>
            <color rgb="FF000000"/>
            <rFont val="Arial"/>
            <family val="2"/>
          </rPr>
          <t>IBM 4Q25 8-K Ex.99.1 (S4) | Page n/a | 2,450</t>
        </r>
      </text>
    </comment>
    <comment ref="F127" authorId="0">
      <text>
        <r>
          <rPr>
            <sz val="9"/>
            <color rgb="FF000000"/>
            <rFont val="Arial"/>
            <family val="2"/>
          </rPr>
          <t>IBM 1Q26 8-K Ex.99.1 (S5) | Page n/a | 248</t>
        </r>
      </text>
    </comment>
    <comment ref="G127" authorId="0">
      <text>
        <r>
          <rPr>
            <sz val="9"/>
            <color rgb="FF000000"/>
            <rFont val="Arial"/>
            <family val="2"/>
          </rPr>
          <t>IBM 2Q26 8-K Ex.99.1 (S6) | Page n/a | 965</t>
        </r>
      </text>
    </comment>
    <comment ref="C128" authorId="0">
      <text>
        <r>
          <rPr>
            <sz val="9"/>
            <color rgb="FF000000"/>
            <rFont val="Arial"/>
            <family val="2"/>
          </rPr>
          <t>IBM 3Q25 8-K Ex.99.1 (S3) | Page n/a | 86</t>
        </r>
      </text>
    </comment>
    <comment ref="D128" authorId="0">
      <text>
        <r>
          <rPr>
            <sz val="9"/>
            <color rgb="FF000000"/>
            <rFont val="Arial"/>
            <family val="2"/>
          </rPr>
          <t>IBM 4Q25 8-K Ex.99.1 (S4) | Page n/a | 94</t>
        </r>
      </text>
    </comment>
    <comment ref="E128" authorId="0">
      <text>
        <r>
          <rPr>
            <sz val="9"/>
            <color rgb="FF000000"/>
            <rFont val="Arial"/>
            <family val="2"/>
          </rPr>
          <t>IBM 4Q25 8-K Ex.99.1 (S4) | Page n/a | 348</t>
        </r>
      </text>
    </comment>
    <comment ref="F128" authorId="0">
      <text>
        <r>
          <rPr>
            <sz val="9"/>
            <color rgb="FF000000"/>
            <rFont val="Arial"/>
            <family val="2"/>
          </rPr>
          <t>IBM 1Q26 8-K Ex.99.1 (S5) | Page n/a | 69</t>
        </r>
      </text>
    </comment>
    <comment ref="G128" authorId="0">
      <text>
        <r>
          <rPr>
            <sz val="9"/>
            <color rgb="FF000000"/>
            <rFont val="Arial"/>
            <family val="2"/>
          </rPr>
          <t>IBM 2Q26 8-K Ex.99.1 (S6) | Page n/a | 179</t>
        </r>
      </text>
    </comment>
    <comment ref="C129" authorId="0">
      <text>
        <r>
          <rPr>
            <sz val="9"/>
            <color rgb="FF000000"/>
            <rFont val="Arial"/>
            <family val="2"/>
          </rPr>
          <t>IBM 3Q25 8-K Ex.99.1 (S3) | Page n/a | 8,420</t>
        </r>
      </text>
    </comment>
    <comment ref="D129" authorId="0">
      <text>
        <r>
          <rPr>
            <sz val="9"/>
            <color rgb="FF000000"/>
            <rFont val="Arial"/>
            <family val="2"/>
          </rPr>
          <t>IBM 4Q25 8-K Ex.99.1 (S4) | Page n/a | 10,439</t>
        </r>
      </text>
    </comment>
    <comment ref="E129" authorId="0">
      <text>
        <r>
          <rPr>
            <sz val="9"/>
            <color rgb="FF000000"/>
            <rFont val="Arial"/>
            <family val="2"/>
          </rPr>
          <t>IBM 4Q25 8-K Ex.99.1 (S4) | Page n/a | 35,551</t>
        </r>
      </text>
    </comment>
    <comment ref="F129" authorId="0">
      <text>
        <r>
          <rPr>
            <sz val="9"/>
            <color rgb="FF000000"/>
            <rFont val="Arial"/>
            <family val="2"/>
          </rPr>
          <t>IBM 1Q26 8-K Ex.99.1 (S5) | Page n/a | 8,031</t>
        </r>
      </text>
    </comment>
    <comment ref="G129" authorId="0">
      <text>
        <r>
          <rPr>
            <sz val="9"/>
            <color rgb="FF000000"/>
            <rFont val="Arial"/>
            <family val="2"/>
          </rPr>
          <t>IBM 2Q26 8-K Ex.99.1 (S6) | Page n/a | 9,977</t>
        </r>
      </text>
    </comment>
    <comment ref="C130" authorId="0">
      <text>
        <r>
          <rPr>
            <sz val="9"/>
            <color rgb="FF000000"/>
            <rFont val="Arial"/>
            <family val="2"/>
          </rPr>
          <t>IBM 3Q25 8-K Ex.99.1 (S3) | Page n/a | 4,911</t>
        </r>
      </text>
    </comment>
    <comment ref="D130" authorId="0">
      <text>
        <r>
          <rPr>
            <sz val="9"/>
            <color rgb="FF000000"/>
            <rFont val="Arial"/>
            <family val="2"/>
          </rPr>
          <t>IBM 4Q25 8-K Ex.99.1 (S4) | Page n/a | 4,866</t>
        </r>
      </text>
    </comment>
    <comment ref="E130" authorId="0">
      <text>
        <r>
          <rPr>
            <sz val="9"/>
            <color rgb="FF000000"/>
            <rFont val="Arial"/>
            <family val="2"/>
          </rPr>
          <t>IBM 4Q25 8-K Ex.99.1 (S4) | Page n/a | 19,688</t>
        </r>
      </text>
    </comment>
    <comment ref="F130" authorId="0">
      <text>
        <r>
          <rPr>
            <sz val="9"/>
            <color rgb="FF000000"/>
            <rFont val="Arial"/>
            <family val="2"/>
          </rPr>
          <t>IBM 1Q26 8-K Ex.99.1 (S5) | Page n/a | 4,886</t>
        </r>
      </text>
    </comment>
    <comment ref="G130" authorId="0">
      <text>
        <r>
          <rPr>
            <sz val="9"/>
            <color rgb="FF000000"/>
            <rFont val="Arial"/>
            <family val="2"/>
          </rPr>
          <t>IBM 2Q26 8-K Ex.99.1 (S6) | Page n/a | 5,027</t>
        </r>
      </text>
    </comment>
    <comment ref="C131" authorId="0">
      <text>
        <r>
          <rPr>
            <sz val="9"/>
            <color rgb="FF000000"/>
            <rFont val="Arial"/>
            <family val="2"/>
          </rPr>
          <t>IBM 3Q25 8-K Ex.99.1 (S3) | Page n/a | 1,876</t>
        </r>
      </text>
    </comment>
    <comment ref="D131" authorId="0">
      <text>
        <r>
          <rPr>
            <sz val="9"/>
            <color rgb="FF000000"/>
            <rFont val="Arial"/>
            <family val="2"/>
          </rPr>
          <t>IBM 4Q25 8-K Ex.99.1 (S4) | Page n/a | 1,967</t>
        </r>
      </text>
    </comment>
    <comment ref="E131" authorId="0">
      <text>
        <r>
          <rPr>
            <sz val="9"/>
            <color rgb="FF000000"/>
            <rFont val="Arial"/>
            <family val="2"/>
          </rPr>
          <t>IBM 4Q25 8-K Ex.99.1 (S4) | Page n/a | 7,479</t>
        </r>
      </text>
    </comment>
    <comment ref="F131" authorId="0">
      <text>
        <r>
          <rPr>
            <sz val="9"/>
            <color rgb="FF000000"/>
            <rFont val="Arial"/>
            <family val="2"/>
          </rPr>
          <t>IBM 1Q26 8-K Ex.99.1 (S5) | Page n/a | 1,950</t>
        </r>
      </text>
    </comment>
    <comment ref="G131" authorId="0">
      <text>
        <r>
          <rPr>
            <sz val="9"/>
            <color rgb="FF000000"/>
            <rFont val="Arial"/>
            <family val="2"/>
          </rPr>
          <t>IBM 2Q26 8-K Ex.99.1 (S6) | Page n/a | 2,097</t>
        </r>
      </text>
    </comment>
    <comment ref="C132" authorId="0">
      <text>
        <r>
          <rPr>
            <sz val="9"/>
            <color rgb="FF000000"/>
            <rFont val="Arial"/>
            <family val="2"/>
          </rPr>
          <t>IBM 3Q25 8-K Ex.99.1 (S3) | Page n/a | 4,611</t>
        </r>
      </text>
    </comment>
    <comment ref="D132" authorId="0">
      <text>
        <r>
          <rPr>
            <sz val="9"/>
            <color rgb="FF000000"/>
            <rFont val="Arial"/>
            <family val="2"/>
          </rPr>
          <t>IBM 4Q25 8-K Ex.99.1 (S4) | Page n/a | 4,561</t>
        </r>
      </text>
    </comment>
    <comment ref="E132" authorId="0">
      <text>
        <r>
          <rPr>
            <sz val="9"/>
            <color rgb="FF000000"/>
            <rFont val="Arial"/>
            <family val="2"/>
          </rPr>
          <t>IBM 4Q25 8-K Ex.99.1 (S4) | Page n/a | 18,529</t>
        </r>
      </text>
    </comment>
    <comment ref="F132" authorId="0">
      <text>
        <r>
          <rPr>
            <sz val="9"/>
            <color rgb="FF000000"/>
            <rFont val="Arial"/>
            <family val="2"/>
          </rPr>
          <t>IBM 1Q26 8-K Ex.99.1 (S5) | Page n/a | 4,533</t>
        </r>
      </text>
    </comment>
    <comment ref="G132" authorId="0">
      <text>
        <r>
          <rPr>
            <sz val="9"/>
            <color rgb="FF000000"/>
            <rFont val="Arial"/>
            <family val="2"/>
          </rPr>
          <t>IBM 2Q26 8-K Ex.99.1 (S6) | Page n/a | 4,679</t>
        </r>
      </text>
    </comment>
    <comment ref="C133" authorId="0">
      <text>
        <r>
          <rPr>
            <sz val="9"/>
            <color rgb="FF000000"/>
            <rFont val="Arial"/>
            <family val="2"/>
          </rPr>
          <t>IBM 3Q25 8-K Ex.99.1 (S3) | Page n/a | -238</t>
        </r>
      </text>
    </comment>
    <comment ref="D133" authorId="0">
      <text>
        <r>
          <rPr>
            <sz val="9"/>
            <color rgb="FF000000"/>
            <rFont val="Arial"/>
            <family val="2"/>
          </rPr>
          <t>IBM 4Q25 8-K Ex.99.1 (S4) | Page n/a | -301</t>
        </r>
      </text>
    </comment>
    <comment ref="E133" authorId="0">
      <text>
        <r>
          <rPr>
            <sz val="9"/>
            <color rgb="FF000000"/>
            <rFont val="Arial"/>
            <family val="2"/>
          </rPr>
          <t>IBM 4Q25 8-K Ex.99.1 (S4) | Page n/a | -996</t>
        </r>
      </text>
    </comment>
    <comment ref="F133" authorId="0">
      <text>
        <r>
          <rPr>
            <sz val="9"/>
            <color rgb="FF000000"/>
            <rFont val="Arial"/>
            <family val="2"/>
          </rPr>
          <t>IBM 1Q26 8-K Ex.99.1 (S5) | Page n/a | -253</t>
        </r>
      </text>
    </comment>
    <comment ref="G133" authorId="0">
      <text>
        <r>
          <rPr>
            <sz val="9"/>
            <color rgb="FF000000"/>
            <rFont val="Arial"/>
            <family val="2"/>
          </rPr>
          <t>IBM 2Q26 8-K Ex.99.1 (S6) | Page n/a | -215</t>
        </r>
      </text>
    </comment>
    <comment ref="C134" authorId="0">
      <text>
        <r>
          <rPr>
            <sz val="9"/>
            <color rgb="FF000000"/>
            <rFont val="Arial"/>
            <family val="2"/>
          </rPr>
          <t>IBM 3Q25 8-K Ex.99.1 (S3) | Page n/a | 2,244</t>
        </r>
      </text>
    </comment>
    <comment ref="D134" authorId="0">
      <text>
        <r>
          <rPr>
            <sz val="9"/>
            <color rgb="FF000000"/>
            <rFont val="Arial"/>
            <family val="2"/>
          </rPr>
          <t>IBM 4Q25 8-K Ex.99.1 (S4) | Page n/a | 177</t>
        </r>
      </text>
    </comment>
    <comment ref="E134" authorId="0">
      <text>
        <r>
          <rPr>
            <sz val="9"/>
            <color rgb="FF000000"/>
            <rFont val="Arial"/>
            <family val="2"/>
          </rPr>
          <t>IBM 4Q25 8-K Ex.99.1 (S4) | Page n/a | 1,871</t>
        </r>
      </text>
    </comment>
    <comment ref="F134" authorId="0">
      <text>
        <r>
          <rPr>
            <sz val="9"/>
            <color rgb="FF000000"/>
            <rFont val="Arial"/>
            <family val="2"/>
          </rPr>
          <t>IBM 1Q26 8-K Ex.99.1 (S5) | Page n/a | -165</t>
        </r>
      </text>
    </comment>
    <comment ref="G134" authorId="0">
      <text>
        <r>
          <rPr>
            <sz val="9"/>
            <color rgb="FF000000"/>
            <rFont val="Arial"/>
            <family val="2"/>
          </rPr>
          <t>IBM 2Q26 8-K Ex.99.1 (S6) | Page n/a | -39</t>
        </r>
      </text>
    </comment>
    <comment ref="C135" authorId="0">
      <text>
        <r>
          <rPr>
            <sz val="9"/>
            <color rgb="FF000000"/>
            <rFont val="Arial"/>
            <family val="2"/>
          </rPr>
          <t>IBM 3Q25 8-K Ex.99.1 (S3) | Page n/a | 429</t>
        </r>
      </text>
    </comment>
    <comment ref="D135" authorId="0">
      <text>
        <r>
          <rPr>
            <sz val="9"/>
            <color rgb="FF000000"/>
            <rFont val="Arial"/>
            <family val="2"/>
          </rPr>
          <t>IBM 4Q25 8-K Ex.99.1 (S4) | Page n/a | 424</t>
        </r>
      </text>
    </comment>
    <comment ref="E135" authorId="0">
      <text>
        <r>
          <rPr>
            <sz val="9"/>
            <color rgb="FF000000"/>
            <rFont val="Arial"/>
            <family val="2"/>
          </rPr>
          <t>IBM 4Q25 8-K Ex.99.1 (S4) | Page n/a | 1,712</t>
        </r>
      </text>
    </comment>
    <comment ref="F135" authorId="0">
      <text>
        <r>
          <rPr>
            <sz val="9"/>
            <color rgb="FF000000"/>
            <rFont val="Arial"/>
            <family val="2"/>
          </rPr>
          <t>IBM 1Q26 8-K Ex.99.1 (S5) | Page n/a | 455</t>
        </r>
      </text>
    </comment>
    <comment ref="G135" authorId="0">
      <text>
        <r>
          <rPr>
            <sz val="9"/>
            <color rgb="FF000000"/>
            <rFont val="Arial"/>
            <family val="2"/>
          </rPr>
          <t>IBM 2Q26 8-K Ex.99.1 (S6) | Page n/a | 510</t>
        </r>
      </text>
    </comment>
    <comment ref="F136" authorId="0">
      <text>
        <r>
          <rPr>
            <sz val="9"/>
            <color rgb="FF000000"/>
            <rFont val="Arial"/>
            <family val="2"/>
          </rPr>
          <t>IBM 1Q26 8-K Ex.99.1 (S5) | Page n/a | 536</t>
        </r>
      </text>
    </comment>
    <comment ref="G136" authorId="0">
      <text>
        <r>
          <rPr>
            <sz val="9"/>
            <color rgb="FF000000"/>
            <rFont val="Arial"/>
            <family val="2"/>
          </rPr>
          <t>IBM 2Q26 8-K Ex.99.1 (S6) | Page n/a | 578</t>
        </r>
      </text>
    </comment>
    <comment ref="F137" authorId="0">
      <text>
        <r>
          <rPr>
            <sz val="9"/>
            <color rgb="FF000000"/>
            <rFont val="Arial"/>
            <family val="2"/>
          </rPr>
          <t>IBM 1Q26 8-K Ex.99.1 (S5) | Page n/a | 641</t>
        </r>
      </text>
    </comment>
    <comment ref="G137" authorId="0">
      <text>
        <r>
          <rPr>
            <sz val="9"/>
            <color rgb="FF000000"/>
            <rFont val="Arial"/>
            <family val="2"/>
          </rPr>
          <t>IBM 2Q26 8-K Ex.99.1 (S6) | Page n/a | 687</t>
        </r>
      </text>
    </comment>
    <comment ref="C138" authorId="0">
      <text>
        <r>
          <rPr>
            <sz val="9"/>
            <color rgb="FF000000"/>
            <rFont val="Arial"/>
            <family val="2"/>
          </rPr>
          <t>IBM 3Q25 8-K Ex.99.1 (S3) | Page n/a | 1,268</t>
        </r>
      </text>
    </comment>
    <comment ref="D138" authorId="0">
      <text>
        <r>
          <rPr>
            <sz val="9"/>
            <color rgb="FF000000"/>
            <rFont val="Arial"/>
            <family val="2"/>
          </rPr>
          <t>IBM 4Q25 8-K Ex.99.1 (S4) | Page n/a | 1,112</t>
        </r>
      </text>
    </comment>
    <comment ref="E138" authorId="0">
      <text>
        <r>
          <rPr>
            <sz val="9"/>
            <color rgb="FF000000"/>
            <rFont val="Arial"/>
            <family val="2"/>
          </rPr>
          <t>IBM 4Q25 8-K Ex.99.1 (S4) | Page n/a | 4,667</t>
        </r>
      </text>
    </comment>
    <comment ref="F139" authorId="0">
      <text>
        <r>
          <rPr>
            <sz val="9"/>
            <color rgb="FF000000"/>
            <rFont val="Arial"/>
            <family val="2"/>
          </rPr>
          <t>IBM 1Q26 8-K Ex.99.1 (S5) | Page n/a | 8,378</t>
        </r>
      </text>
    </comment>
    <comment ref="G139" authorId="0">
      <text>
        <r>
          <rPr>
            <sz val="9"/>
            <color rgb="FF000000"/>
            <rFont val="Arial"/>
            <family val="2"/>
          </rPr>
          <t>IBM 2Q26 8-K Ex.99.1 (S6) | Page n/a | 7</t>
        </r>
      </text>
    </comment>
    <comment ref="F140" authorId="0">
      <text>
        <r>
          <rPr>
            <sz val="9"/>
            <color rgb="FF000000"/>
            <rFont val="Arial"/>
            <family val="2"/>
          </rPr>
          <t>IBM 1Q26 8-K Ex.99.1 (S5) | Page n/a | -1,257</t>
        </r>
      </text>
    </comment>
    <comment ref="G140" authorId="0">
      <text>
        <r>
          <rPr>
            <sz val="9"/>
            <color rgb="FF000000"/>
            <rFont val="Arial"/>
            <family val="2"/>
          </rPr>
          <t>IBM 2Q26 8-K Ex.99.1 (S6) | Page n/a | -1,308</t>
        </r>
      </text>
    </comment>
    <comment ref="F141" authorId="0">
      <text>
        <r>
          <rPr>
            <sz val="9"/>
            <color rgb="FF000000"/>
            <rFont val="Arial"/>
            <family val="2"/>
          </rPr>
          <t>IBM 1Q26 8-K Ex.99.1 (S5) | Page n/a | -29</t>
        </r>
      </text>
    </comment>
    <comment ref="G141" authorId="0">
      <text>
        <r>
          <rPr>
            <sz val="9"/>
            <color rgb="FF000000"/>
            <rFont val="Arial"/>
            <family val="2"/>
          </rPr>
          <t>IBM 2Q26 8-K Ex.99.1 (S6) | Page n/a | 0</t>
        </r>
      </text>
    </comment>
    <comment ref="C142" authorId="0">
      <text>
        <r>
          <rPr>
            <sz val="9"/>
            <color rgb="FF000000"/>
            <rFont val="Arial"/>
            <family val="2"/>
          </rPr>
          <t>IBM 3Q25 8-K Ex.99.1 (S3) | Page n/a | 330</t>
        </r>
      </text>
    </comment>
    <comment ref="D142" authorId="0">
      <text>
        <r>
          <rPr>
            <sz val="9"/>
            <color rgb="FF000000"/>
            <rFont val="Arial"/>
            <family val="2"/>
          </rPr>
          <t>IBM 4Q25 8-K Ex.99.1 (S4) | Page n/a | 345</t>
        </r>
      </text>
    </comment>
    <comment ref="E142" authorId="0">
      <text>
        <r>
          <rPr>
            <sz val="9"/>
            <color rgb="FF000000"/>
            <rFont val="Arial"/>
            <family val="2"/>
          </rPr>
          <t>IBM 4Q25 8-K Ex.99.1 (S4) | Page n/a | 1,311</t>
        </r>
      </text>
    </comment>
    <comment ref="F142" authorId="0">
      <text>
        <r>
          <rPr>
            <sz val="9"/>
            <color rgb="FF000000"/>
            <rFont val="Arial"/>
            <family val="2"/>
          </rPr>
          <t>IBM 1Q26 8-K Ex.99.1 (S5) | Page n/a | 401</t>
        </r>
      </text>
    </comment>
    <comment ref="G142" authorId="0">
      <text>
        <r>
          <rPr>
            <sz val="9"/>
            <color rgb="FF000000"/>
            <rFont val="Arial"/>
            <family val="2"/>
          </rPr>
          <t>IBM 2Q26 8-K Ex.99.1 (S6) | Page n/a | 441</t>
        </r>
      </text>
    </comment>
    <comment ref="C143" authorId="0">
      <text>
        <r>
          <rPr>
            <sz val="9"/>
            <color rgb="FF000000"/>
            <rFont val="Arial"/>
            <family val="2"/>
          </rPr>
          <t>IBM 3Q25 8-K Ex.99.1 (S3) | Page n/a | 873</t>
        </r>
      </text>
    </comment>
    <comment ref="D143" authorId="0">
      <text>
        <r>
          <rPr>
            <sz val="9"/>
            <color rgb="FF000000"/>
            <rFont val="Arial"/>
            <family val="2"/>
          </rPr>
          <t>IBM 4Q25 8-K Ex.99.1 (S4) | Page n/a | -2,255</t>
        </r>
      </text>
    </comment>
    <comment ref="E143" authorId="0">
      <text>
        <r>
          <rPr>
            <sz val="9"/>
            <color rgb="FF000000"/>
            <rFont val="Arial"/>
            <family val="2"/>
          </rPr>
          <t>IBM 4Q25 8-K Ex.99.1 (S4) | Page n/a | -431</t>
        </r>
      </text>
    </comment>
    <comment ref="F143" authorId="0">
      <text>
        <r>
          <rPr>
            <sz val="9"/>
            <color rgb="FF000000"/>
            <rFont val="Arial"/>
            <family val="2"/>
          </rPr>
          <t>IBM 1Q26 8-K Ex.99.1 (S5) | Page n/a | 2,087</t>
        </r>
      </text>
    </comment>
    <comment ref="G143" authorId="0">
      <text>
        <r>
          <rPr>
            <sz val="9"/>
            <color rgb="FF000000"/>
            <rFont val="Arial"/>
            <family val="2"/>
          </rPr>
          <t>IBM 2Q26 8-K Ex.99.1 (S6) | Page n/a | -1,480</t>
        </r>
      </text>
    </comment>
    <comment ref="C144" authorId="0">
      <text>
        <r>
          <rPr>
            <sz val="9"/>
            <color rgb="FF000000"/>
            <rFont val="Arial"/>
            <family val="2"/>
          </rPr>
          <t>IBM 3Q25 8-K Ex.99.1 (S3) | Page n/a | 55</t>
        </r>
      </text>
    </comment>
    <comment ref="D144" authorId="0">
      <text>
        <r>
          <rPr>
            <sz val="9"/>
            <color rgb="FF000000"/>
            <rFont val="Arial"/>
            <family val="2"/>
          </rPr>
          <t>IBM 4Q25 8-K Ex.99.1 (S4) | Page n/a | -422</t>
        </r>
      </text>
    </comment>
    <comment ref="E144" authorId="0">
      <text>
        <r>
          <rPr>
            <sz val="9"/>
            <color rgb="FF000000"/>
            <rFont val="Arial"/>
            <family val="2"/>
          </rPr>
          <t>IBM 4Q25 8-K Ex.99.1 (S4) | Page n/a | -1,127</t>
        </r>
      </text>
    </comment>
    <comment ref="F144" authorId="0">
      <text>
        <r>
          <rPr>
            <sz val="9"/>
            <color rgb="FF000000"/>
            <rFont val="Arial"/>
            <family val="2"/>
          </rPr>
          <t>IBM 1Q26 8-K Ex.99.1 (S5) | Page n/a | -321</t>
        </r>
      </text>
    </comment>
    <comment ref="G144" authorId="0">
      <text>
        <r>
          <rPr>
            <sz val="9"/>
            <color rgb="FF000000"/>
            <rFont val="Arial"/>
            <family val="2"/>
          </rPr>
          <t>IBM 2Q26 8-K Ex.99.1 (S6) | Page n/a | -336</t>
        </r>
      </text>
    </comment>
    <comment ref="C145" authorId="0">
      <text>
        <r>
          <rPr>
            <sz val="9"/>
            <color rgb="FF000000"/>
            <rFont val="Arial"/>
            <family val="2"/>
          </rPr>
          <t>IBM 3Q25 8-K Ex.99.1 (S3) | Page n/a | -2,513</t>
        </r>
      </text>
    </comment>
    <comment ref="D145" authorId="0">
      <text>
        <r>
          <rPr>
            <sz val="9"/>
            <color rgb="FF000000"/>
            <rFont val="Arial"/>
            <family val="2"/>
          </rPr>
          <t>IBM 4Q25 8-K Ex.99.1 (S4) | Page n/a | -541</t>
        </r>
      </text>
    </comment>
    <comment ref="E145" authorId="0">
      <text>
        <r>
          <rPr>
            <sz val="9"/>
            <color rgb="FF000000"/>
            <rFont val="Arial"/>
            <family val="2"/>
          </rPr>
          <t>IBM 4Q25 8-K Ex.99.1 (S4) | Page n/a | -3,289</t>
        </r>
      </text>
    </comment>
    <comment ref="F145" authorId="0">
      <text>
        <r>
          <rPr>
            <sz val="9"/>
            <color rgb="FF000000"/>
            <rFont val="Arial"/>
            <family val="2"/>
          </rPr>
          <t>IBM 1Q26 8-K Ex.99.1 (S5) | Page n/a | -7,098</t>
        </r>
      </text>
    </comment>
    <comment ref="G145" authorId="0">
      <text>
        <r>
          <rPr>
            <sz val="9"/>
            <color rgb="FF000000"/>
            <rFont val="Arial"/>
            <family val="2"/>
          </rPr>
          <t>IBM 2Q26 8-K Ex.99.1 (S6) | Page n/a | -747</t>
        </r>
      </text>
    </comment>
    <comment ref="C146" authorId="0">
      <text>
        <r>
          <rPr>
            <sz val="9"/>
            <color rgb="FF000000"/>
            <rFont val="Arial"/>
            <family val="2"/>
          </rPr>
          <t>IBM 3Q25 8-K Ex.99.1 (S3) | Page n/a | -1,587</t>
        </r>
      </text>
    </comment>
    <comment ref="D146" authorId="0">
      <text>
        <r>
          <rPr>
            <sz val="9"/>
            <color rgb="FF000000"/>
            <rFont val="Arial"/>
            <family val="2"/>
          </rPr>
          <t>IBM 4Q25 8-K Ex.99.1 (S4) | Page n/a | -1,379</t>
        </r>
      </text>
    </comment>
    <comment ref="E146" authorId="0">
      <text>
        <r>
          <rPr>
            <sz val="9"/>
            <color rgb="FF000000"/>
            <rFont val="Arial"/>
            <family val="2"/>
          </rPr>
          <t>IBM 4Q25 8-K Ex.99.1 (S4) | Page n/a | -4,937</t>
        </r>
      </text>
    </comment>
    <comment ref="F146" authorId="0">
      <text>
        <r>
          <rPr>
            <sz val="9"/>
            <color rgb="FF000000"/>
            <rFont val="Arial"/>
            <family val="2"/>
          </rPr>
          <t>IBM 1Q26 8-K Ex.99.1 (S5) | Page n/a | -12,979</t>
        </r>
      </text>
    </comment>
    <comment ref="G146" authorId="0">
      <text>
        <r>
          <rPr>
            <sz val="9"/>
            <color rgb="FF000000"/>
            <rFont val="Arial"/>
            <family val="2"/>
          </rPr>
          <t>IBM 2Q26 8-K Ex.99.1 (S6) | Page n/a | 1,698</t>
        </r>
      </text>
    </comment>
    <comment ref="C147" authorId="0">
      <text>
        <r>
          <rPr>
            <sz val="9"/>
            <color rgb="FF000000"/>
            <rFont val="Arial"/>
            <family val="2"/>
          </rPr>
          <t>IBM 3Q25 8-K Ex.99.1 (S3) | Page n/a | -1,259</t>
        </r>
      </text>
    </comment>
    <comment ref="D147" authorId="0">
      <text>
        <r>
          <rPr>
            <sz val="9"/>
            <color rgb="FF000000"/>
            <rFont val="Arial"/>
            <family val="2"/>
          </rPr>
          <t>IBM 4Q25 8-K Ex.99.1 (S4) | Page n/a | -103</t>
        </r>
      </text>
    </comment>
    <comment ref="E147" authorId="0">
      <text>
        <r>
          <rPr>
            <sz val="9"/>
            <color rgb="FF000000"/>
            <rFont val="Arial"/>
            <family val="2"/>
          </rPr>
          <t>IBM 4Q25 8-K Ex.99.1 (S4) | Page n/a | -880</t>
        </r>
      </text>
    </comment>
    <comment ref="C148" authorId="0">
      <text>
        <r>
          <rPr>
            <sz val="9"/>
            <color rgb="FF000000"/>
            <rFont val="Arial"/>
            <family val="2"/>
          </rPr>
          <t>IBM 3Q25 8-K Ex.99.1 (S3) | Page n/a | -1,542</t>
        </r>
      </text>
    </comment>
    <comment ref="D148" authorId="0">
      <text>
        <r>
          <rPr>
            <sz val="9"/>
            <color rgb="FF000000"/>
            <rFont val="Arial"/>
            <family val="2"/>
          </rPr>
          <t>IBM 4Q25 8-K Ex.99.1 (S4) | Page n/a | -1,546</t>
        </r>
      </text>
    </comment>
    <comment ref="E148" authorId="0">
      <text>
        <r>
          <rPr>
            <sz val="9"/>
            <color rgb="FF000000"/>
            <rFont val="Arial"/>
            <family val="2"/>
          </rPr>
          <t>IBM 4Q25 8-K Ex.99.1 (S4) | Page n/a | -6,147</t>
        </r>
      </text>
    </comment>
    <comment ref="F148" authorId="0">
      <text>
        <r>
          <rPr>
            <sz val="9"/>
            <color rgb="FF000000"/>
            <rFont val="Arial"/>
            <family val="2"/>
          </rPr>
          <t>IBM 1Q26 8-K Ex.99.1 (S5) | Page n/a | -1,549</t>
        </r>
      </text>
    </comment>
    <comment ref="G148" authorId="0">
      <text>
        <r>
          <rPr>
            <sz val="9"/>
            <color rgb="FF000000"/>
            <rFont val="Arial"/>
            <family val="2"/>
          </rPr>
          <t>IBM 2Q26 8-K Ex.99.1 (S6) | Page n/a | -1,563</t>
        </r>
      </text>
    </comment>
    <comment ref="C149" authorId="0">
      <text>
        <r>
          <rPr>
            <sz val="9"/>
            <color rgb="FF000000"/>
            <rFont val="Arial"/>
            <family val="2"/>
          </rPr>
          <t>IBM 3Q25 8-K Ex.99.1 (S3) | Page n/a | -2,766</t>
        </r>
      </text>
    </comment>
    <comment ref="D149" authorId="0">
      <text>
        <r>
          <rPr>
            <sz val="9"/>
            <color rgb="FF000000"/>
            <rFont val="Arial"/>
            <family val="2"/>
          </rPr>
          <t>IBM 4Q25 8-K Ex.99.1 (S4) | Page n/a | -1,675</t>
        </r>
      </text>
    </comment>
    <comment ref="E149" authorId="0">
      <text>
        <r>
          <rPr>
            <sz val="9"/>
            <color rgb="FF000000"/>
            <rFont val="Arial"/>
            <family val="2"/>
          </rPr>
          <t>IBM 4Q25 8-K Ex.99.1 (S4) | Page n/a | -7,079</t>
        </r>
      </text>
    </comment>
    <comment ref="F149" authorId="0">
      <text>
        <r>
          <rPr>
            <sz val="9"/>
            <color rgb="FF000000"/>
            <rFont val="Arial"/>
            <family val="2"/>
          </rPr>
          <t>IBM 1Q26 8-K Ex.99.1 (S5) | Page n/a | 5,443</t>
        </r>
      </text>
    </comment>
    <comment ref="G149" authorId="0">
      <text>
        <r>
          <rPr>
            <sz val="9"/>
            <color rgb="FF000000"/>
            <rFont val="Arial"/>
            <family val="2"/>
          </rPr>
          <t>IBM 2Q26 8-K Ex.99.1 (S6) | Page n/a | -2,855</t>
        </r>
      </text>
    </comment>
    <comment ref="C150" authorId="0">
      <text>
        <r>
          <rPr>
            <sz val="9"/>
            <color rgb="FF000000"/>
            <rFont val="Arial"/>
            <family val="2"/>
          </rPr>
          <t>IBM 3Q25 8-K Ex.99.1 (S3) | Page n/a | 207</t>
        </r>
      </text>
    </comment>
    <comment ref="D150" authorId="0">
      <text>
        <r>
          <rPr>
            <sz val="9"/>
            <color rgb="FF000000"/>
            <rFont val="Arial"/>
            <family val="2"/>
          </rPr>
          <t>IBM 4Q25 8-K Ex.99.1 (S4) | Page n/a | -330</t>
        </r>
      </text>
    </comment>
    <comment ref="E150" authorId="0">
      <text>
        <r>
          <rPr>
            <sz val="9"/>
            <color rgb="FF000000"/>
            <rFont val="Arial"/>
            <family val="2"/>
          </rPr>
          <t>IBM 4Q25 8-K Ex.99.1 (S4) | Page n/a | -359</t>
        </r>
      </text>
    </comment>
    <comment ref="F150" authorId="0">
      <text>
        <r>
          <rPr>
            <sz val="9"/>
            <color rgb="FF000000"/>
            <rFont val="Arial"/>
            <family val="2"/>
          </rPr>
          <t>IBM 1Q26 8-K Ex.99.1 (S5) | Page n/a | 167</t>
        </r>
      </text>
    </comment>
    <comment ref="G150" authorId="0">
      <text>
        <r>
          <rPr>
            <sz val="9"/>
            <color rgb="FF000000"/>
            <rFont val="Arial"/>
            <family val="2"/>
          </rPr>
          <t>IBM 2Q26 8-K Ex.99.1 (S6) | Page n/a | 320</t>
        </r>
      </text>
    </comment>
    <comment ref="C151" authorId="0">
      <text>
        <r>
          <rPr>
            <sz val="9"/>
            <color rgb="FF000000"/>
            <rFont val="Arial"/>
            <family val="2"/>
          </rPr>
          <t>IBM 3Q25 8-K Ex.99.1 (S3) | Page n/a | 9,222</t>
        </r>
      </text>
    </comment>
    <comment ref="D151" authorId="0">
      <text>
        <r>
          <rPr>
            <sz val="9"/>
            <color rgb="FF000000"/>
            <rFont val="Arial"/>
            <family val="2"/>
          </rPr>
          <t>IBM 4Q25 8-K Ex.99.1 (S4) | Page n/a | 7,133</t>
        </r>
      </text>
    </comment>
    <comment ref="E151" authorId="0">
      <text>
        <r>
          <rPr>
            <sz val="9"/>
            <color rgb="FF000000"/>
            <rFont val="Arial"/>
            <family val="2"/>
          </rPr>
          <t>IBM 4Q25 8-K Ex.99.1 (S4) | Page n/a | 29,754</t>
        </r>
      </text>
    </comment>
    <comment ref="F151" authorId="0">
      <text>
        <r>
          <rPr>
            <sz val="9"/>
            <color rgb="FF000000"/>
            <rFont val="Arial"/>
            <family val="2"/>
          </rPr>
          <t>IBM 1Q26 8-K Ex.99.1 (S5) | Page n/a | 6,873</t>
        </r>
      </text>
    </comment>
    <comment ref="G151" authorId="0">
      <text>
        <r>
          <rPr>
            <sz val="9"/>
            <color rgb="FF000000"/>
            <rFont val="Arial"/>
            <family val="2"/>
          </rPr>
          <t>IBM 2Q26 8-K Ex.99.1 (S6) | Page n/a | 7,380</t>
        </r>
      </text>
    </comment>
    <comment ref="C152" authorId="0">
      <text>
        <r>
          <rPr>
            <sz val="9"/>
            <color rgb="FF000000"/>
            <rFont val="Arial"/>
            <family val="2"/>
          </rPr>
          <t>IBM 3Q25 8-K Ex.99.1 (S3) | Page n/a | -317</t>
        </r>
      </text>
    </comment>
    <comment ref="D152" authorId="0">
      <text>
        <r>
          <rPr>
            <sz val="9"/>
            <color rgb="FF000000"/>
            <rFont val="Arial"/>
            <family val="2"/>
          </rPr>
          <t>IBM 4Q25 8-K Ex.99.1 (S4) | Page n/a | 2,927</t>
        </r>
      </text>
    </comment>
    <comment ref="E152" authorId="0">
      <text>
        <r>
          <rPr>
            <sz val="9"/>
            <color rgb="FF000000"/>
            <rFont val="Arial"/>
            <family val="2"/>
          </rPr>
          <t>IBM 4Q25 8-K Ex.99.1 (S4) | Page n/a | 6,015</t>
        </r>
      </text>
    </comment>
    <comment ref="F152" authorId="0">
      <text>
        <r>
          <rPr>
            <sz val="9"/>
            <color rgb="FF000000"/>
            <rFont val="Arial"/>
            <family val="2"/>
          </rPr>
          <t>IBM 1Q26 8-K Ex.99.1 (S5) | Page n/a | 1,054</t>
        </r>
      </text>
    </comment>
    <comment ref="G152" authorId="0">
      <text>
        <r>
          <rPr>
            <sz val="9"/>
            <color rgb="FF000000"/>
            <rFont val="Arial"/>
            <family val="2"/>
          </rPr>
          <t>IBM 2Q26 8-K Ex.99.1 (S6) | Page n/a | 2,193</t>
        </r>
      </text>
    </comment>
    <comment ref="C153" authorId="0">
      <text>
        <r>
          <rPr>
            <sz val="9"/>
            <color rgb="FF000000"/>
            <rFont val="Arial"/>
            <family val="2"/>
          </rPr>
          <t>IBM 3Q25 8-K Ex.99.1 (S3) | Page n/a | 6,125</t>
        </r>
      </text>
    </comment>
    <comment ref="D153" authorId="0">
      <text>
        <r>
          <rPr>
            <sz val="9"/>
            <color rgb="FF000000"/>
            <rFont val="Arial"/>
            <family val="2"/>
          </rPr>
          <t>IBM 4Q25 8-K Ex.99.1 (S4) | Page n/a | 6,359</t>
        </r>
      </text>
    </comment>
    <comment ref="E153" authorId="0">
      <text>
        <r>
          <rPr>
            <sz val="9"/>
            <color rgb="FF000000"/>
            <rFont val="Arial"/>
            <family val="2"/>
          </rPr>
          <t>IBM 4Q25 8-K Ex.99.1 (S4) | Page n/a | 25,068</t>
        </r>
      </text>
    </comment>
    <comment ref="F153" authorId="0">
      <text>
        <r>
          <rPr>
            <sz val="9"/>
            <color rgb="FF000000"/>
            <rFont val="Arial"/>
            <family val="2"/>
          </rPr>
          <t>IBM 1Q26 8-K Ex.99.1 (S5) | Page n/a | 6,494</t>
        </r>
      </text>
    </comment>
    <comment ref="G153" authorId="0">
      <text>
        <r>
          <rPr>
            <sz val="9"/>
            <color rgb="FF000000"/>
            <rFont val="Arial"/>
            <family val="2"/>
          </rPr>
          <t>IBM 2Q26 8-K Ex.99.1 (S6) | Page n/a | 7,005</t>
        </r>
      </text>
    </comment>
    <comment ref="C154" authorId="0">
      <text>
        <r>
          <rPr>
            <sz val="9"/>
            <color rgb="FF000000"/>
            <rFont val="Arial"/>
            <family val="2"/>
          </rPr>
          <t>IBM 3Q25 8-K Ex.99.1 (S3) | Page n/a | -553</t>
        </r>
      </text>
    </comment>
    <comment ref="D154" authorId="0">
      <text>
        <r>
          <rPr>
            <sz val="9"/>
            <color rgb="FF000000"/>
            <rFont val="Arial"/>
            <family val="2"/>
          </rPr>
          <t>IBM 4Q25 8-K Ex.99.1 (S4) | Page n/a | -291</t>
        </r>
      </text>
    </comment>
    <comment ref="E154" authorId="0">
      <text>
        <r>
          <rPr>
            <sz val="9"/>
            <color rgb="FF000000"/>
            <rFont val="Arial"/>
            <family val="2"/>
          </rPr>
          <t>IBM 4Q25 8-K Ex.99.1 (S4) | Page n/a | -1,656</t>
        </r>
      </text>
    </comment>
    <comment ref="F154" authorId="0">
      <text>
        <r>
          <rPr>
            <sz val="9"/>
            <color rgb="FF000000"/>
            <rFont val="Arial"/>
            <family val="2"/>
          </rPr>
          <t>IBM 1Q26 8-K Ex.99.1 (S5) | Page n/a | -187</t>
        </r>
      </text>
    </comment>
    <comment ref="G154" authorId="0">
      <text>
        <r>
          <rPr>
            <sz val="9"/>
            <color rgb="FF000000"/>
            <rFont val="Arial"/>
            <family val="2"/>
          </rPr>
          <t>IBM 2Q26 8-K Ex.99.1 (S6) | Page n/a | -65</t>
        </r>
      </text>
    </comment>
    <comment ref="C155" authorId="0">
      <text>
        <r>
          <rPr>
            <sz val="9"/>
            <color rgb="FF000000"/>
            <rFont val="Arial"/>
            <family val="2"/>
          </rPr>
          <t>IBM 3Q25 8-K Ex.99.1 (S3) | Page n/a | 492</t>
        </r>
      </text>
    </comment>
    <comment ref="D155" authorId="0">
      <text>
        <r>
          <rPr>
            <sz val="9"/>
            <color rgb="FF000000"/>
            <rFont val="Arial"/>
            <family val="2"/>
          </rPr>
          <t>IBM 4Q25 8-K Ex.99.1 (S4) | Page n/a | 498</t>
        </r>
      </text>
    </comment>
    <comment ref="E155" authorId="0">
      <text>
        <r>
          <rPr>
            <sz val="9"/>
            <color rgb="FF000000"/>
            <rFont val="Arial"/>
            <family val="2"/>
          </rPr>
          <t>IBM 4Q25 8-K Ex.99.1 (S4) | Page n/a | 1,953</t>
        </r>
      </text>
    </comment>
    <comment ref="F155" authorId="0">
      <text>
        <r>
          <rPr>
            <sz val="9"/>
            <color rgb="FF000000"/>
            <rFont val="Arial"/>
            <family val="2"/>
          </rPr>
          <t>IBM 1Q26 8-K Ex.99.1 (S5) | Page n/a | 557</t>
        </r>
      </text>
    </comment>
    <comment ref="G155" authorId="0">
      <text>
        <r>
          <rPr>
            <sz val="9"/>
            <color rgb="FF000000"/>
            <rFont val="Arial"/>
            <family val="2"/>
          </rPr>
          <t>IBM 2Q26 8-K Ex.99.1 (S6) | Page n/a | 575</t>
        </r>
      </text>
    </comment>
    <comment ref="C156" authorId="0">
      <text>
        <r>
          <rPr>
            <sz val="9"/>
            <color rgb="FF000000"/>
            <rFont val="Arial"/>
            <family val="2"/>
          </rPr>
          <t>IBM 3Q25 8-K Ex.99.1 (S3) | Page n/a | 119</t>
        </r>
      </text>
    </comment>
    <comment ref="D156" authorId="0">
      <text>
        <r>
          <rPr>
            <sz val="9"/>
            <color rgb="FF000000"/>
            <rFont val="Arial"/>
            <family val="2"/>
          </rPr>
          <t>IBM 4Q25 8-K Ex.99.1 (S4) | Page n/a | 123</t>
        </r>
      </text>
    </comment>
    <comment ref="E156" authorId="0">
      <text>
        <r>
          <rPr>
            <sz val="9"/>
            <color rgb="FF000000"/>
            <rFont val="Arial"/>
            <family val="2"/>
          </rPr>
          <t>IBM 4Q25 8-K Ex.99.1 (S4) | Page n/a | 497</t>
        </r>
      </text>
    </comment>
    <comment ref="F156" authorId="0">
      <text>
        <r>
          <rPr>
            <sz val="9"/>
            <color rgb="FF000000"/>
            <rFont val="Arial"/>
            <family val="2"/>
          </rPr>
          <t>IBM 1Q26 8-K Ex.99.1 (S5) | Page n/a | 128</t>
        </r>
      </text>
    </comment>
    <comment ref="G156" authorId="0">
      <text>
        <r>
          <rPr>
            <sz val="9"/>
            <color rgb="FF000000"/>
            <rFont val="Arial"/>
            <family val="2"/>
          </rPr>
          <t>IBM 2Q26 8-K Ex.99.1 (S6) | Page n/a | 132</t>
        </r>
      </text>
    </comment>
    <comment ref="C157" authorId="0">
      <text>
        <r>
          <rPr>
            <sz val="9"/>
            <color rgb="FF000000"/>
            <rFont val="Arial"/>
            <family val="2"/>
          </rPr>
          <t>IBM 3Q25 8-K Ex.99.1 (S3) | Page n/a | 3,800</t>
        </r>
      </text>
    </comment>
    <comment ref="D157" authorId="0">
      <text>
        <r>
          <rPr>
            <sz val="9"/>
            <color rgb="FF000000"/>
            <rFont val="Arial"/>
            <family val="2"/>
          </rPr>
          <t>IBM 4Q25 8-K Ex.99.1 (S4) | Page n/a | 5,600</t>
        </r>
      </text>
    </comment>
    <comment ref="E157" authorId="0">
      <text>
        <r>
          <rPr>
            <sz val="9"/>
            <color rgb="FF000000"/>
            <rFont val="Arial"/>
            <family val="2"/>
          </rPr>
          <t>IBM 4Q25 8-K Ex.99.1 (S4) | Page n/a | 16,400</t>
        </r>
      </text>
    </comment>
    <comment ref="F157" authorId="0">
      <text>
        <r>
          <rPr>
            <sz val="9"/>
            <color rgb="FF000000"/>
            <rFont val="Arial"/>
            <family val="2"/>
          </rPr>
          <t>IBM 1Q26 8-K Ex.99.1 (S5) | Page n/a | 3,400</t>
        </r>
      </text>
    </comment>
    <comment ref="G157" authorId="0">
      <text>
        <r>
          <rPr>
            <sz val="9"/>
            <color rgb="FF000000"/>
            <rFont val="Arial"/>
            <family val="2"/>
          </rPr>
          <t>IBM 2Q26 8-K Ex.99.1 (S6) | Page n/a | 4,700</t>
        </r>
      </text>
    </comment>
    <comment ref="C158" authorId="0">
      <text>
        <r>
          <rPr>
            <sz val="9"/>
            <color rgb="FF000000"/>
            <rFont val="Arial"/>
            <family val="2"/>
          </rPr>
          <t>IBM 3Q25 8-K Ex.99.1 (S3) | Page n/a | -1,264</t>
        </r>
      </text>
    </comment>
    <comment ref="D158" authorId="0">
      <text>
        <r>
          <rPr>
            <sz val="9"/>
            <color rgb="FF000000"/>
            <rFont val="Arial"/>
            <family val="2"/>
          </rPr>
          <t>IBM 4Q25 8-K Ex.99.1 (S4) | Page n/a | 946</t>
        </r>
      </text>
    </comment>
    <comment ref="E158" authorId="0">
      <text>
        <r>
          <rPr>
            <sz val="9"/>
            <color rgb="FF000000"/>
            <rFont val="Arial"/>
            <family val="2"/>
          </rPr>
          <t>IBM 4Q25 8-K Ex.99.1 (S4) | Page n/a | 1,071</t>
        </r>
      </text>
    </comment>
    <comment ref="F158" authorId="0">
      <text>
        <r>
          <rPr>
            <sz val="9"/>
            <color rgb="FF000000"/>
            <rFont val="Arial"/>
            <family val="2"/>
          </rPr>
          <t>IBM 1Q26 8-K Ex.99.1 (S5) | Page n/a | -2,999</t>
        </r>
      </text>
    </comment>
    <comment ref="G158" authorId="0">
      <text>
        <r>
          <rPr>
            <sz val="9"/>
            <color rgb="FF000000"/>
            <rFont val="Arial"/>
            <family val="2"/>
          </rPr>
          <t>IBM 2Q26 8-K Ex.99.1 (S6) | Page n/a | 865</t>
        </r>
      </text>
    </comment>
    <comment ref="C159" authorId="0">
      <text>
        <r>
          <rPr>
            <sz val="9"/>
            <color rgb="FF000000"/>
            <rFont val="Arial"/>
            <family val="2"/>
          </rPr>
          <t>IBM 3Q25 8-K Ex.99.1 (S3) | Page n/a | 92</t>
        </r>
      </text>
    </comment>
    <comment ref="D159" authorId="0">
      <text>
        <r>
          <rPr>
            <sz val="9"/>
            <color rgb="FF000000"/>
            <rFont val="Arial"/>
            <family val="2"/>
          </rPr>
          <t>IBM 4Q25 8-K Ex.99.1 (S4) | Page n/a | 92</t>
        </r>
      </text>
    </comment>
    <comment ref="E159" authorId="0">
      <text>
        <r>
          <rPr>
            <sz val="9"/>
            <color rgb="FF000000"/>
            <rFont val="Arial"/>
            <family val="2"/>
          </rPr>
          <t>IBM 4Q25 8-K Ex.99.1 (S4) | Page n/a | 366</t>
        </r>
      </text>
    </comment>
    <comment ref="F159" authorId="0">
      <text>
        <r>
          <rPr>
            <sz val="9"/>
            <color rgb="FF000000"/>
            <rFont val="Arial"/>
            <family val="2"/>
          </rPr>
          <t>IBM 1Q26 8-K Ex.99.1 (S5) | Page n/a | 90</t>
        </r>
      </text>
    </comment>
    <comment ref="G159" authorId="0">
      <text>
        <r>
          <rPr>
            <sz val="9"/>
            <color rgb="FF000000"/>
            <rFont val="Arial"/>
            <family val="2"/>
          </rPr>
          <t>IBM 2Q26 8-K Ex.99.1 (S6) | Page n/a | 91</t>
        </r>
      </text>
    </comment>
    <comment ref="G162" authorId="0">
      <text>
        <r>
          <rPr>
            <sz val="9"/>
            <color rgb="FF000000"/>
            <rFont val="Arial"/>
            <family val="2"/>
          </rPr>
          <t>IBM 2Q25 10-Q R51 (S31) | Page n/a | $ 66</t>
        </r>
      </text>
    </comment>
    <comment ref="G163" authorId="0">
      <text>
        <r>
          <rPr>
            <sz val="9"/>
            <color rgb="FF000000"/>
            <rFont val="Arial"/>
            <family val="2"/>
          </rPr>
          <t>IBM 2Q25 10-Q R51 (S31) | Page n/a | 69.00%</t>
        </r>
      </text>
    </comment>
    <comment ref="C164" authorId="0">
      <text>
        <r>
          <rPr>
            <sz val="9"/>
            <color rgb="FF000000"/>
            <rFont val="Arial"/>
            <family val="2"/>
          </rPr>
          <t>IBM 3Q25 8-K Ex.99.1 (S3) | Page n/a | -485</t>
        </r>
      </text>
    </comment>
    <comment ref="D164" authorId="0">
      <text>
        <r>
          <rPr>
            <sz val="9"/>
            <color rgb="FF000000"/>
            <rFont val="Arial"/>
            <family val="2"/>
          </rPr>
          <t>IBM 4Q25 8-K Ex.99.1 (S4) | Page n/a | 379</t>
        </r>
      </text>
    </comment>
    <comment ref="E164" authorId="0">
      <text>
        <r>
          <rPr>
            <sz val="9"/>
            <color rgb="FF000000"/>
            <rFont val="Arial"/>
            <family val="2"/>
          </rPr>
          <t>IBM 4Q25 8-K Ex.99.1 (S4) | Page n/a | -218</t>
        </r>
      </text>
    </comment>
    <comment ref="F164" authorId="0">
      <text>
        <r>
          <rPr>
            <sz val="9"/>
            <color rgb="FF000000"/>
            <rFont val="Arial"/>
            <family val="2"/>
          </rPr>
          <t>IBM 1Q26 8-K Ex.99.1 (S5) | Page n/a | 103</t>
        </r>
      </text>
    </comment>
    <comment ref="G164" authorId="0">
      <text>
        <r>
          <rPr>
            <sz val="9"/>
            <color rgb="FF000000"/>
            <rFont val="Arial"/>
            <family val="2"/>
          </rPr>
          <t>IBM 2Q26 8-K Ex.99.1 (S6) | Page n/a | 404</t>
        </r>
      </text>
    </comment>
    <comment ref="C165" authorId="0">
      <text>
        <r>
          <rPr>
            <sz val="9"/>
            <color rgb="FF000000"/>
            <rFont val="Arial"/>
            <family val="2"/>
          </rPr>
          <t>IBM 3Q25 8-K Ex.99.1 (S3) | Page n/a | 332</t>
        </r>
      </text>
    </comment>
    <comment ref="D165" authorId="0">
      <text>
        <r>
          <rPr>
            <sz val="9"/>
            <color rgb="FF000000"/>
            <rFont val="Arial"/>
            <family val="2"/>
          </rPr>
          <t>IBM 4Q25 8-K Ex.99.1 (S4) | Page n/a | 581</t>
        </r>
      </text>
    </comment>
    <comment ref="E165" authorId="0">
      <text>
        <r>
          <rPr>
            <sz val="9"/>
            <color rgb="FF000000"/>
            <rFont val="Arial"/>
            <family val="2"/>
          </rPr>
          <t>IBM 4Q25 8-K Ex.99.1 (S4) | Page n/a | 1,523</t>
        </r>
      </text>
    </comment>
    <comment ref="F165" authorId="0">
      <text>
        <r>
          <rPr>
            <sz val="9"/>
            <color rgb="FF000000"/>
            <rFont val="Arial"/>
            <family val="2"/>
          </rPr>
          <t>IBM 1Q26 8-K Ex.99.1 (S5) | Page n/a | 221</t>
        </r>
      </text>
    </comment>
    <comment ref="G165" authorId="0">
      <text>
        <r>
          <rPr>
            <sz val="9"/>
            <color rgb="FF000000"/>
            <rFont val="Arial"/>
            <family val="2"/>
          </rPr>
          <t>IBM 2Q26 8-K Ex.99.1 (S6) | Page n/a | 545</t>
        </r>
      </text>
    </comment>
    <comment ref="C166" authorId="0">
      <text>
        <r>
          <rPr>
            <sz val="9"/>
            <color rgb="FF000000"/>
            <rFont val="Arial"/>
            <family val="2"/>
          </rPr>
          <t>IBM 3Q25 8-K Ex.99.1 (S3) | Page n/a | -802</t>
        </r>
      </text>
    </comment>
    <comment ref="D166" authorId="0">
      <text>
        <r>
          <rPr>
            <sz val="9"/>
            <color rgb="FF000000"/>
            <rFont val="Arial"/>
            <family val="2"/>
          </rPr>
          <t>IBM 4Q25 8-K Ex.99.1 (S4) | Page n/a | 3,306</t>
        </r>
      </text>
    </comment>
    <comment ref="E166" authorId="0">
      <text>
        <r>
          <rPr>
            <sz val="9"/>
            <color rgb="FF000000"/>
            <rFont val="Arial"/>
            <family val="2"/>
          </rPr>
          <t>IBM 4Q25 8-K Ex.99.1 (S4) | Page n/a | 5,797</t>
        </r>
      </text>
    </comment>
    <comment ref="F166" authorId="0">
      <text>
        <r>
          <rPr>
            <sz val="9"/>
            <color rgb="FF000000"/>
            <rFont val="Arial"/>
            <family val="2"/>
          </rPr>
          <t>IBM 1Q26 8-K Ex.99.1 (S5) | Page n/a | 1,158</t>
        </r>
      </text>
    </comment>
    <comment ref="G166" authorId="0">
      <text>
        <r>
          <rPr>
            <sz val="9"/>
            <color rgb="FF000000"/>
            <rFont val="Arial"/>
            <family val="2"/>
          </rPr>
          <t>IBM 2Q26 8-K Ex.99.1 (S6) | Page n/a | 2,597</t>
        </r>
      </text>
    </comment>
    <comment ref="C167" authorId="0">
      <text>
        <r>
          <rPr>
            <sz val="9"/>
            <color rgb="FF000000"/>
            <rFont val="Arial"/>
            <family val="2"/>
          </rPr>
          <t>IBM 3Q25 8-K Ex.99.1 (S3) | Page n/a | -330</t>
        </r>
      </text>
    </comment>
    <comment ref="D167" authorId="0">
      <text>
        <r>
          <rPr>
            <sz val="9"/>
            <color rgb="FF000000"/>
            <rFont val="Arial"/>
            <family val="2"/>
          </rPr>
          <t>IBM 4Q25 8-K Ex.99.1 (S4) | Page n/a | 2,915</t>
        </r>
      </text>
    </comment>
    <comment ref="E167" authorId="0">
      <text>
        <r>
          <rPr>
            <sz val="9"/>
            <color rgb="FF000000"/>
            <rFont val="Arial"/>
            <family val="2"/>
          </rPr>
          <t>IBM 4Q25 8-K Ex.99.1 (S4) | Page n/a | 6,023</t>
        </r>
      </text>
    </comment>
    <comment ref="F167" authorId="0">
      <text>
        <r>
          <rPr>
            <sz val="9"/>
            <color rgb="FF000000"/>
            <rFont val="Arial"/>
            <family val="2"/>
          </rPr>
          <t>IBM 1Q26 8-K Ex.99.1 (S5) | Page n/a | 1,055</t>
        </r>
      </text>
    </comment>
    <comment ref="G167" authorId="0">
      <text>
        <r>
          <rPr>
            <sz val="9"/>
            <color rgb="FF000000"/>
            <rFont val="Arial"/>
            <family val="2"/>
          </rPr>
          <t>IBM 2Q26 8-K Ex.99.1 (S6) | Page n/a | 2,194</t>
        </r>
      </text>
    </comment>
    <comment ref="C168" authorId="0">
      <text>
        <r>
          <rPr>
            <sz val="9"/>
            <color rgb="FF000000"/>
            <rFont val="Arial"/>
            <family val="2"/>
          </rPr>
          <t>IBM 3Q25 8-K Ex.99.1 (S3) | Page n/a | 8,612</t>
        </r>
      </text>
    </comment>
    <comment ref="D168" authorId="0">
      <text>
        <r>
          <rPr>
            <sz val="9"/>
            <color rgb="FF000000"/>
            <rFont val="Arial"/>
            <family val="2"/>
          </rPr>
          <t>IBM 4Q25 8-K Ex.99.1 (S4) | Page n/a | 10,630</t>
        </r>
      </text>
    </comment>
    <comment ref="E168" authorId="0">
      <text>
        <r>
          <rPr>
            <sz val="9"/>
            <color rgb="FF000000"/>
            <rFont val="Arial"/>
            <family val="2"/>
          </rPr>
          <t>IBM 4Q25 8-K Ex.99.1 (S4) | Page n/a | 36,275</t>
        </r>
      </text>
    </comment>
    <comment ref="F168" authorId="0">
      <text>
        <r>
          <rPr>
            <sz val="9"/>
            <color rgb="FF000000"/>
            <rFont val="Arial"/>
            <family val="2"/>
          </rPr>
          <t>IBM 1Q26 8-K Ex.99.1 (S5) | Page n/a | 8,232</t>
        </r>
      </text>
    </comment>
    <comment ref="G168" authorId="0">
      <text>
        <r>
          <rPr>
            <sz val="9"/>
            <color rgb="FF000000"/>
            <rFont val="Arial"/>
            <family val="2"/>
          </rPr>
          <t>IBM 2Q26 8-K Ex.99.1 (S6) | Page n/a | 10,202</t>
        </r>
      </text>
    </comment>
    <comment ref="C169" authorId="0">
      <text>
        <r>
          <rPr>
            <sz val="9"/>
            <color rgb="FF000000"/>
            <rFont val="Arial"/>
            <family val="2"/>
          </rPr>
          <t>IBM 3Q25 8-K Ex.99.1 (S3) | Page n/a | 2,487</t>
        </r>
      </text>
    </comment>
    <comment ref="D169" authorId="0">
      <text>
        <r>
          <rPr>
            <sz val="9"/>
            <color rgb="FF000000"/>
            <rFont val="Arial"/>
            <family val="2"/>
          </rPr>
          <t>IBM 4Q25 8-K Ex.99.1 (S4) | Page n/a | 4,271</t>
        </r>
      </text>
    </comment>
    <comment ref="E169" authorId="0">
      <text>
        <r>
          <rPr>
            <sz val="9"/>
            <color rgb="FF000000"/>
            <rFont val="Arial"/>
            <family val="2"/>
          </rPr>
          <t>IBM 4Q25 8-K Ex.99.1 (S4) | Page n/a | 11,207</t>
        </r>
      </text>
    </comment>
    <comment ref="F169" authorId="0">
      <text>
        <r>
          <rPr>
            <sz val="9"/>
            <color rgb="FF000000"/>
            <rFont val="Arial"/>
            <family val="2"/>
          </rPr>
          <t>IBM 1Q26 8-K Ex.99.1 (S5) | Page n/a | 1,738</t>
        </r>
      </text>
    </comment>
    <comment ref="G169" authorId="0">
      <text>
        <r>
          <rPr>
            <sz val="9"/>
            <color rgb="FF000000"/>
            <rFont val="Arial"/>
            <family val="2"/>
          </rPr>
          <t>IBM 2Q26 8-K Ex.99.1 (S6) | Page n/a | 3,197</t>
        </r>
      </text>
    </comment>
    <comment ref="C170" authorId="0">
      <text>
        <r>
          <rPr>
            <sz val="9"/>
            <color rgb="FF000000"/>
            <rFont val="Arial"/>
            <family val="2"/>
          </rPr>
          <t>IBM 3Q25 8-K Ex.99.1 (S3) | Page n/a | 2,155</t>
        </r>
      </text>
    </comment>
    <comment ref="D170" authorId="0">
      <text>
        <r>
          <rPr>
            <sz val="9"/>
            <color rgb="FF000000"/>
            <rFont val="Arial"/>
            <family val="2"/>
          </rPr>
          <t>IBM 4Q25 8-K Ex.99.1 (S4) | Page n/a | 3,690</t>
        </r>
      </text>
    </comment>
    <comment ref="E170" authorId="0">
      <text>
        <r>
          <rPr>
            <sz val="9"/>
            <color rgb="FF000000"/>
            <rFont val="Arial"/>
            <family val="2"/>
          </rPr>
          <t>IBM 4Q25 8-K Ex.99.1 (S4) | Page n/a | 9,684</t>
        </r>
      </text>
    </comment>
    <comment ref="F170" authorId="0">
      <text>
        <r>
          <rPr>
            <sz val="9"/>
            <color rgb="FF000000"/>
            <rFont val="Arial"/>
            <family val="2"/>
          </rPr>
          <t>IBM 1Q26 8-K Ex.99.1 (S5) | Page n/a | 1,517</t>
        </r>
      </text>
    </comment>
    <comment ref="G170" authorId="0">
      <text>
        <r>
          <rPr>
            <sz val="9"/>
            <color rgb="FF000000"/>
            <rFont val="Arial"/>
            <family val="2"/>
          </rPr>
          <t>IBM 2Q26 8-K Ex.99.1 (S6) | Page n/a | 2,652</t>
        </r>
      </text>
    </comment>
    <comment ref="C171" authorId="0">
      <text>
        <r>
          <rPr>
            <sz val="9"/>
            <color rgb="FF000000"/>
            <rFont val="Arial"/>
            <family val="2"/>
          </rPr>
          <t>IBM 3Q25 8-K Ex.99.1 (S3) | Page n/a | 2.3</t>
        </r>
      </text>
    </comment>
    <comment ref="D171" authorId="0">
      <text>
        <r>
          <rPr>
            <sz val="9"/>
            <color rgb="FF000000"/>
            <rFont val="Arial"/>
            <family val="2"/>
          </rPr>
          <t>IBM 4Q25 8-K Ex.99.1 (S4) | Page n/a | 3.92</t>
        </r>
      </text>
    </comment>
    <comment ref="E171" authorId="0">
      <text>
        <r>
          <rPr>
            <sz val="9"/>
            <color rgb="FF000000"/>
            <rFont val="Arial"/>
            <family val="2"/>
          </rPr>
          <t>IBM 4Q25 8-K Ex.99.1 (S4) | Page n/a | 10.33</t>
        </r>
      </text>
    </comment>
    <comment ref="C172" authorId="0">
      <text>
        <r>
          <rPr>
            <sz val="9"/>
            <color rgb="FF000000"/>
            <rFont val="Arial"/>
            <family val="2"/>
          </rPr>
          <t>IBM 3Q25 8-K Ex.99.1 (S3) | Page n/a | -0.36</t>
        </r>
      </text>
    </comment>
    <comment ref="D172" authorId="0">
      <text>
        <r>
          <rPr>
            <sz val="9"/>
            <color rgb="FF000000"/>
            <rFont val="Arial"/>
            <family val="2"/>
          </rPr>
          <t>IBM 4Q25 8-K Ex.99.1 (S4) | Page n/a | 3.09</t>
        </r>
      </text>
    </comment>
    <comment ref="E172" authorId="0">
      <text>
        <r>
          <rPr>
            <sz val="9"/>
            <color rgb="FF000000"/>
            <rFont val="Arial"/>
            <family val="2"/>
          </rPr>
          <t>IBM 4Q25 8-K Ex.99.1 (S4) | Page n/a | 6.43</t>
        </r>
      </text>
    </comment>
    <comment ref="C173" authorId="0">
      <text>
        <r>
          <rPr>
            <sz val="9"/>
            <color rgb="FF000000"/>
            <rFont val="Arial"/>
            <family val="2"/>
          </rPr>
          <t>IBM 3Q25 8-K Ex.99.1 (S3) | Page n/a | 923.6</t>
        </r>
      </text>
    </comment>
    <comment ref="D173" authorId="0">
      <text>
        <r>
          <rPr>
            <sz val="9"/>
            <color rgb="FF000000"/>
            <rFont val="Arial"/>
            <family val="2"/>
          </rPr>
          <t>IBM 4Q25 8-K Ex.99.1 (S4) | Page n/a | 942.4</t>
        </r>
      </text>
    </comment>
    <comment ref="E173" authorId="0">
      <text>
        <r>
          <rPr>
            <sz val="9"/>
            <color rgb="FF000000"/>
            <rFont val="Arial"/>
            <family val="2"/>
          </rPr>
          <t>IBM 4Q25 8-K Ex.99.1 (S4) | Page n/a | 937.2</t>
        </r>
      </text>
    </comment>
    <comment ref="F173" authorId="0">
      <text>
        <r>
          <rPr>
            <sz val="9"/>
            <color rgb="FF000000"/>
            <rFont val="Arial"/>
            <family val="2"/>
          </rPr>
          <t>IBM 1Q26 8-K Ex.99.1 (S5) | Page n/a | 945.4</t>
        </r>
      </text>
    </comment>
    <comment ref="G173" authorId="0">
      <text>
        <r>
          <rPr>
            <sz val="9"/>
            <color rgb="FF000000"/>
            <rFont val="Arial"/>
            <family val="2"/>
          </rPr>
          <t>IBM 2Q26 8-K Ex.99.1 (S6) | Page n/a | 948.0</t>
        </r>
      </text>
    </comment>
    <comment ref="C174" authorId="0">
      <text>
        <r>
          <rPr>
            <sz val="9"/>
            <color rgb="FF000000"/>
            <rFont val="Arial"/>
            <family val="2"/>
          </rPr>
          <t>IBM 3Q25 8-K Ex.99.1 (S3) | Page n/a | 923.6</t>
        </r>
      </text>
    </comment>
    <comment ref="D174" authorId="0">
      <text>
        <r>
          <rPr>
            <sz val="9"/>
            <color rgb="FF000000"/>
            <rFont val="Arial"/>
            <family val="2"/>
          </rPr>
          <t>IBM 4Q25 8-K Ex.99.1 (S4) | Page n/a | 926.0</t>
        </r>
      </text>
    </comment>
    <comment ref="E174" authorId="0">
      <text>
        <r>
          <rPr>
            <sz val="9"/>
            <color rgb="FF000000"/>
            <rFont val="Arial"/>
            <family val="2"/>
          </rPr>
          <t>IBM 4Q25 8-K Ex.99.1 (S4) | Page n/a | 921.8</t>
        </r>
      </text>
    </comment>
    <comment ref="F174" authorId="0">
      <text>
        <r>
          <rPr>
            <sz val="9"/>
            <color rgb="FF000000"/>
            <rFont val="Arial"/>
            <family val="2"/>
          </rPr>
          <t>IBM 1Q26 8-K Ex.99.1 (S5) | Page n/a | 928.0</t>
        </r>
      </text>
    </comment>
    <comment ref="G174" authorId="0">
      <text>
        <r>
          <rPr>
            <sz val="9"/>
            <color rgb="FF000000"/>
            <rFont val="Arial"/>
            <family val="2"/>
          </rPr>
          <t>IBM 2Q26 8-K Ex.99.1 (S6) | Page n/a | 930.8</t>
        </r>
      </text>
    </comment>
    <comment ref="C175" authorId="0">
      <text>
        <r>
          <rPr>
            <sz val="9"/>
            <color rgb="FF000000"/>
            <rFont val="Arial"/>
            <family val="2"/>
          </rPr>
          <t>IBM 3Q25 8-K Ex.99.1 (S3) | Page n/a | 2,881</t>
        </r>
      </text>
    </comment>
    <comment ref="D175" authorId="0">
      <text>
        <r>
          <rPr>
            <sz val="9"/>
            <color rgb="FF000000"/>
            <rFont val="Arial"/>
            <family val="2"/>
          </rPr>
          <t>IBM 4Q25 8-K Ex.99.1 (S4) | Page n/a | 4,330</t>
        </r>
      </text>
    </comment>
    <comment ref="E175" authorId="0">
      <text>
        <r>
          <rPr>
            <sz val="9"/>
            <color rgb="FF000000"/>
            <rFont val="Arial"/>
            <family val="2"/>
          </rPr>
          <t>IBM 4Q25 8-K Ex.99.1 (S4) | Page n/a | 13,445</t>
        </r>
      </text>
    </comment>
    <comment ref="F175" authorId="0">
      <text>
        <r>
          <rPr>
            <sz val="9"/>
            <color rgb="FF000000"/>
            <rFont val="Arial"/>
            <family val="2"/>
          </rPr>
          <t>IBM 1Q26 8-K Ex.99.1 (S5) | Page n/a | 4,370</t>
        </r>
      </text>
    </comment>
    <comment ref="G175" authorId="0">
      <text>
        <r>
          <rPr>
            <sz val="9"/>
            <color rgb="FF000000"/>
            <rFont val="Arial"/>
            <family val="2"/>
          </rPr>
          <t>IBM 2Q26 8-K Ex.99.1 (S6) | Page n/a | 1,701</t>
        </r>
      </text>
    </comment>
    <comment ref="C176" authorId="0">
      <text>
        <r>
          <rPr>
            <sz val="9"/>
            <color rgb="FF000000"/>
            <rFont val="Arial"/>
            <family val="2"/>
          </rPr>
          <t>IBM 3Q25 8-K Ex.99.1 (S3) | Page n/a | 2,064</t>
        </r>
      </text>
    </comment>
    <comment ref="D176" authorId="0">
      <text>
        <r>
          <rPr>
            <sz val="9"/>
            <color rgb="FF000000"/>
            <rFont val="Arial"/>
            <family val="2"/>
          </rPr>
          <t>IBM 4Q25 8-K Ex.99.1 (S4) | Page n/a | 6,163</t>
        </r>
      </text>
    </comment>
    <comment ref="E176" authorId="0">
      <text>
        <r>
          <rPr>
            <sz val="9"/>
            <color rgb="FF000000"/>
            <rFont val="Arial"/>
            <family val="2"/>
          </rPr>
          <t>IBM 4Q25 8-K Ex.99.1 (S4) | Page n/a | 12,749</t>
        </r>
      </text>
    </comment>
    <comment ref="F176" authorId="0">
      <text>
        <r>
          <rPr>
            <sz val="9"/>
            <color rgb="FF000000"/>
            <rFont val="Arial"/>
            <family val="2"/>
          </rPr>
          <t>IBM 1Q26 8-K Ex.99.1 (S5) | Page n/a | 1,962</t>
        </r>
      </text>
    </comment>
    <comment ref="G176" authorId="0">
      <text>
        <r>
          <rPr>
            <sz val="9"/>
            <color rgb="FF000000"/>
            <rFont val="Arial"/>
            <family val="2"/>
          </rPr>
          <t>IBM 2Q26 8-K Ex.99.1 (S6) | Page n/a | 2,845</t>
        </r>
      </text>
    </comment>
    <comment ref="C185" authorId="0">
      <text>
        <r>
          <rPr>
            <sz val="9"/>
            <color rgb="FF000000"/>
            <rFont val="Arial"/>
            <family val="2"/>
          </rPr>
          <t>IBM 2Q24 10-Q R4 (S36) | Page n/a | 5,075</t>
        </r>
      </text>
    </comment>
    <comment ref="D185" authorId="0">
      <text>
        <r>
          <rPr>
            <sz val="9"/>
            <color rgb="FF000000"/>
            <rFont val="Arial"/>
            <family val="2"/>
          </rPr>
          <t>IBM 3Q24 10-Q R4 (S37) | Page n/a | 5,256</t>
        </r>
      </text>
    </comment>
    <comment ref="E185" authorId="0">
      <text>
        <r>
          <rPr>
            <sz val="9"/>
            <color rgb="FF000000"/>
            <rFont val="Arial"/>
            <family val="2"/>
          </rPr>
          <t>IBM 2Q24 10-Q R4 (S36) | Page n/a | 6,102</t>
        </r>
      </text>
    </comment>
    <comment ref="F185" authorId="0">
      <text>
        <r>
          <rPr>
            <sz val="9"/>
            <color rgb="FF000000"/>
            <rFont val="Arial"/>
            <family val="2"/>
          </rPr>
          <t>IBM 1Q25 10-Q R4 (S38) | Page n/a | 5,128</t>
        </r>
      </text>
    </comment>
    <comment ref="C186" authorId="0">
      <text>
        <r>
          <rPr>
            <sz val="9"/>
            <color rgb="FF000000"/>
            <rFont val="Arial"/>
            <family val="2"/>
          </rPr>
          <t>IBM 2Q24 10-Q R4 (S36) | Page n/a | 723</t>
        </r>
      </text>
    </comment>
    <comment ref="D186" authorId="0">
      <text>
        <r>
          <rPr>
            <sz val="9"/>
            <color rgb="FF000000"/>
            <rFont val="Arial"/>
            <family val="2"/>
          </rPr>
          <t>IBM 3Q24 10-Q R4 (S37) | Page n/a | 509</t>
        </r>
      </text>
    </comment>
    <comment ref="E186" authorId="0">
      <text>
        <r>
          <rPr>
            <sz val="9"/>
            <color rgb="FF000000"/>
            <rFont val="Arial"/>
            <family val="2"/>
          </rPr>
          <t>IBM 2Q24 10-Q R4 (S36) | Page n/a | 692</t>
        </r>
      </text>
    </comment>
    <comment ref="F186" authorId="0">
      <text>
        <r>
          <rPr>
            <sz val="9"/>
            <color rgb="FF000000"/>
            <rFont val="Arial"/>
            <family val="2"/>
          </rPr>
          <t>IBM 1Q25 10-Q R4 (S38) | Page n/a | 588</t>
        </r>
      </text>
    </comment>
    <comment ref="C187" authorId="0">
      <text>
        <r>
          <rPr>
            <sz val="9"/>
            <color rgb="FF000000"/>
            <rFont val="Arial"/>
            <family val="2"/>
          </rPr>
          <t>IBM 2Q24 10-Q R4 (S36) | Page n/a | 5,483</t>
        </r>
      </text>
    </comment>
    <comment ref="D187" authorId="0">
      <text>
        <r>
          <rPr>
            <sz val="9"/>
            <color rgb="FF000000"/>
            <rFont val="Arial"/>
            <family val="2"/>
          </rPr>
          <t>IBM 3Q24 10-Q R4 (S37) | Page n/a | 4,931</t>
        </r>
      </text>
    </comment>
    <comment ref="E187" authorId="0">
      <text>
        <r>
          <rPr>
            <sz val="9"/>
            <color rgb="FF000000"/>
            <rFont val="Arial"/>
            <family val="2"/>
          </rPr>
          <t>IBM 2Q24 10-Q R4 (S36) | Page n/a | 5,766</t>
        </r>
      </text>
    </comment>
    <comment ref="F187" authorId="0">
      <text>
        <r>
          <rPr>
            <sz val="9"/>
            <color rgb="FF000000"/>
            <rFont val="Arial"/>
            <family val="2"/>
          </rPr>
          <t>IBM 1Q25 10-Q R4 (S38) | Page n/a | 4,920</t>
        </r>
      </text>
    </comment>
    <comment ref="C192" authorId="0">
      <text>
        <r>
          <rPr>
            <sz val="9"/>
            <color rgb="FF000000"/>
            <rFont val="Arial"/>
            <family val="2"/>
          </rPr>
          <t>IBM 2Q25 10-Q R4 balance sheet (S32) | Page n/a | 11,943</t>
        </r>
      </text>
    </comment>
    <comment ref="E192" authorId="0">
      <text>
        <r>
          <rPr>
            <sz val="9"/>
            <color rgb="FF000000"/>
            <rFont val="Arial"/>
            <family val="2"/>
          </rPr>
          <t>IBM 2Q25 10-Q R4 balance sheet (S32) | Page n/a | 13,947</t>
        </r>
      </text>
    </comment>
    <comment ref="C193" authorId="0">
      <text>
        <r>
          <rPr>
            <sz val="9"/>
            <color rgb="FF000000"/>
            <rFont val="Arial"/>
            <family val="2"/>
          </rPr>
          <t>IBM 2Q25 10-Q R4 balance sheet (S32) | Page n/a | 83</t>
        </r>
      </text>
    </comment>
    <comment ref="E193" authorId="0">
      <text>
        <r>
          <rPr>
            <sz val="9"/>
            <color rgb="FF000000"/>
            <rFont val="Arial"/>
            <family val="2"/>
          </rPr>
          <t>IBM 2Q25 10-Q R4 balance sheet (S32) | Page n/a | 214</t>
        </r>
      </text>
    </comment>
    <comment ref="C194" authorId="0">
      <text>
        <r>
          <rPr>
            <sz val="9"/>
            <color rgb="FF000000"/>
            <rFont val="Arial"/>
            <family val="2"/>
          </rPr>
          <t>IBM 2Q25 10-Q R4 balance sheet (S32) | Page n/a | 3,504</t>
        </r>
      </text>
    </comment>
    <comment ref="E194" authorId="0">
      <text>
        <r>
          <rPr>
            <sz val="9"/>
            <color rgb="FF000000"/>
            <rFont val="Arial"/>
            <family val="2"/>
          </rPr>
          <t>IBM 2Q25 10-Q R4 balance sheet (S32) | Page n/a | 644</t>
        </r>
      </text>
    </comment>
    <comment ref="C195" authorId="0">
      <text>
        <r>
          <rPr>
            <sz val="9"/>
            <color rgb="FF000000"/>
            <rFont val="Arial"/>
            <family val="2"/>
          </rPr>
          <t>IBM 2Q25 10-Q R4 balance sheet (S32) | Page n/a | 5,974</t>
        </r>
      </text>
    </comment>
    <comment ref="E195" authorId="0">
      <text>
        <r>
          <rPr>
            <sz val="9"/>
            <color rgb="FF000000"/>
            <rFont val="Arial"/>
            <family val="2"/>
          </rPr>
          <t>IBM 2Q25 10-Q R4 balance sheet (S32) | Page n/a | 6,804</t>
        </r>
      </text>
    </comment>
    <comment ref="C196" authorId="0">
      <text>
        <r>
          <rPr>
            <sz val="9"/>
            <color rgb="FF000000"/>
            <rFont val="Arial"/>
            <family val="2"/>
          </rPr>
          <t>IBM 2Q25 10-Q R4 balance sheet (S32) | Page n/a | 5,586</t>
        </r>
      </text>
    </comment>
    <comment ref="E196" authorId="0">
      <text>
        <r>
          <rPr>
            <sz val="9"/>
            <color rgb="FF000000"/>
            <rFont val="Arial"/>
            <family val="2"/>
          </rPr>
          <t>IBM 2Q25 10-Q R4 balance sheet (S32) | Page n/a | 6,259</t>
        </r>
      </text>
    </comment>
    <comment ref="C197" authorId="0">
      <text>
        <r>
          <rPr>
            <sz val="9"/>
            <color rgb="FF000000"/>
            <rFont val="Arial"/>
            <family val="2"/>
          </rPr>
          <t>IBM 2Q25 10-Q R4 balance sheet (S32) | Page n/a | 746</t>
        </r>
      </text>
    </comment>
    <comment ref="E197" authorId="0">
      <text>
        <r>
          <rPr>
            <sz val="9"/>
            <color rgb="FF000000"/>
            <rFont val="Arial"/>
            <family val="2"/>
          </rPr>
          <t>IBM 2Q25 10-Q R4 balance sheet (S32) | Page n/a | 900</t>
        </r>
      </text>
    </comment>
    <comment ref="C198" authorId="0">
      <text>
        <r>
          <rPr>
            <sz val="9"/>
            <color rgb="FF000000"/>
            <rFont val="Arial"/>
            <family val="2"/>
          </rPr>
          <t>IBM 2Q25 10-Q R4 balance sheet (S32) | Page n/a | 1,187</t>
        </r>
      </text>
    </comment>
    <comment ref="E198" authorId="0">
      <text>
        <r>
          <rPr>
            <sz val="9"/>
            <color rgb="FF000000"/>
            <rFont val="Arial"/>
            <family val="2"/>
          </rPr>
          <t>IBM 2Q25 10-Q R4 balance sheet (S32) | Page n/a | 947</t>
        </r>
      </text>
    </comment>
    <comment ref="C199" authorId="0">
      <text>
        <r>
          <rPr>
            <sz val="9"/>
            <color rgb="FF000000"/>
            <rFont val="Arial"/>
            <family val="2"/>
          </rPr>
          <t>IBM 2Q25 10-Q R4 balance sheet (S32) | Page n/a | 1,251</t>
        </r>
      </text>
    </comment>
    <comment ref="E199" authorId="0">
      <text>
        <r>
          <rPr>
            <sz val="9"/>
            <color rgb="FF000000"/>
            <rFont val="Arial"/>
            <family val="2"/>
          </rPr>
          <t>IBM 2Q25 10-Q R4 balance sheet (S32) | Page n/a | 1,289</t>
        </r>
      </text>
    </comment>
    <comment ref="C200" authorId="0">
      <text>
        <r>
          <rPr>
            <sz val="9"/>
            <color rgb="FF000000"/>
            <rFont val="Arial"/>
            <family val="2"/>
          </rPr>
          <t>IBM 2Q25 10-Q R4 balance sheet (S32) | Page n/a | 1,182</t>
        </r>
      </text>
    </comment>
    <comment ref="E200" authorId="0">
      <text>
        <r>
          <rPr>
            <sz val="9"/>
            <color rgb="FF000000"/>
            <rFont val="Arial"/>
            <family val="2"/>
          </rPr>
          <t>IBM 2Q25 10-Q R4 balance sheet (S32) | Page n/a | 959</t>
        </r>
      </text>
    </comment>
    <comment ref="C201" authorId="0">
      <text>
        <r>
          <rPr>
            <sz val="9"/>
            <color rgb="FF000000"/>
            <rFont val="Arial"/>
            <family val="2"/>
          </rPr>
          <t>IBM 2Q25 10-Q R4 balance sheet (S32) | Page n/a | 2,796</t>
        </r>
      </text>
    </comment>
    <comment ref="E201" authorId="0">
      <text>
        <r>
          <rPr>
            <sz val="9"/>
            <color rgb="FF000000"/>
            <rFont val="Arial"/>
            <family val="2"/>
          </rPr>
          <t>IBM 2Q25 10-Q R4 balance sheet (S32) | Page n/a | 2,520</t>
        </r>
      </text>
    </comment>
    <comment ref="C202" authorId="0">
      <text>
        <r>
          <rPr>
            <sz val="9"/>
            <color rgb="FF000000"/>
            <rFont val="Arial"/>
            <family val="2"/>
          </rPr>
          <t>IBM 2Q25 10-Q R4 balance sheet (S32) | Page n/a | 34,253</t>
        </r>
      </text>
    </comment>
    <comment ref="E202" authorId="0">
      <text>
        <r>
          <rPr>
            <sz val="9"/>
            <color rgb="FF000000"/>
            <rFont val="Arial"/>
            <family val="2"/>
          </rPr>
          <t>IBM 2Q25 10-Q R4 balance sheet (S32) | Page n/a | 34,482</t>
        </r>
      </text>
    </comment>
    <comment ref="C203" authorId="0">
      <text>
        <r>
          <rPr>
            <sz val="9"/>
            <color rgb="FF000000"/>
            <rFont val="Arial"/>
            <family val="2"/>
          </rPr>
          <t>IBM 2Q25 10-Q R4 balance sheet (S32) | Page n/a | 5,943</t>
        </r>
      </text>
    </comment>
    <comment ref="E203" authorId="0">
      <text>
        <r>
          <rPr>
            <sz val="9"/>
            <color rgb="FF000000"/>
            <rFont val="Arial"/>
            <family val="2"/>
          </rPr>
          <t>IBM 2Q25 10-Q R4 balance sheet (S32) | Page n/a | 5,731</t>
        </r>
      </text>
    </comment>
    <comment ref="C204" authorId="0">
      <text>
        <r>
          <rPr>
            <sz val="9"/>
            <color rgb="FF000000"/>
            <rFont val="Arial"/>
            <family val="2"/>
          </rPr>
          <t>IBM 2Q25 10-Q R4 balance sheet (S32) | Page n/a | 3,315</t>
        </r>
      </text>
    </comment>
    <comment ref="E204" authorId="0">
      <text>
        <r>
          <rPr>
            <sz val="9"/>
            <color rgb="FF000000"/>
            <rFont val="Arial"/>
            <family val="2"/>
          </rPr>
          <t>IBM 2Q25 10-Q R4 balance sheet (S32) | Page n/a | 3,197</t>
        </r>
      </text>
    </comment>
    <comment ref="C205" authorId="0">
      <text>
        <r>
          <rPr>
            <sz val="9"/>
            <color rgb="FF000000"/>
            <rFont val="Arial"/>
            <family val="2"/>
          </rPr>
          <t>IBM 2Q25 10-Q R4 balance sheet (S32) | Page n/a | 6,171</t>
        </r>
      </text>
    </comment>
    <comment ref="E205" authorId="0">
      <text>
        <r>
          <rPr>
            <sz val="9"/>
            <color rgb="FF000000"/>
            <rFont val="Arial"/>
            <family val="2"/>
          </rPr>
          <t>IBM 2Q25 10-Q R4 balance sheet (S32) | Page n/a | 5,353</t>
        </r>
      </text>
    </comment>
    <comment ref="C206" authorId="0">
      <text>
        <r>
          <rPr>
            <sz val="9"/>
            <color rgb="FF000000"/>
            <rFont val="Arial"/>
            <family val="2"/>
          </rPr>
          <t>IBM 2Q25 10-Q R4 balance sheet (S32) | Page n/a | 7,983</t>
        </r>
      </text>
    </comment>
    <comment ref="E206" authorId="0">
      <text>
        <r>
          <rPr>
            <sz val="9"/>
            <color rgb="FF000000"/>
            <rFont val="Arial"/>
            <family val="2"/>
          </rPr>
          <t>IBM 2Q25 10-Q R4 balance sheet (S32) | Page n/a | 7,492</t>
        </r>
      </text>
    </comment>
    <comment ref="C207" authorId="0">
      <text>
        <r>
          <rPr>
            <sz val="9"/>
            <color rgb="FF000000"/>
            <rFont val="Arial"/>
            <family val="2"/>
          </rPr>
          <t>IBM 2Q25 10-Q R4 balance sheet (S32) | Page n/a | 795</t>
        </r>
      </text>
    </comment>
    <comment ref="E207" authorId="0">
      <text>
        <r>
          <rPr>
            <sz val="9"/>
            <color rgb="FF000000"/>
            <rFont val="Arial"/>
            <family val="2"/>
          </rPr>
          <t>IBM 2Q25 10-Q R4 balance sheet (S32) | Page n/a | 788</t>
        </r>
      </text>
    </comment>
    <comment ref="C208" authorId="0">
      <text>
        <r>
          <rPr>
            <sz val="9"/>
            <color rgb="FF000000"/>
            <rFont val="Arial"/>
            <family val="2"/>
          </rPr>
          <t>IBM 2Q25 10-Q R4 balance sheet (S32) | Page n/a | 8,475</t>
        </r>
      </text>
    </comment>
    <comment ref="E208" authorId="0">
      <text>
        <r>
          <rPr>
            <sz val="9"/>
            <color rgb="FF000000"/>
            <rFont val="Arial"/>
            <family val="2"/>
          </rPr>
          <t>IBM 2Q25 10-Q R4 balance sheet (S32) | Page n/a | 6,978</t>
        </r>
      </text>
    </comment>
    <comment ref="C209" authorId="0">
      <text>
        <r>
          <rPr>
            <sz val="9"/>
            <color rgb="FF000000"/>
            <rFont val="Arial"/>
            <family val="2"/>
          </rPr>
          <t>IBM 2Q25 10-Q R4 balance sheet (S32) | Page n/a | 67,506</t>
        </r>
      </text>
    </comment>
    <comment ref="E209" authorId="0">
      <text>
        <r>
          <rPr>
            <sz val="9"/>
            <color rgb="FF000000"/>
            <rFont val="Arial"/>
            <family val="2"/>
          </rPr>
          <t>IBM 2Q25 10-Q R4 balance sheet (S32) | Page n/a | 60,706</t>
        </r>
      </text>
    </comment>
    <comment ref="C210" authorId="0">
      <text>
        <r>
          <rPr>
            <sz val="9"/>
            <color rgb="FF000000"/>
            <rFont val="Arial"/>
            <family val="2"/>
          </rPr>
          <t>IBM 2Q25 10-Q R4 balance sheet (S32) | Page n/a | 12,253</t>
        </r>
      </text>
    </comment>
    <comment ref="E210" authorId="0">
      <text>
        <r>
          <rPr>
            <sz val="9"/>
            <color rgb="FF000000"/>
            <rFont val="Arial"/>
            <family val="2"/>
          </rPr>
          <t>IBM 2Q25 10-Q R4 balance sheet (S32) | Page n/a | 10,660</t>
        </r>
      </text>
    </comment>
    <comment ref="C211" authorId="0">
      <text>
        <r>
          <rPr>
            <sz val="9"/>
            <color rgb="FF000000"/>
            <rFont val="Arial"/>
            <family val="2"/>
          </rPr>
          <t>IBM 2Q25 10-Q R4 balance sheet (S32) | Page n/a | 1,891</t>
        </r>
      </text>
    </comment>
    <comment ref="E211" authorId="0">
      <text>
        <r>
          <rPr>
            <sz val="9"/>
            <color rgb="FF000000"/>
            <rFont val="Arial"/>
            <family val="2"/>
          </rPr>
          <t>IBM 2Q25 10-Q R4 balance sheet (S32) | Page n/a | 1,787</t>
        </r>
      </text>
    </comment>
    <comment ref="C212" authorId="0">
      <text>
        <r>
          <rPr>
            <sz val="9"/>
            <color rgb="FF000000"/>
            <rFont val="Arial"/>
            <family val="2"/>
          </rPr>
          <t>IBM 2Q25 10-Q R4 balance sheet (S32) | Page n/a | 148,585</t>
        </r>
      </text>
    </comment>
    <comment ref="E212" authorId="0">
      <text>
        <r>
          <rPr>
            <sz val="9"/>
            <color rgb="FF000000"/>
            <rFont val="Arial"/>
            <family val="2"/>
          </rPr>
          <t>IBM 2Q25 10-Q R4 balance sheet (S32) | Page n/a | 137,175</t>
        </r>
      </text>
    </comment>
    <comment ref="C213" authorId="0">
      <text>
        <r>
          <rPr>
            <sz val="9"/>
            <color rgb="FF000000"/>
            <rFont val="Arial"/>
            <family val="2"/>
          </rPr>
          <t>IBM 2Q25 10-Q R4 balance sheet (S32) | Page n/a | 1,681</t>
        </r>
      </text>
    </comment>
    <comment ref="E213" authorId="0">
      <text>
        <r>
          <rPr>
            <sz val="9"/>
            <color rgb="FF000000"/>
            <rFont val="Arial"/>
            <family val="2"/>
          </rPr>
          <t>IBM 2Q25 10-Q R4 balance sheet (S32) | Page n/a | 2,033</t>
        </r>
      </text>
    </comment>
    <comment ref="C214" authorId="0">
      <text>
        <r>
          <rPr>
            <sz val="9"/>
            <color rgb="FF000000"/>
            <rFont val="Arial"/>
            <family val="2"/>
          </rPr>
          <t>IBM 2Q25 10-Q R4 balance sheet (S32) | Page n/a | 8,945</t>
        </r>
      </text>
    </comment>
    <comment ref="E214" authorId="0">
      <text>
        <r>
          <rPr>
            <sz val="9"/>
            <color rgb="FF000000"/>
            <rFont val="Arial"/>
            <family val="2"/>
          </rPr>
          <t>IBM 2Q25 10-Q R4 balance sheet (S32) | Page n/a | 5,089</t>
        </r>
      </text>
    </comment>
    <comment ref="C215" authorId="0">
      <text>
        <r>
          <rPr>
            <sz val="9"/>
            <color rgb="FF000000"/>
            <rFont val="Arial"/>
            <family val="2"/>
          </rPr>
          <t>IBM 2Q25 10-Q R4 balance sheet (S32) | Page n/a | 3,974</t>
        </r>
      </text>
    </comment>
    <comment ref="E215" authorId="0">
      <text>
        <r>
          <rPr>
            <sz val="9"/>
            <color rgb="FF000000"/>
            <rFont val="Arial"/>
            <family val="2"/>
          </rPr>
          <t>IBM 2Q25 10-Q R4 balance sheet (S32) | Page n/a | 4,032</t>
        </r>
      </text>
    </comment>
    <comment ref="C216" authorId="0">
      <text>
        <r>
          <rPr>
            <sz val="9"/>
            <color rgb="FF000000"/>
            <rFont val="Arial"/>
            <family val="2"/>
          </rPr>
          <t>IBM 2Q25 10-Q R4 balance sheet (S32) | Page n/a | 3,353</t>
        </r>
      </text>
    </comment>
    <comment ref="E216" authorId="0">
      <text>
        <r>
          <rPr>
            <sz val="9"/>
            <color rgb="FF000000"/>
            <rFont val="Arial"/>
            <family val="2"/>
          </rPr>
          <t>IBM 2Q25 10-Q R4 balance sheet (S32) | Page n/a | 3,605</t>
        </r>
      </text>
    </comment>
    <comment ref="C217" authorId="0">
      <text>
        <r>
          <rPr>
            <sz val="9"/>
            <color rgb="FF000000"/>
            <rFont val="Arial"/>
            <family val="2"/>
          </rPr>
          <t>IBM 2Q25 10-Q R4 balance sheet (S32) | Page n/a | 15,022</t>
        </r>
      </text>
    </comment>
    <comment ref="E217" authorId="0">
      <text>
        <r>
          <rPr>
            <sz val="9"/>
            <color rgb="FF000000"/>
            <rFont val="Arial"/>
            <family val="2"/>
          </rPr>
          <t>IBM 2Q25 10-Q R4 balance sheet (S32) | Page n/a | 13,907</t>
        </r>
      </text>
    </comment>
    <comment ref="C218" authorId="0">
      <text>
        <r>
          <rPr>
            <sz val="9"/>
            <color rgb="FF000000"/>
            <rFont val="Arial"/>
            <family val="2"/>
          </rPr>
          <t>IBM 2Q25 10-Q R4 balance sheet (S32) | Page n/a | 820</t>
        </r>
      </text>
    </comment>
    <comment ref="E218" authorId="0">
      <text>
        <r>
          <rPr>
            <sz val="9"/>
            <color rgb="FF000000"/>
            <rFont val="Arial"/>
            <family val="2"/>
          </rPr>
          <t>IBM 2Q25 10-Q R4 balance sheet (S32) | Page n/a | 768</t>
        </r>
      </text>
    </comment>
    <comment ref="C219" authorId="0">
      <text>
        <r>
          <rPr>
            <sz val="9"/>
            <color rgb="FF000000"/>
            <rFont val="Arial"/>
            <family val="2"/>
          </rPr>
          <t>IBM 2Q25 10-Q R4 balance sheet (S32) | Page n/a | 3,932</t>
        </r>
      </text>
    </comment>
    <comment ref="E219" authorId="0">
      <text>
        <r>
          <rPr>
            <sz val="9"/>
            <color rgb="FF000000"/>
            <rFont val="Arial"/>
            <family val="2"/>
          </rPr>
          <t>IBM 2Q25 10-Q R4 balance sheet (S32) | Page n/a | 3,709</t>
        </r>
      </text>
    </comment>
    <comment ref="C220" authorId="0">
      <text>
        <r>
          <rPr>
            <sz val="9"/>
            <color rgb="FF000000"/>
            <rFont val="Arial"/>
            <family val="2"/>
          </rPr>
          <t>IBM 2Q25 10-Q R4 balance sheet (S32) | Page n/a | 37,726</t>
        </r>
      </text>
    </comment>
    <comment ref="E220" authorId="0">
      <text>
        <r>
          <rPr>
            <sz val="9"/>
            <color rgb="FF000000"/>
            <rFont val="Arial"/>
            <family val="2"/>
          </rPr>
          <t>IBM 2Q25 10-Q R4 balance sheet (S32) | Page n/a | 33,142</t>
        </r>
      </text>
    </comment>
    <comment ref="C221" authorId="0">
      <text>
        <r>
          <rPr>
            <sz val="9"/>
            <color rgb="FF000000"/>
            <rFont val="Arial"/>
            <family val="2"/>
          </rPr>
          <t>IBM 2Q25 10-Q R4 balance sheet (S32) | Page n/a | 55,219</t>
        </r>
      </text>
    </comment>
    <comment ref="E221" authorId="0">
      <text>
        <r>
          <rPr>
            <sz val="9"/>
            <color rgb="FF000000"/>
            <rFont val="Arial"/>
            <family val="2"/>
          </rPr>
          <t>IBM 2Q25 10-Q R4 balance sheet (S32) | Page n/a | 49,884</t>
        </r>
      </text>
    </comment>
    <comment ref="C222" authorId="0">
      <text>
        <r>
          <rPr>
            <sz val="9"/>
            <color rgb="FF000000"/>
            <rFont val="Arial"/>
            <family val="2"/>
          </rPr>
          <t>IBM 2Q25 10-Q R4 balance sheet (S32) | Page n/a | 9,882</t>
        </r>
      </text>
    </comment>
    <comment ref="E222" authorId="0">
      <text>
        <r>
          <rPr>
            <sz val="9"/>
            <color rgb="FF000000"/>
            <rFont val="Arial"/>
            <family val="2"/>
          </rPr>
          <t>IBM 2Q25 10-Q R4 balance sheet (S32) | Page n/a | 9,432</t>
        </r>
      </text>
    </comment>
    <comment ref="C223" authorId="0">
      <text>
        <r>
          <rPr>
            <sz val="9"/>
            <color rgb="FF000000"/>
            <rFont val="Arial"/>
            <family val="2"/>
          </rPr>
          <t>IBM 2Q25 10-Q R4 balance sheet (S32) | Page n/a | 3,913</t>
        </r>
      </text>
    </comment>
    <comment ref="E223" authorId="0">
      <text>
        <r>
          <rPr>
            <sz val="9"/>
            <color rgb="FF000000"/>
            <rFont val="Arial"/>
            <family val="2"/>
          </rPr>
          <t>IBM 2Q25 10-Q R4 balance sheet (S32) | Page n/a | 3,622</t>
        </r>
      </text>
    </comment>
    <comment ref="C224" authorId="0">
      <text>
        <r>
          <rPr>
            <sz val="9"/>
            <color rgb="FF000000"/>
            <rFont val="Arial"/>
            <family val="2"/>
          </rPr>
          <t>IBM 2Q25 10-Q R4 balance sheet (S32) | Page n/a | 2,735</t>
        </r>
      </text>
    </comment>
    <comment ref="E224" authorId="0">
      <text>
        <r>
          <rPr>
            <sz val="9"/>
            <color rgb="FF000000"/>
            <rFont val="Arial"/>
            <family val="2"/>
          </rPr>
          <t>IBM 2Q25 10-Q R4 balance sheet (S32) | Page n/a | 2,655</t>
        </r>
      </text>
    </comment>
    <comment ref="C225" authorId="0">
      <text>
        <r>
          <rPr>
            <sz val="9"/>
            <color rgb="FF000000"/>
            <rFont val="Arial"/>
            <family val="2"/>
          </rPr>
          <t>IBM 2Q25 10-Q R4 balance sheet (S32) | Page n/a | 11,522</t>
        </r>
      </text>
    </comment>
    <comment ref="E225" authorId="0">
      <text>
        <r>
          <rPr>
            <sz val="9"/>
            <color rgb="FF000000"/>
            <rFont val="Arial"/>
            <family val="2"/>
          </rPr>
          <t>IBM 2Q25 10-Q R4 balance sheet (S32) | Page n/a | 11,048</t>
        </r>
      </text>
    </comment>
    <comment ref="C226" authorId="0">
      <text>
        <r>
          <rPr>
            <sz val="9"/>
            <color rgb="FF000000"/>
            <rFont val="Arial"/>
            <family val="2"/>
          </rPr>
          <t>IBM 2Q25 10-Q R4 balance sheet (S32) | Page n/a | 120,998</t>
        </r>
      </text>
    </comment>
    <comment ref="E226" authorId="0">
      <text>
        <r>
          <rPr>
            <sz val="9"/>
            <color rgb="FF000000"/>
            <rFont val="Arial"/>
            <family val="2"/>
          </rPr>
          <t>IBM 2Q25 10-Q R4 balance sheet (S32) | Page n/a | 109,783</t>
        </r>
      </text>
    </comment>
    <comment ref="C227" authorId="0">
      <text>
        <r>
          <rPr>
            <sz val="9"/>
            <color rgb="FF000000"/>
            <rFont val="Arial"/>
            <family val="2"/>
          </rPr>
          <t>IBM 2Q25 10-Q R4 balance sheet (S32) | Page n/a | 62,392</t>
        </r>
      </text>
    </comment>
    <comment ref="E227" authorId="0">
      <text>
        <r>
          <rPr>
            <sz val="9"/>
            <color rgb="FF000000"/>
            <rFont val="Arial"/>
            <family val="2"/>
          </rPr>
          <t>IBM 2Q25 10-Q R4 balance sheet (S32) | Page n/a | 61,380</t>
        </r>
      </text>
    </comment>
    <comment ref="C228" authorId="0">
      <text>
        <r>
          <rPr>
            <sz val="9"/>
            <color rgb="FF000000"/>
            <rFont val="Arial"/>
            <family val="2"/>
          </rPr>
          <t>IBM 2Q25 10-Q R4 balance sheet (S32) | Page n/a | 151,367</t>
        </r>
      </text>
    </comment>
    <comment ref="E228" authorId="0">
      <text>
        <r>
          <rPr>
            <sz val="9"/>
            <color rgb="FF000000"/>
            <rFont val="Arial"/>
            <family val="2"/>
          </rPr>
          <t>IBM 2Q25 10-Q R4 balance sheet (S32) | Page n/a | 151,163</t>
        </r>
      </text>
    </comment>
    <comment ref="C229" authorId="0">
      <text>
        <r>
          <rPr>
            <sz val="9"/>
            <color rgb="FF000000"/>
            <rFont val="Arial"/>
            <family val="2"/>
          </rPr>
          <t>IBM 2Q25 10-Q R4 balance sheet (S32) | Page n/a | (170,209)</t>
        </r>
      </text>
    </comment>
    <comment ref="E229" authorId="0">
      <text>
        <r>
          <rPr>
            <sz val="9"/>
            <color rgb="FF000000"/>
            <rFont val="Arial"/>
            <family val="2"/>
          </rPr>
          <t>IBM 2Q25 10-Q R4 balance sheet (S32) | Page n/a | (169,968)</t>
        </r>
      </text>
    </comment>
    <comment ref="C230" authorId="0">
      <text>
        <r>
          <rPr>
            <sz val="9"/>
            <color rgb="FF000000"/>
            <rFont val="Arial"/>
            <family val="2"/>
          </rPr>
          <t>IBM 2Q25 10-Q R4 balance sheet (S32) | Page n/a | (16,041)</t>
        </r>
      </text>
    </comment>
    <comment ref="E230" authorId="0">
      <text>
        <r>
          <rPr>
            <sz val="9"/>
            <color rgb="FF000000"/>
            <rFont val="Arial"/>
            <family val="2"/>
          </rPr>
          <t>IBM 2Q25 10-Q R4 balance sheet (S32) | Page n/a | (15,269)</t>
        </r>
      </text>
    </comment>
    <comment ref="C231" authorId="0">
      <text>
        <r>
          <rPr>
            <sz val="9"/>
            <color rgb="FF000000"/>
            <rFont val="Arial"/>
            <family val="2"/>
          </rPr>
          <t>IBM 2Q25 10-Q R4 balance sheet (S32) | Page n/a | 27,509</t>
        </r>
      </text>
    </comment>
    <comment ref="E231" authorId="0">
      <text>
        <r>
          <rPr>
            <sz val="9"/>
            <color rgb="FF000000"/>
            <rFont val="Arial"/>
            <family val="2"/>
          </rPr>
          <t>IBM 2Q25 10-Q R4 balance sheet (S32) | Page n/a | 27,307</t>
        </r>
      </text>
    </comment>
    <comment ref="C232" authorId="0">
      <text>
        <r>
          <rPr>
            <sz val="9"/>
            <color rgb="FF000000"/>
            <rFont val="Arial"/>
            <family val="2"/>
          </rPr>
          <t>IBM 2Q25 10-Q R4 balance sheet (S32) | Page n/a | 79</t>
        </r>
      </text>
    </comment>
    <comment ref="E232" authorId="0">
      <text>
        <r>
          <rPr>
            <sz val="9"/>
            <color rgb="FF000000"/>
            <rFont val="Arial"/>
            <family val="2"/>
          </rPr>
          <t>IBM 2Q25 10-Q R4 balance sheet (S32) | Page n/a | 86</t>
        </r>
      </text>
    </comment>
    <comment ref="C233" authorId="0">
      <text>
        <r>
          <rPr>
            <sz val="9"/>
            <color rgb="FF000000"/>
            <rFont val="Arial"/>
            <family val="2"/>
          </rPr>
          <t>IBM 2Q25 10-Q R4 balance sheet (S32) | Page n/a | 27,588</t>
        </r>
      </text>
    </comment>
    <comment ref="E233" authorId="0">
      <text>
        <r>
          <rPr>
            <sz val="9"/>
            <color rgb="FF000000"/>
            <rFont val="Arial"/>
            <family val="2"/>
          </rPr>
          <t>IBM 2Q25 10-Q R4 balance sheet (S32) | Page n/a | 27,393</t>
        </r>
      </text>
    </comment>
    <comment ref="C234" authorId="0">
      <text>
        <r>
          <rPr>
            <sz val="9"/>
            <color rgb="FF000000"/>
            <rFont val="Arial"/>
            <family val="2"/>
          </rPr>
          <t>IBM 2Q25 10-Q R4 balance sheet (S32) | Page n/a | 148,585</t>
        </r>
      </text>
    </comment>
    <comment ref="E234" authorId="0">
      <text>
        <r>
          <rPr>
            <sz val="9"/>
            <color rgb="FF000000"/>
            <rFont val="Arial"/>
            <family val="2"/>
          </rPr>
          <t>IBM 2Q25 10-Q R4 balance sheet (S32) | Page n/a | 137,175</t>
        </r>
      </text>
    </comment>
    <comment ref="C238" authorId="0">
      <text>
        <r>
          <rPr>
            <sz val="9"/>
            <color rgb="FF000000"/>
            <rFont val="Arial"/>
            <family val="2"/>
          </rPr>
          <t>IBM FY25 10-K R13 (S8) | Page n/a | 7,327</t>
        </r>
      </text>
    </comment>
    <comment ref="D238" authorId="0">
      <text>
        <r>
          <rPr>
            <sz val="9"/>
            <color rgb="FF000000"/>
            <rFont val="Arial"/>
            <family val="2"/>
          </rPr>
          <t>IBM 3Q25 10-Q R12 (S7) | Page n/a | 5,369</t>
        </r>
      </text>
    </comment>
    <comment ref="F238" authorId="0">
      <text>
        <r>
          <rPr>
            <sz val="9"/>
            <color rgb="FF000000"/>
            <rFont val="Arial"/>
            <family val="2"/>
          </rPr>
          <t>IBM FY25 10-K R13 (S8) | Page n/a | 6,490</t>
        </r>
      </text>
    </comment>
    <comment ref="G238" authorId="0">
      <text>
        <r>
          <rPr>
            <sz val="9"/>
            <color rgb="FF000000"/>
            <rFont val="Arial"/>
            <family val="2"/>
          </rPr>
          <t>IBM 3Q25 10-Q R12 (S7) | Page n/a | 4,716</t>
        </r>
      </text>
    </comment>
    <comment ref="C239" authorId="0">
      <text>
        <r>
          <rPr>
            <sz val="9"/>
            <color rgb="FF000000"/>
            <rFont val="Arial"/>
            <family val="2"/>
          </rPr>
          <t>IBM FY25 10-K R13 (S8) | Page n/a | 7,733</t>
        </r>
      </text>
    </comment>
    <comment ref="D239" authorId="0">
      <text>
        <r>
          <rPr>
            <sz val="9"/>
            <color rgb="FF000000"/>
            <rFont val="Arial"/>
            <family val="2"/>
          </rPr>
          <t>IBM 3Q25 10-Q R12 (S7) | Page n/a | 5,401</t>
        </r>
      </text>
    </comment>
    <comment ref="F239" authorId="0">
      <text>
        <r>
          <rPr>
            <sz val="9"/>
            <color rgb="FF000000"/>
            <rFont val="Arial"/>
            <family val="2"/>
          </rPr>
          <t>IBM FY25 10-K R13 (S8) | Page n/a | 6,558</t>
        </r>
      </text>
    </comment>
    <comment ref="G239" authorId="0">
      <text>
        <r>
          <rPr>
            <sz val="9"/>
            <color rgb="FF000000"/>
            <rFont val="Arial"/>
            <family val="2"/>
          </rPr>
          <t>IBM 3Q25 10-Q R12 (S7) | Page n/a | 4,574</t>
        </r>
      </text>
    </comment>
    <comment ref="C240" authorId="0">
      <text>
        <r>
          <rPr>
            <sz val="9"/>
            <color rgb="FF000000"/>
            <rFont val="Arial"/>
            <family val="2"/>
          </rPr>
          <t>IBM FY25 10-K R13 (S8) | Page n/a | 6,299</t>
        </r>
      </text>
    </comment>
    <comment ref="D240" authorId="0">
      <text>
        <r>
          <rPr>
            <sz val="9"/>
            <color rgb="FF000000"/>
            <rFont val="Arial"/>
            <family val="2"/>
          </rPr>
          <t>IBM 3Q25 10-Q R12 (S7) | Page n/a | 4,194</t>
        </r>
      </text>
    </comment>
    <comment ref="F240" authorId="0">
      <text>
        <r>
          <rPr>
            <sz val="9"/>
            <color rgb="FF000000"/>
            <rFont val="Arial"/>
            <family val="2"/>
          </rPr>
          <t>IBM FY25 10-K R13 (S8) | Page n/a | 5,629</t>
        </r>
      </text>
    </comment>
    <comment ref="G240" authorId="0">
      <text>
        <r>
          <rPr>
            <sz val="9"/>
            <color rgb="FF000000"/>
            <rFont val="Arial"/>
            <family val="2"/>
          </rPr>
          <t>IBM 3Q25 10-Q R12 (S7) | Page n/a | 3,902</t>
        </r>
      </text>
    </comment>
    <comment ref="C241" authorId="0">
      <text>
        <r>
          <rPr>
            <sz val="9"/>
            <color rgb="FF000000"/>
            <rFont val="Arial"/>
            <family val="2"/>
          </rPr>
          <t>IBM FY25 10-K R13 (S8) | Page n/a | 8,603</t>
        </r>
      </text>
    </comment>
    <comment ref="D241" authorId="0">
      <text>
        <r>
          <rPr>
            <sz val="9"/>
            <color rgb="FF000000"/>
            <rFont val="Arial"/>
            <family val="2"/>
          </rPr>
          <t>IBM 3Q25 10-Q R12 (S7) | Page n/a | 5,967</t>
        </r>
      </text>
    </comment>
    <comment ref="F241" authorId="0">
      <text>
        <r>
          <rPr>
            <sz val="9"/>
            <color rgb="FF000000"/>
            <rFont val="Arial"/>
            <family val="2"/>
          </rPr>
          <t>IBM FY25 10-K R13 (S8) | Page n/a | 8,408</t>
        </r>
      </text>
    </comment>
    <comment ref="G241" authorId="0">
      <text>
        <r>
          <rPr>
            <sz val="9"/>
            <color rgb="FF000000"/>
            <rFont val="Arial"/>
            <family val="2"/>
          </rPr>
          <t>IBM 3Q25 10-Q R12 (S7) | Page n/a | 5,970</t>
        </r>
      </text>
    </comment>
    <comment ref="C242" authorId="0">
      <text>
        <r>
          <rPr>
            <sz val="9"/>
            <color rgb="FF000000"/>
            <rFont val="Arial"/>
            <family val="2"/>
          </rPr>
          <t>IBM FY25 10-K R13 (S8) | Page n/a | 11,537</t>
        </r>
      </text>
    </comment>
    <comment ref="D242" authorId="0">
      <text>
        <r>
          <rPr>
            <sz val="9"/>
            <color rgb="FF000000"/>
            <rFont val="Arial"/>
            <family val="2"/>
          </rPr>
          <t>IBM 3Q25 10-Q R12 (S7) | Page n/a | 8,607</t>
        </r>
      </text>
    </comment>
    <comment ref="F242" authorId="0">
      <text>
        <r>
          <rPr>
            <sz val="9"/>
            <color rgb="FF000000"/>
            <rFont val="Arial"/>
            <family val="2"/>
          </rPr>
          <t>IBM FY25 10-K R13 (S8) | Page n/a | 11,488</t>
        </r>
      </text>
    </comment>
    <comment ref="G242" authorId="0">
      <text>
        <r>
          <rPr>
            <sz val="9"/>
            <color rgb="FF000000"/>
            <rFont val="Arial"/>
            <family val="2"/>
          </rPr>
          <t>IBM 3Q25 10-Q R12 (S7) | Page n/a | 8,613</t>
        </r>
      </text>
    </comment>
    <comment ref="C243" authorId="0">
      <text>
        <r>
          <rPr>
            <sz val="9"/>
            <color rgb="FF000000"/>
            <rFont val="Arial"/>
            <family val="2"/>
          </rPr>
          <t>IBM FY25 10-K R13 (S8) | Page n/a | 9,518</t>
        </r>
      </text>
    </comment>
    <comment ref="D243" authorId="0">
      <text>
        <r>
          <rPr>
            <sz val="9"/>
            <color rgb="FF000000"/>
            <rFont val="Arial"/>
            <family val="2"/>
          </rPr>
          <t>IBM 3Q25 10-Q R12 (S7) | Page n/a | 7,100</t>
        </r>
      </text>
    </comment>
    <comment ref="F243" authorId="0">
      <text>
        <r>
          <rPr>
            <sz val="9"/>
            <color rgb="FF000000"/>
            <rFont val="Arial"/>
            <family val="2"/>
          </rPr>
          <t>IBM FY25 10-K R13 (S8) | Page n/a | 9,204</t>
        </r>
      </text>
    </comment>
    <comment ref="G243" authorId="0">
      <text>
        <r>
          <rPr>
            <sz val="9"/>
            <color rgb="FF000000"/>
            <rFont val="Arial"/>
            <family val="2"/>
          </rPr>
          <t>IBM 3Q25 10-Q R12 (S7) | Page n/a | 6,904</t>
        </r>
      </text>
    </comment>
    <comment ref="C244" authorId="0">
      <text>
        <r>
          <rPr>
            <sz val="9"/>
            <color rgb="FF000000"/>
            <rFont val="Arial"/>
            <family val="2"/>
          </rPr>
          <t>IBM FY25 10-K R13 (S8) | Page n/a | 10,618</t>
        </r>
      </text>
    </comment>
    <comment ref="D244" authorId="0">
      <text>
        <r>
          <rPr>
            <sz val="9"/>
            <color rgb="FF000000"/>
            <rFont val="Arial"/>
            <family val="2"/>
          </rPr>
          <t>IBM 3Q25 10-Q R12 (S7) | Page n/a | 6,775</t>
        </r>
      </text>
    </comment>
    <comment ref="F244" authorId="0">
      <text>
        <r>
          <rPr>
            <sz val="9"/>
            <color rgb="FF000000"/>
            <rFont val="Arial"/>
            <family val="2"/>
          </rPr>
          <t>IBM FY25 10-K R13 (S8) | Page n/a | 8,913</t>
        </r>
      </text>
    </comment>
    <comment ref="G244" authorId="0">
      <text>
        <r>
          <rPr>
            <sz val="9"/>
            <color rgb="FF000000"/>
            <rFont val="Arial"/>
            <family val="2"/>
          </rPr>
          <t>IBM 3Q25 10-Q R12 (S7) | Page n/a | 5,928</t>
        </r>
      </text>
    </comment>
    <comment ref="C245" authorId="0">
      <text>
        <r>
          <rPr>
            <sz val="9"/>
            <color rgb="FF000000"/>
            <rFont val="Arial"/>
            <family val="2"/>
          </rPr>
          <t>IBM FY25 10-K R13 (S8) | Page n/a | 5,100</t>
        </r>
      </text>
    </comment>
    <comment ref="D245" authorId="0">
      <text>
        <r>
          <rPr>
            <sz val="9"/>
            <color rgb="FF000000"/>
            <rFont val="Arial"/>
            <family val="2"/>
          </rPr>
          <t>IBM 3Q25 10-Q R12 (S7) | Page n/a | 3,811</t>
        </r>
      </text>
    </comment>
    <comment ref="F245" authorId="0">
      <text>
        <r>
          <rPr>
            <sz val="9"/>
            <color rgb="FF000000"/>
            <rFont val="Arial"/>
            <family val="2"/>
          </rPr>
          <t>IBM FY25 10-K R13 (S8) | Page n/a | 5,107</t>
        </r>
      </text>
    </comment>
    <comment ref="G245" authorId="0">
      <text>
        <r>
          <rPr>
            <sz val="9"/>
            <color rgb="FF000000"/>
            <rFont val="Arial"/>
            <family val="2"/>
          </rPr>
          <t>IBM 3Q25 10-Q R12 (S7) | Page n/a | 3,835</t>
        </r>
      </text>
    </comment>
    <comment ref="C246" authorId="0">
      <text>
        <r>
          <rPr>
            <sz val="9"/>
            <color rgb="FF000000"/>
            <rFont val="Arial"/>
            <family val="2"/>
          </rPr>
          <t>IBM FY25 10-K R13 (S8) | Page n/a | 33,342</t>
        </r>
      </text>
    </comment>
    <comment ref="D246" authorId="0">
      <text>
        <r>
          <rPr>
            <sz val="9"/>
            <color rgb="FF000000"/>
            <rFont val="Arial"/>
            <family val="2"/>
          </rPr>
          <t>IBM 3Q25 10-Q R12 (S7) | Page n/a | 23,811</t>
        </r>
      </text>
    </comment>
    <comment ref="F246" authorId="0">
      <text>
        <r>
          <rPr>
            <sz val="9"/>
            <color rgb="FF000000"/>
            <rFont val="Arial"/>
            <family val="2"/>
          </rPr>
          <t>IBM FY25 10-K R13 (S8) | Page n/a | 31,266</t>
        </r>
      </text>
    </comment>
    <comment ref="G246" authorId="0">
      <text>
        <r>
          <rPr>
            <sz val="9"/>
            <color rgb="FF000000"/>
            <rFont val="Arial"/>
            <family val="2"/>
          </rPr>
          <t>IBM 3Q25 10-Q R12 (S7) | Page n/a | 22,727</t>
        </r>
      </text>
    </comment>
    <comment ref="C247" authorId="0">
      <text>
        <r>
          <rPr>
            <sz val="9"/>
            <color rgb="FF000000"/>
            <rFont val="Arial"/>
            <family val="2"/>
          </rPr>
          <t>IBM FY25 10-K R13 (S8) | Page n/a | 22,189</t>
        </r>
      </text>
    </comment>
    <comment ref="D247" authorId="0">
      <text>
        <r>
          <rPr>
            <sz val="9"/>
            <color rgb="FF000000"/>
            <rFont val="Arial"/>
            <family val="2"/>
          </rPr>
          <t>IBM 3Q25 10-Q R12 (S7) | Page n/a | 15,216</t>
        </r>
      </text>
    </comment>
    <comment ref="F247" authorId="0">
      <text>
        <r>
          <rPr>
            <sz val="9"/>
            <color rgb="FF000000"/>
            <rFont val="Arial"/>
            <family val="2"/>
          </rPr>
          <t>IBM FY25 10-K R13 (S8) | Page n/a | 19,429</t>
        </r>
      </text>
    </comment>
    <comment ref="G247" authorId="0">
      <text>
        <r>
          <rPr>
            <sz val="9"/>
            <color rgb="FF000000"/>
            <rFont val="Arial"/>
            <family val="2"/>
          </rPr>
          <t>IBM 3Q25 10-Q R12 (S7) | Page n/a | 13,619</t>
        </r>
      </text>
    </comment>
    <comment ref="C248" authorId="0">
      <text>
        <r>
          <rPr>
            <sz val="9"/>
            <color rgb="FF000000"/>
            <rFont val="Arial"/>
            <family val="2"/>
          </rPr>
          <t>IBM FY25 10-K R13 (S8) | Page n/a | 12,004</t>
        </r>
      </text>
    </comment>
    <comment ref="D248" authorId="0">
      <text>
        <r>
          <rPr>
            <sz val="9"/>
            <color rgb="FF000000"/>
            <rFont val="Arial"/>
            <family val="2"/>
          </rPr>
          <t>IBM 3Q25 10-Q R12 (S7) | Page n/a | 8,822</t>
        </r>
      </text>
    </comment>
    <comment ref="F248" authorId="0">
      <text>
        <r>
          <rPr>
            <sz val="9"/>
            <color rgb="FF000000"/>
            <rFont val="Arial"/>
            <family val="2"/>
          </rPr>
          <t>IBM FY25 10-K R13 (S8) | Page n/a | 12,058</t>
        </r>
      </text>
    </comment>
    <comment ref="G248" authorId="0">
      <text>
        <r>
          <rPr>
            <sz val="9"/>
            <color rgb="FF000000"/>
            <rFont val="Arial"/>
            <family val="2"/>
          </rPr>
          <t>IBM 3Q25 10-Q R12 (S7) | Page n/a | 8,853</t>
        </r>
      </text>
    </comment>
    <comment ref="C251" authorId="0">
      <text>
        <r>
          <rPr>
            <sz val="9"/>
            <color rgb="FF000000"/>
            <rFont val="Arial"/>
            <family val="2"/>
          </rPr>
          <t>finhacker.cz IBM market cap (S25) | Page n/a | $218.68B</t>
        </r>
      </text>
    </comment>
    <comment ref="C255" authorId="0">
      <text>
        <r>
          <rPr>
            <sz val="9"/>
            <color rgb="FF000000"/>
            <rFont val="Arial"/>
            <family val="2"/>
          </rPr>
          <t>Equibles S&amp;P 500 constituents (S26) | Page n/a | IBM International Business Machines Corp 0.33%</t>
        </r>
      </text>
    </comment>
    <comment ref="C267" authorId="0">
      <text>
        <r>
          <rPr>
            <sz val="9"/>
            <color rgb="FF000000"/>
            <rFont val="Arial"/>
            <family val="2"/>
          </rPr>
          <t>Alphastreet (S23) | Page n/a | EPS Est $2.87</t>
        </r>
      </text>
    </comment>
    <comment ref="D267" authorId="0">
      <text>
        <r>
          <rPr>
            <sz val="9"/>
            <color rgb="FF000000"/>
            <rFont val="Arial"/>
            <family val="2"/>
          </rPr>
          <t>Alphastreet (S23) | Page n/a | Rev Est $16.84B</t>
        </r>
      </text>
    </comment>
    <comment ref="C268" authorId="0">
      <text>
        <r>
          <rPr>
            <sz val="9"/>
            <color rgb="FF000000"/>
            <rFont val="Arial"/>
            <family val="2"/>
          </rPr>
          <t>MarketBeat (S24) | Page n/a | $2.86 per share</t>
        </r>
      </text>
    </comment>
    <comment ref="D268" authorId="0">
      <text>
        <r>
          <rPr>
            <sz val="9"/>
            <color rgb="FF000000"/>
            <rFont val="Arial"/>
            <family val="2"/>
          </rPr>
          <t>MarketBeat (S24) | Page n/a | $16.82 billion</t>
        </r>
      </text>
    </comment>
    <comment ref="C269" authorId="0">
      <text>
        <r>
          <rPr>
            <sz val="9"/>
            <color rgb="FF000000"/>
            <rFont val="Arial"/>
            <family val="2"/>
          </rPr>
          <t>Proactive Investors (S20) | Page n/a | earnings per share of $2.82</t>
        </r>
      </text>
    </comment>
    <comment ref="D269" authorId="0">
      <text>
        <r>
          <rPr>
            <sz val="9"/>
            <color rgb="FF000000"/>
            <rFont val="Arial"/>
            <family val="2"/>
          </rPr>
          <t>Proactive Investors (S20) | Page n/a | revenue of $16.8 billion</t>
        </r>
      </text>
    </comment>
    <comment ref="C270" authorId="0">
      <text>
        <r>
          <rPr>
            <sz val="9"/>
            <color rgb="FF000000"/>
            <rFont val="Arial"/>
            <family val="2"/>
          </rPr>
          <t>Webull/Zhitong (S21) | Page n/a | US$2.80</t>
        </r>
      </text>
    </comment>
    <comment ref="D270" authorId="0">
      <text>
        <r>
          <rPr>
            <sz val="9"/>
            <color rgb="FF000000"/>
            <rFont val="Arial"/>
            <family val="2"/>
          </rPr>
          <t>Webull/Zhitong (S21) | Page n/a | US$16.823 billion</t>
        </r>
      </text>
    </comment>
  </commentList>
</comments>
</file>

<file path=xl/sharedStrings.xml><?xml version="1.0" encoding="utf-8"?>
<sst xmlns="http://schemas.openxmlformats.org/spreadsheetml/2006/main" count="931" uniqueCount="931">
  <si>
    <t>International Business Machines Corporation (NYSE: IBM)</t>
  </si>
  <si>
    <t>Cover – Company Model — built by Shortcut</t>
  </si>
  <si>
    <t>$ millions, except per share</t>
  </si>
  <si>
    <t>Forecast period: 3Q26E – quarter ended 30-Sep-2026 (92 days); table columns are labelled within each block below</t>
  </si>
  <si>
    <t>Company Model — built by Shortcut</t>
  </si>
  <si>
    <t>Author</t>
  </si>
  <si>
    <t>Shortcut</t>
  </si>
  <si>
    <t>Company and period</t>
  </si>
  <si>
    <t>Company</t>
  </si>
  <si>
    <t>International Business Machines Corporation</t>
  </si>
  <si>
    <t>Ticker</t>
  </si>
  <si>
    <t>IBM</t>
  </si>
  <si>
    <t>Exchange</t>
  </si>
  <si>
    <t>New York Stock Exchange (CapIQ: NYSE:IBM)</t>
  </si>
  <si>
    <t>Fiscal year end</t>
  </si>
  <si>
    <t>31 December (CapIQ: Dec-31)</t>
  </si>
  <si>
    <t>Forecast period</t>
  </si>
  <si>
    <t>FQ3 2026 - Sep 2026 = quarter ended 30-Sep-2026 (calendar quarter; month-end is the actual period end)</t>
  </si>
  <si>
    <t>Reporting currency</t>
  </si>
  <si>
    <t>USD; financial amounts in $ millions</t>
  </si>
  <si>
    <t>EPS basis</t>
  </si>
  <si>
    <t>IBM operating (non-GAAP) diluted EPS, continuing ops = CapIQ normalized diluted EPS, USD per diluted common share</t>
  </si>
  <si>
    <t>Information cutoff</t>
  </si>
  <si>
    <t>2026-10-18 21:34 UTC (CapIQ snapshot 2026-10-18)</t>
  </si>
  <si>
    <t>Expected report date</t>
  </si>
  <si>
    <t>2026-10-21 after market close (IBM release 7-Oct-26; matches supplied CapIQ date)</t>
  </si>
  <si>
    <t>Headline: Shortcut estimate vs consensus at cutoff vs guidance midpoint (3Q26E)</t>
  </si>
  <si>
    <t>Metric</t>
  </si>
  <si>
    <t>Shortcut est.</t>
  </si>
  <si>
    <t>Consensus</t>
  </si>
  <si>
    <t>Variance</t>
  </si>
  <si>
    <t>Var. %</t>
  </si>
  <si>
    <t>Guide mid.</t>
  </si>
  <si>
    <t>Est. - guide</t>
  </si>
  <si>
    <t>Revenue ($m)</t>
  </si>
  <si>
    <t>Net income – operating, consensus basis ($m)</t>
  </si>
  <si>
    <t>Operating (normalized) diluted EPS ($)</t>
  </si>
  <si>
    <t>GAAP net income ($m)</t>
  </si>
  <si>
    <t>n.a.</t>
  </si>
  <si>
    <t>GAAP diluted EPS ($)</t>
  </si>
  <si>
    <t>Linkage check: Cover ties to statements (identity)</t>
  </si>
  <si>
    <t>Overall check result (A: vs reported; E: identities)</t>
  </si>
  <si>
    <t>PASS</t>
  </si>
  <si>
    <t>Historical (A) checks compare with reported data. 3Q26E (H) checks in Revenue summary 42, Geo 35, IS 72/130, BS 101, CF 66 and Cover C30 are structural/linkage identities true by construction – not independent validation of the forecast</t>
  </si>
  <si>
    <t>P(beat consensus EPS)</t>
  </si>
  <si>
    <t>Confidence</t>
  </si>
  <si>
    <t>low</t>
  </si>
  <si>
    <t>Consensus detail at cutoff (CapIQ, frozen scoring baseline)</t>
  </si>
  <si>
    <t>Normalized EPS – median</t>
  </si>
  <si>
    <t>Normalized EPS – high</t>
  </si>
  <si>
    <t>Normalized EPS – low</t>
  </si>
  <si>
    <t>Normalized EPS – number of estimates</t>
  </si>
  <si>
    <t>Revenue – number of estimates</t>
  </si>
  <si>
    <t>Starting P(beat) from size/history prior (Inputs section 5)</t>
  </si>
  <si>
    <t>Key forecast drivers (detail on segment tabs; commentary in cell notes / Notes column)</t>
  </si>
  <si>
    <t>Revenue growth at cc (built from segments)</t>
  </si>
  <si>
    <t>FX impact on revenue growth (assumption)</t>
  </si>
  <si>
    <t>Operating pre-tax margin</t>
  </si>
  <si>
    <t>Operating tax rate</t>
  </si>
  <si>
    <t>Diluted shares (m)</t>
  </si>
  <si>
    <t>Free cash flow ($m)</t>
  </si>
  <si>
    <t>Revenue summary</t>
  </si>
  <si>
    <t>Period</t>
  </si>
  <si>
    <t>3Q25A</t>
  </si>
  <si>
    <t>4Q25A</t>
  </si>
  <si>
    <t>FY25A</t>
  </si>
  <si>
    <t>1Q26A</t>
  </si>
  <si>
    <t>2Q26A</t>
  </si>
  <si>
    <t>3Q26E</t>
  </si>
  <si>
    <t>Notes</t>
  </si>
  <si>
    <t>Period end</t>
  </si>
  <si>
    <t>Days in period</t>
  </si>
  <si>
    <t>Revenue by reported segment</t>
  </si>
  <si>
    <t>Software</t>
  </si>
  <si>
    <t>% Y/Y</t>
  </si>
  <si>
    <t>% Q/Q</t>
  </si>
  <si>
    <t>% of total revenue</t>
  </si>
  <si>
    <t>Consulting</t>
  </si>
  <si>
    <t>Infrastructure</t>
  </si>
  <si>
    <t>Financing</t>
  </si>
  <si>
    <t>Other (incl. sales-type lease residual value adjustments)</t>
  </si>
  <si>
    <t>E: assumption $45m, between 1Q26 ($48m) and 2Q26 ($52m) run-rate; not a reported segment</t>
  </si>
  <si>
    <t>Rounding to reported total (A: derived; E: none)</t>
  </si>
  <si>
    <t>Issuer totals are computed from unrounded segment amounts; differences are at most $1m</t>
  </si>
  <si>
    <t>Total revenue</t>
  </si>
  <si>
    <t>Q/Q change ($m)</t>
  </si>
  <si>
    <t>Constant-currency growth (disclosed; E = built from segments)</t>
  </si>
  <si>
    <t>FX impact on growth (A: derived; E: assumption, single source)</t>
  </si>
  <si>
    <t>E: -1.1pt. IBM guided ~(1.5)pt at 21-Jul spot (euro -2%, yen -10% Y/Y). Actual 3Q26 averages: EUR ~1.151 vs ~1.169 (-1.6%), JPY 159.2 vs 147.5 (-7.3%) -&gt; smaller headwind</t>
  </si>
  <si>
    <t>M&amp;A / scope contribution (not disclosed at total level for A periods)</t>
  </si>
  <si>
    <t>Organic growth</t>
  </si>
  <si>
    <t>Checks and memo</t>
  </si>
  <si>
    <t>Total revenue as reported (CapIQ history; FY25 = sum of 1Q25-4Q25)</t>
  </si>
  <si>
    <t>Check: segments sum to total revenue (±$1m rounding)</t>
  </si>
  <si>
    <t>H (3Q26E): construction identity (total = sum of segments by formula), not an independent validation</t>
  </si>
  <si>
    <t>Check: FY25A equals sum of four 2025 quarters (annual flow reconciles)</t>
  </si>
  <si>
    <t>Memo: CapIQ consensus revenue (frozen 18-Oct-26)</t>
  </si>
  <si>
    <t>Estimate vs consensus ($m)</t>
  </si>
  <si>
    <t>Geography: Americas, EMEA and Asia Pacific disclosed - see Geo tab</t>
  </si>
  <si>
    <t>Backlog proxy: remaining performance obligations (RPO, company level, $m)</t>
  </si>
  <si>
    <t>Opening RPO</t>
  </si>
  <si>
    <t>31-Dec-24 RPO not retrieved: unavailable (FY25 opening)</t>
  </si>
  <si>
    <t>Gross bookings added / RPO burned – not disclosed separately by IBM</t>
  </si>
  <si>
    <t>Closing RPO</t>
  </si>
  <si>
    <t>E: RPO not forecast (unavailable until 10-Q)</t>
  </si>
  <si>
    <t>Y/Y change in closing RPO ($m)</t>
  </si>
  <si>
    <t>C, D, F: year-ago RPO at 30-Sep-24, 31-Dec-24, 31-Mar-25 not retrieved: unavailable</t>
  </si>
  <si>
    <t>Net change in RPO ($m)</t>
  </si>
  <si>
    <t>Average RPO</t>
  </si>
  <si>
    <t>Share of RPO recognised within two years</t>
  </si>
  <si>
    <t>Change vs prior quarter (bp)</t>
  </si>
  <si>
    <t>Change Y/Y (bp)</t>
  </si>
  <si>
    <t>C, D, F: year-ago RPO two-year share at 30-Sep-24, 31-Dec-24, 31-Mar-25 not retrieved: unavailable</t>
  </si>
  <si>
    <t>RPO due within two years ($m)</t>
  </si>
  <si>
    <t>Closing RPO / period revenue (x)</t>
  </si>
  <si>
    <t>Basis differs: C, D, F, G = closing RPO / quarter revenue; E (FY25A) = closing RPO / full-year revenue (annual basis). E not comparable with quarters; ancillary display only</t>
  </si>
  <si>
    <t>Segment - Software</t>
  </si>
  <si>
    <t>Revenue build by product line (10-Q disaggregation)</t>
  </si>
  <si>
    <t>Hybrid Cloud (Red Hat)</t>
  </si>
  <si>
    <t>Constant-currency growth</t>
  </si>
  <si>
    <t>FX impact</t>
  </si>
  <si>
    <t>M&amp;A / scope contribution</t>
  </si>
  <si>
    <t>E: no acquired revenue attributed to Hybrid Cloud (assumption)</t>
  </si>
  <si>
    <t>E organic +9% cc: Red Hat +11% in 2Q26, OpenShift +29%; RHEL hardware-constrained; tough +12% cc comp</t>
  </si>
  <si>
    <t>Automation</t>
  </si>
  <si>
    <t>E organic +3% cc in line with 2Q26 (+3% cc); HashiCorp fully in base since 1Q26</t>
  </si>
  <si>
    <t>Data</t>
  </si>
  <si>
    <t>E +22pt: Confluent (closed 17-Mar-26) est. ~$320m/qtr vs $1,459m 3Q25 Data base; issuer does not disclose by line</t>
  </si>
  <si>
    <t>E organic flat: 2Q26 Data organic was roughly -3% (Software organic flat with Confluent ~+19pt in Data)</t>
  </si>
  <si>
    <t>Transaction Processing</t>
  </si>
  <si>
    <t>E -2% cc: mgmt H2 TP down low-to-mid single digits; ~1/3-40% of slipped ELA deals closed in July; easy -3% cc comp</t>
  </si>
  <si>
    <t>Rounding to reported segment total (A: derived; E: none)</t>
  </si>
  <si>
    <t>Total Software revenue</t>
  </si>
  <si>
    <t>Organic growth – disclosed by issuer</t>
  </si>
  <si>
    <t>Memo: segment revenue as reported (press release)</t>
  </si>
  <si>
    <t>Check: product lines sum to reported segment (±$1m rounding)</t>
  </si>
  <si>
    <t>Software ARR ladder (annual recurring revenue, $m; IBM charts)</t>
  </si>
  <si>
    <t>Opening ARR</t>
  </si>
  <si>
    <t>30-Jun-25 and 31-Dec-24 ARR not disclosed as $ in retrieved charts: unavailable</t>
  </si>
  <si>
    <t>Gross new ARR / churned ARR – not disclosed by IBM</t>
  </si>
  <si>
    <t>Net new ARR (closing – opening)</t>
  </si>
  <si>
    <t>Closing ARR</t>
  </si>
  <si>
    <t>1Q26 ARR includes annualised March 2026 Confluent revenue. E: ARR not forecast</t>
  </si>
  <si>
    <t>Average ARR</t>
  </si>
  <si>
    <t>ARR growth Y/Y at cc (disclosed)</t>
  </si>
  <si>
    <t>Q/Q change in ARR ($m)</t>
  </si>
  <si>
    <t>ARR / annualised Software revenue (x)</t>
  </si>
  <si>
    <t>Recurring share of Software revenue (approx.)</t>
  </si>
  <si>
    <t>Implied recurring Software revenue ($m)</t>
  </si>
  <si>
    <t>Implied transactional Software revenue ($m)</t>
  </si>
  <si>
    <t>OpenShift ARR ($m)</t>
  </si>
  <si>
    <t>Software profitability</t>
  </si>
  <si>
    <t>Gross profit margin (segment)</t>
  </si>
  <si>
    <t>E 82.6%: flat vs 2Q26 (Confluent dilution, TP mix)</t>
  </si>
  <si>
    <t>Segment gross profit (revenue x margin)</t>
  </si>
  <si>
    <t>Segment profit</t>
  </si>
  <si>
    <t>Segment profit margin</t>
  </si>
  <si>
    <t>E 33.5%: +60bp Y/Y (2Q26 +110bp from productivity)</t>
  </si>
  <si>
    <t>Segment - Consulting</t>
  </si>
  <si>
    <t>Revenue build by offering (10-Q disaggregation)</t>
  </si>
  <si>
    <t>Strategy and Technology</t>
  </si>
  <si>
    <t>E +2% cc: signings +6% in 2Q26 (2nd straight quarter of growth); mgmt expects H2 acceleration</t>
  </si>
  <si>
    <t>Intelligent Operations</t>
  </si>
  <si>
    <t>E +3% cc; Logiq Consulting (24-Sep-26) immaterial, treated as zero scope</t>
  </si>
  <si>
    <t>Total Consulting revenue</t>
  </si>
  <si>
    <t>Consulting signings and backlog ladder ($m; IBM charts)</t>
  </si>
  <si>
    <t>Opening backlog</t>
  </si>
  <si>
    <t>Backlog $ disclosed only at 31-Dec-25 ($32bn) in retrieved charts: other periods unavailable</t>
  </si>
  <si>
    <t>+ Signings</t>
  </si>
  <si>
    <t>Signings growth Y/Y at cc (disclosed)</t>
  </si>
  <si>
    <t>Q/Q change in signings ($m)</t>
  </si>
  <si>
    <t>– Revenue recognised (Consulting revenue)</t>
  </si>
  <si>
    <t>± FX, scope and other backlog adjustments – not disclosed</t>
  </si>
  <si>
    <t>Implied net backlog build before adjustments (signings – revenue)</t>
  </si>
  <si>
    <t>Closing backlog</t>
  </si>
  <si>
    <t>Average backlog</t>
  </si>
  <si>
    <t>Book-to-bill ratio (C, F, G: TTM; D, E: full year) (x)</t>
  </si>
  <si>
    <t>Period signings / revenue (x)</t>
  </si>
  <si>
    <t>Generative AI share of signings (approx.)</t>
  </si>
  <si>
    <t>Implied GenAI signings ($m)</t>
  </si>
  <si>
    <t>Consulting profitability</t>
  </si>
  <si>
    <t>E 29.8%: +50bp Y/Y (2Q26 +140bp; mgmt: accelerating margins in H2)</t>
  </si>
  <si>
    <t>E 13.5%: +60bp Y/Y</t>
  </si>
  <si>
    <t>Segment - Infrastructure</t>
  </si>
  <si>
    <t>Hybrid Infrastructure</t>
  </si>
  <si>
    <t>Hybrid Infrastructure split – implied from disclosed IBM Z / Distributed growth rates</t>
  </si>
  <si>
    <t>IBM Z revenue growth – disclosed % Y/Y</t>
  </si>
  <si>
    <t>IBM Z growth at constant currency (E = assumption)</t>
  </si>
  <si>
    <t>E -35% cc: 2nd quarter after z17 launch anniversary; 3Q25 Z +61%; 2Q26 -42%; mgmt "strong program-to-program performance in Z through H2"</t>
  </si>
  <si>
    <t>Distributed Infrastructure growth – disclosed % Y/Y</t>
  </si>
  <si>
    <t>Distributed Infrastructure growth at cc (E = assumption)</t>
  </si>
  <si>
    <t>E +35% cc: record ~$500m Power/Storage backlog exiting 2Q26; 2Q26 +37%</t>
  </si>
  <si>
    <t>Year-ago Hybrid Infrastructure revenue</t>
  </si>
  <si>
    <t>Implied IBM Z share of year-ago HI = (HI g - DI g)/(Z g - DI g)</t>
  </si>
  <si>
    <t>IBM Z revenue (implied, $m)</t>
  </si>
  <si>
    <t>Distributed Infrastructure revenue (implied, $m)</t>
  </si>
  <si>
    <t>IBM Z % of Hybrid Infrastructure (implied)</t>
  </si>
  <si>
    <t>Infrastructure Support</t>
  </si>
  <si>
    <t>E -1% cc, in line with 2Q26</t>
  </si>
  <si>
    <t>Total Infrastructure revenue</t>
  </si>
  <si>
    <t>Infrastructure KPIs (disclosed where available)</t>
  </si>
  <si>
    <t>Opening Power &amp; Storage backlog – not disclosed</t>
  </si>
  <si>
    <t>IBM disclosed only the ~$500m exit-2Q26 backlog; bookings/shipments not disclosed</t>
  </si>
  <si>
    <t>Closing Power &amp; Storage order backlog ($m, approx.)</t>
  </si>
  <si>
    <t>Backlog / implied Distributed Infrastructure revenue (x)</t>
  </si>
  <si>
    <t>z17 revenue vs prior program, same point in cycle (x)</t>
  </si>
  <si>
    <t>Infrastructure profitability</t>
  </si>
  <si>
    <t>E 55.0%: Z mix falls from ~45% to ~28% of HI (2Q26: -310bp Y/Y on similar mix shift)</t>
  </si>
  <si>
    <t>E 14.5%: Z mix headwind (2Q26 -150bp Y/Y)</t>
  </si>
  <si>
    <t>Segment - Financing</t>
  </si>
  <si>
    <t>Financing receivables ladder (Balance Sheet: ST held for investment + held for sale + LT)</t>
  </si>
  <si>
    <t>Opening financing receivables</t>
  </si>
  <si>
    <t>Originations / collections – not disclosed separately (net change only)</t>
  </si>
  <si>
    <t>Closing financing receivables</t>
  </si>
  <si>
    <t>Net change ($m)</t>
  </si>
  <si>
    <t>Average financing receivables</t>
  </si>
  <si>
    <t>Annualised revenue yield on average receivables</t>
  </si>
  <si>
    <t>E 5.5%: between 2Q26 (5.5%) and 1Q26 (6.0%)</t>
  </si>
  <si>
    <t>Financing revenue</t>
  </si>
  <si>
    <t>Financing funding and profitability</t>
  </si>
  <si>
    <t>IBM Financing debt ($m)</t>
  </si>
  <si>
    <t>Financing debt / closing receivables (x)</t>
  </si>
  <si>
    <t>Income Statement</t>
  </si>
  <si>
    <t>Income statement – as reported (GAAP, continuing operations)</t>
  </si>
  <si>
    <t>Software gross profit (segment)</t>
  </si>
  <si>
    <t>Consulting gross profit (segment)</t>
  </si>
  <si>
    <t>Infrastructure gross profit (segment)</t>
  </si>
  <si>
    <t>Financing gross profit (segment)</t>
  </si>
  <si>
    <t>Other revenue &amp; unallocated cost (incl. acquired-intangible amortisation)</t>
  </si>
  <si>
    <t>A: derived residual (segment margins are rounded to 0.1%). E: = residual H73 (-$70m) less acquired-intangible amortisation in cost of sales H76 ($290m) = -$360m (1Q26/2Q26 -$327m/-$362m)</t>
  </si>
  <si>
    <t>Gross profit</t>
  </si>
  <si>
    <t>Gross margin</t>
  </si>
  <si>
    <t>Selling, general &amp; administrative</t>
  </si>
  <si>
    <t>Research, development &amp; engineering</t>
  </si>
  <si>
    <t>E $2,280m: ~flat vs 2Q26 ($2,311m); +10% Y/Y with Confluent, HRL and quantum investment</t>
  </si>
  <si>
    <t>Intellectual property &amp; custom development income</t>
  </si>
  <si>
    <t>E -$175m: 1Q26/2Q26 run-rate</t>
  </si>
  <si>
    <t>Other (income) &amp; expense</t>
  </si>
  <si>
    <t>Y/Y change ($m)</t>
  </si>
  <si>
    <t>Interest expense</t>
  </si>
  <si>
    <t>E $475m: 2Q26 $486m less $4.2bn debt repaid in 2Q26</t>
  </si>
  <si>
    <t>Total expense &amp; other (income)</t>
  </si>
  <si>
    <t>Expense-to-revenue ratio</t>
  </si>
  <si>
    <t>Income from continuing operations before income taxes</t>
  </si>
  <si>
    <t>Pre-tax margin</t>
  </si>
  <si>
    <t>Provision for / (benefit from) income taxes</t>
  </si>
  <si>
    <t>Effective tax rate</t>
  </si>
  <si>
    <t>Income from continuing operations</t>
  </si>
  <si>
    <t>Income / (loss) from discontinued operations, net of tax</t>
  </si>
  <si>
    <t>E: zero assumed (explicit assumption; 3Q25 was $0m, 1Q26 $0m)</t>
  </si>
  <si>
    <t>Net income (GAAP)</t>
  </si>
  <si>
    <t>Net income margin</t>
  </si>
  <si>
    <t>Shares and GAAP EPS</t>
  </si>
  <si>
    <t>Weighted-average diluted shares (m)</t>
  </si>
  <si>
    <t>Weighted-average basic shares (m)</t>
  </si>
  <si>
    <t>Diluted EPS – continuing operations (calc.)</t>
  </si>
  <si>
    <t>GAAP diluted EPS – total (calc. = net income / diluted shares)</t>
  </si>
  <si>
    <t>Q/Q change ($/share)</t>
  </si>
  <si>
    <t>Memo: GAAP diluted EPS as reported (CapIQ; FY25 per release)</t>
  </si>
  <si>
    <t>GAAP basic EPS – total (calc.)</t>
  </si>
  <si>
    <t>Check: EPS = net income / diluted shares (A: vs reported ±$0.005)</t>
  </si>
  <si>
    <t>H (3Q26E): construction identity (true by definition), not an independent validation</t>
  </si>
  <si>
    <t>Other revenue &amp; unallocated cost excl. acquired-intangible amortisation (E: residual input)</t>
  </si>
  <si>
    <t>E -$70m: original assumption preserved (= former -$360m H17 input less $290m amortisation in H76); history excl. amortisation 3Q25 -$87m, 1Q26 -$90m, 2Q26 -$75m</t>
  </si>
  <si>
    <t>GAAP to operating (non-GAAP) bridge – one row per adjustment</t>
  </si>
  <si>
    <t>Pre-tax income from continuing operations (GAAP)</t>
  </si>
  <si>
    <t>+ Acquisition-related: cost of sales (amortisation of acquired intangibles)</t>
  </si>
  <si>
    <t>E $290m: 2Q26 $287m (first full Confluent quarter) plus HRL</t>
  </si>
  <si>
    <t>+ Acquisition-related: SG&amp;A</t>
  </si>
  <si>
    <t>+ Acquisition-related: R&amp;D, other (income) &amp; expense, other</t>
  </si>
  <si>
    <t>Acquisition-related: total expense &amp; other (income)</t>
  </si>
  <si>
    <t>Acquisition-related adjustments, pre-tax</t>
  </si>
  <si>
    <t>+ Non-operating retirement-related costs</t>
  </si>
  <si>
    <t>E $96m: flat with 1Q26 and 2Q26</t>
  </si>
  <si>
    <t>Operating (non-GAAP) pre-tax income</t>
  </si>
  <si>
    <t>Metric-target proxy: IBM does not report GAAP operating income; operating_income / operating_margin tracked as operating (non-GAAP) pre-tax income H82 / margin H85 (different basis; not scored). CapIQ 'ebit' 3,558.79 (Inputs!C52) retained raw, unused</t>
  </si>
  <si>
    <t>Proxy for operating_margin target on operating (non-GAAP) pre-tax basis – see I82</t>
  </si>
  <si>
    <t>Memo: operating pre-tax income as reported</t>
  </si>
  <si>
    <t>Check: bridge reproduces reported operating pre-tax income (±$2m)</t>
  </si>
  <si>
    <t>Operating P&amp;L lines</t>
  </si>
  <si>
    <t>Operating gross profit</t>
  </si>
  <si>
    <t>Operating gross margin</t>
  </si>
  <si>
    <t>Operating SG&amp;A</t>
  </si>
  <si>
    <t>E $4,320m: -1.7% Y/Y (2Q26 operating SG&amp;A -2.5% Y/Y; productivity "ahead of plan")</t>
  </si>
  <si>
    <t>Operating other (income) &amp; expense (incl. minor acquisition items in other lines)</t>
  </si>
  <si>
    <t>E -$205m: below 2Q26 (-$280m incl. ~$67m divestiture gains); smaller hedge gains as USD headwind eased</t>
  </si>
  <si>
    <t>Operating expense &amp; other (income)</t>
  </si>
  <si>
    <t>Operating expense-to-revenue ratio</t>
  </si>
  <si>
    <t>Tax bridge</t>
  </si>
  <si>
    <t>Provision for income taxes (GAAP)</t>
  </si>
  <si>
    <t>+ Tax on acquisition-related adjustments</t>
  </si>
  <si>
    <t>Tax rate on acquisition-related adjustments</t>
  </si>
  <si>
    <t>E 23%: 2Q26 23.3%, 1Q26 21.2%</t>
  </si>
  <si>
    <t>+ Tax on retirement-related adjustments</t>
  </si>
  <si>
    <t>+ Tax reform impacts (H.R. 1 / discrete)</t>
  </si>
  <si>
    <t>E -$3m: 1Q26 -$4m, 2Q26 -$2m</t>
  </si>
  <si>
    <t>Operating (non-GAAP) provision for income taxes</t>
  </si>
  <si>
    <t>E 15.0%: guidance "mid-teens" for 3Q26 (22-Jul-26); 2Q26 15.1%</t>
  </si>
  <si>
    <t>Operating (non-GAAP) income from continuing operations</t>
  </si>
  <si>
    <t>Operating net income margin</t>
  </si>
  <si>
    <t>EPS on the consensus basis (CapIQ normalized = IBM operating diluted EPS)</t>
  </si>
  <si>
    <t>GAAP diluted EPS – continuing operations</t>
  </si>
  <si>
    <t>+ Acquisition-related, after tax, per share</t>
  </si>
  <si>
    <t>+ Retirement-related, after tax, per share</t>
  </si>
  <si>
    <t>+ Tax reform impacts, per share</t>
  </si>
  <si>
    <t>Operating (non-GAAP) diluted EPS – consensus basis</t>
  </si>
  <si>
    <t>Check: per-share bridge sums to operating EPS</t>
  </si>
  <si>
    <t>Memo: normalized diluted EPS as reported (CapIQ; FY25 per release)</t>
  </si>
  <si>
    <t>Check: operating EPS reproduces reported (±$0.005)</t>
  </si>
  <si>
    <t>Consensus normalized EPS (CapIQ, frozen 18-Oct-26)</t>
  </si>
  <si>
    <t>Estimate vs consensus ($/share)</t>
  </si>
  <si>
    <t>Estimate vs consensus (%)</t>
  </si>
  <si>
    <t>Balance Sheet</t>
  </si>
  <si>
    <t>$ millions, except per share (period-end balances)</t>
  </si>
  <si>
    <t>Assets</t>
  </si>
  <si>
    <t>Cash and cash equivalents</t>
  </si>
  <si>
    <t>Change vs prior period end ($m)</t>
  </si>
  <si>
    <t>Restricted cash</t>
  </si>
  <si>
    <t>Marketable securities</t>
  </si>
  <si>
    <t>Notes and accounts receivable – trade, net</t>
  </si>
  <si>
    <t>E simplification: entire CF 'operating assets &amp; liabilities / other' (CF H22) mapped to trade receivables; no allocation to other working-capital lines</t>
  </si>
  <si>
    <t>Short-term financing receivables – held for investment, net</t>
  </si>
  <si>
    <t>Short-term financing receivables – held for sale</t>
  </si>
  <si>
    <t>Other accounts receivable, net</t>
  </si>
  <si>
    <t>Inventories</t>
  </si>
  <si>
    <t>Deferred costs (current)</t>
  </si>
  <si>
    <t>Prepaid expenses and other current assets</t>
  </si>
  <si>
    <t>Total current assets</t>
  </si>
  <si>
    <t>Property, plant and equipment, net</t>
  </si>
  <si>
    <t>E simplification: total net capex (CF H30, incl. capitalised software) added to PP&amp;E; total depreciation (CF H14, incl. ROU amortisation) deducted from PP&amp;E</t>
  </si>
  <si>
    <t>Operating right-of-use assets, net</t>
  </si>
  <si>
    <t>E simplification: ROU assets held flat (ROU amortisation mapped to PP&amp;E via CF H14)</t>
  </si>
  <si>
    <t>Long-term financing receivables, net</t>
  </si>
  <si>
    <t>Prepaid pension assets</t>
  </si>
  <si>
    <t>Deferred costs (non-current)</t>
  </si>
  <si>
    <t>Deferred taxes</t>
  </si>
  <si>
    <t>Goodwill</t>
  </si>
  <si>
    <t>E simplification: acquisitions and divestitures (CF H33, H36) mapped entirely to goodwill; no acquired-intangible allocation</t>
  </si>
  <si>
    <t>Intangibles, net</t>
  </si>
  <si>
    <t>E simplification: intangibles reduced by CF amortisation H15 (software + acquired); no capitalised-software or acquisition additions</t>
  </si>
  <si>
    <t>Investments and sundry assets</t>
  </si>
  <si>
    <t>Total assets</t>
  </si>
  <si>
    <t>Liabilities</t>
  </si>
  <si>
    <t>Taxes</t>
  </si>
  <si>
    <t>Short-term debt</t>
  </si>
  <si>
    <t>Accounts payable</t>
  </si>
  <si>
    <t>Compensation and benefits</t>
  </si>
  <si>
    <t>Deferred income (current)</t>
  </si>
  <si>
    <t>Operating lease liabilities (current)</t>
  </si>
  <si>
    <t>Other liabilities (current)</t>
  </si>
  <si>
    <t>Total current liabilities</t>
  </si>
  <si>
    <t>Long-term debt</t>
  </si>
  <si>
    <t>Retirement-related obligations</t>
  </si>
  <si>
    <t>Deferred income (non-current)</t>
  </si>
  <si>
    <t>Operating lease liabilities (non-current)</t>
  </si>
  <si>
    <t>Other liabilities (non-current)</t>
  </si>
  <si>
    <t>Total liabilities</t>
  </si>
  <si>
    <t>Equity</t>
  </si>
  <si>
    <t>Common stock (incl. additional paid-in capital)</t>
  </si>
  <si>
    <t>Retained earnings</t>
  </si>
  <si>
    <t>Treasury stock – at cost</t>
  </si>
  <si>
    <t>Accumulated other comprehensive income / (loss)</t>
  </si>
  <si>
    <t>E simplification: AOCI change = CF effect of exchange-rate changes on cash (H57) only</t>
  </si>
  <si>
    <t>Total IBM stockholders’ equity</t>
  </si>
  <si>
    <t>Noncontrolling interests</t>
  </si>
  <si>
    <t>Total equity</t>
  </si>
  <si>
    <t>Total liabilities and equity</t>
  </si>
  <si>
    <t>Assets – liabilities – equity</t>
  </si>
  <si>
    <t>Check: balance sheet balances (A: |A–L–E| ≤ $3m rounding; E: no new imbalance vs 2Q26)</t>
  </si>
  <si>
    <t>E: tests only no new imbalance vs 2Q26 (balanced by construction given simplifications above); not an independent validation</t>
  </si>
  <si>
    <t>Memo: total assets as reported</t>
  </si>
  <si>
    <t>Check: computed total assets vs reported (±$3m rounding)</t>
  </si>
  <si>
    <t>Memo: total liabilities as reported</t>
  </si>
  <si>
    <t>Check: computed total liabilities vs reported (±$3m rounding)</t>
  </si>
  <si>
    <t>Memo: total equity as reported</t>
  </si>
  <si>
    <t>Check: computed total equity vs reported (±$3m rounding)</t>
  </si>
  <si>
    <t>Cash + restricted cash (ties to Cash Flow Statement)</t>
  </si>
  <si>
    <t>Total financing receivables (ST held for investment + held for sale + LT)</t>
  </si>
  <si>
    <t>Total debt (short-term + long-term)</t>
  </si>
  <si>
    <t>Net debt (total debt – cash, restricted cash &amp; marketable securities)</t>
  </si>
  <si>
    <t>Cash Flow Statement</t>
  </si>
  <si>
    <t>Operating activities (condensed issuer format)</t>
  </si>
  <si>
    <t>Depreciation &amp; amortisation</t>
  </si>
  <si>
    <t>of which: depreciation (incl. ROU asset amortisation)</t>
  </si>
  <si>
    <t>C-E: condensed statement shows combined D&amp;A only. E $540m: 1Q26/2Q26 average</t>
  </si>
  <si>
    <t>of which: amortisation of capitalised software &amp; acquired intangibles</t>
  </si>
  <si>
    <t>E $830m: 2Q26 $817m (first full Confluent quarter) + HRL</t>
  </si>
  <si>
    <t>Stock-based compensation</t>
  </si>
  <si>
    <t>IBM Financing receivables (decrease / (increase))</t>
  </si>
  <si>
    <t>E +$300m: 3Q25 +$298m seasonal run-off</t>
  </si>
  <si>
    <t>Operating assets &amp; liabilities / other, net</t>
  </si>
  <si>
    <t>A: derived as reported CFO less items above. E -$600m: 3Q25 -$688m; inventory build reverses in H2 per CFO</t>
  </si>
  <si>
    <t>Net cash provided by operating activities</t>
  </si>
  <si>
    <t>Investing activities</t>
  </si>
  <si>
    <t>Capital expenditures, net (PP&amp;E and software, net of proceeds)</t>
  </si>
  <si>
    <t>E -$430m: 3Q25 -$410m; mgmt: capex headwind front-loaded</t>
  </si>
  <si>
    <t>Acquisitions, net of cash acquired</t>
  </si>
  <si>
    <t>E -$250m: HRL Laboratories (closed 26-Aug-26) and Logiq; terms undisclosed - explicit placeholder assumption</t>
  </si>
  <si>
    <t>Divestitures, net of cash transferred</t>
  </si>
  <si>
    <t>Marketable securities / other investments, net</t>
  </si>
  <si>
    <t>A: derived residual of reported CFI. E: zero (no net change assumed)</t>
  </si>
  <si>
    <t>Net cash provided by / (used in) investing activities</t>
  </si>
  <si>
    <t>Financing activities</t>
  </si>
  <si>
    <t>Proceeds from new debt</t>
  </si>
  <si>
    <t>Payments to settle debt</t>
  </si>
  <si>
    <t>Short-term borrowings / (repayments) &lt; 90 days, net</t>
  </si>
  <si>
    <t>Debt, net of payments &amp; proceeds</t>
  </si>
  <si>
    <t>E: zero net debt change assumed (no issuance disclosed in 3Q26)</t>
  </si>
  <si>
    <t>Cash dividends paid</t>
  </si>
  <si>
    <t>Financing – other (share withholding, issuance, other)</t>
  </si>
  <si>
    <t>A: derived residual of reported CFF. E -$50m</t>
  </si>
  <si>
    <t>Net cash provided by / (used in) financing activities</t>
  </si>
  <si>
    <t>Effect of exchange rate changes on cash</t>
  </si>
  <si>
    <t>E -$50m: USD strengthened in September</t>
  </si>
  <si>
    <t>Net change in cash, cash equivalents &amp; restricted cash</t>
  </si>
  <si>
    <t>Cash &amp; restricted cash – beginning of period</t>
  </si>
  <si>
    <t>Cash &amp; restricted cash – end of period (opening + net change)</t>
  </si>
  <si>
    <t>Cash &amp; restricted cash per Balance Sheet</t>
  </si>
  <si>
    <t>Check: change in cash ties to Balance Sheet (±$2m rounding)</t>
  </si>
  <si>
    <t>H (3Q26E): linkage identity (BS cash is built from the same roll-forward), not an independent validation</t>
  </si>
  <si>
    <t>Free cash flow (issuer definition: CFO excl. IBM Financing receivables, less net capex)</t>
  </si>
  <si>
    <t>Net cash from operating activities (GAAP)</t>
  </si>
  <si>
    <t>Less: change in IBM Financing receivables</t>
  </si>
  <si>
    <t>Net cash from operations excl. IBM Financing receivables</t>
  </si>
  <si>
    <t>Capital expenditures, net</t>
  </si>
  <si>
    <t>Free cash flow</t>
  </si>
  <si>
    <t>Free cash flow margin</t>
  </si>
  <si>
    <t>Memo: free cash flow as reported</t>
  </si>
  <si>
    <t>Check: free cash flow reproduces reported (±$2m)</t>
  </si>
  <si>
    <t>Adjusted EBITDA (issuer definition; reconciliation components reported in $bn to one decimal)</t>
  </si>
  <si>
    <t>+ Net interest expense</t>
  </si>
  <si>
    <t>+ Depreciation / amortisation of non-acquired intangible assets</t>
  </si>
  <si>
    <t>+ Stock-based compensation</t>
  </si>
  <si>
    <t>+ Workforce rebalancing charges</t>
  </si>
  <si>
    <t>E: none assumed (not guided); a charge would reduce operating EPS – key downside risk</t>
  </si>
  <si>
    <t>+ Corporate (gains) and charges</t>
  </si>
  <si>
    <t>Sum of components (A: rounded inputs)</t>
  </si>
  <si>
    <t>Adjusted EBITDA (A: as reported; E: built from components)</t>
  </si>
  <si>
    <t>E: model component-sum basis (H88), uncalibrated. A: issuer reports adjusted EBITDA rounded to $0.1bn; reported less component sum = +123/+25/-129/+64/+10 ($m, C:G) – rounding/basis uncertainty; no gap correction applied</t>
  </si>
  <si>
    <t>Adjusted EBITDA margin</t>
  </si>
  <si>
    <t>Revenue by geography</t>
  </si>
  <si>
    <t>Revenue by geography (10-Q / 10-K disaggregation)</t>
  </si>
  <si>
    <t>Americas</t>
  </si>
  <si>
    <t>E +3.5% cc (2Q26 -1% on Z-heavy mix; Z decline continues, Software/DI recover)</t>
  </si>
  <si>
    <t>Europe/Middle East/Africa</t>
  </si>
  <si>
    <t>E +4% cc (2Q26 +2% cc)</t>
  </si>
  <si>
    <t>Asia Pacific</t>
  </si>
  <si>
    <t>E: residual = total revenue (Revenue summary) less Americas and EMEA; Asia Pacific is not independently forecast</t>
  </si>
  <si>
    <t>H: implied by Asia Pacific residual (H24) and FX assumption H28 – output, not an independent cc forecast</t>
  </si>
  <si>
    <t>E -3.5pt: yen -7.3% Y/Y in 3Q26 (FRED G.5)</t>
  </si>
  <si>
    <t>H: implied by Asia Pacific residual (H24) – output, not an independent forecast</t>
  </si>
  <si>
    <t>Total revenue by geography</t>
  </si>
  <si>
    <t>Americas % of total revenue</t>
  </si>
  <si>
    <t>EMEA % of total revenue</t>
  </si>
  <si>
    <t>Asia Pacific % of total revenue</t>
  </si>
  <si>
    <t>Check: Geo sums to total revenue on Revenue summary (±$1m)</t>
  </si>
  <si>
    <t>H (3Q26E): construction identity (Asia Pacific is the residual), not an independent validation</t>
  </si>
  <si>
    <t>Share Count</t>
  </si>
  <si>
    <t>$ millions, except per share; shares in millions</t>
  </si>
  <si>
    <t>Weighted-average shares</t>
  </si>
  <si>
    <t>Weighted-average diluted shares</t>
  </si>
  <si>
    <t>E 954.0m: 2Q26 953.3m + ~0.7m net issuance from stock plans; no open-market buyback; lower share price limits option dilution</t>
  </si>
  <si>
    <t>C: not like-for-like – 3Q24 denominator Inputs!C173 923.6m is the GAAP diluted count (= basic; dilution antidilutive at the 3Q24 GAAP loss), not the operating-EPS diluted basis; exact 3Q24 operating diluted count not retrieved</t>
  </si>
  <si>
    <t>Q/Q change (m shares)</t>
  </si>
  <si>
    <t>Weighted-average basic shares</t>
  </si>
  <si>
    <t>E 942.6m: 30-Jun-26 outstanding 942.1m plus ~0.5m stock-plan issuance</t>
  </si>
  <si>
    <t>Dilutive securities (diluted – basic)</t>
  </si>
  <si>
    <t>Dilution as % of basic</t>
  </si>
  <si>
    <t>Period-end shares, buybacks and issuance</t>
  </si>
  <si>
    <t>Common shares outstanding at period end</t>
  </si>
  <si>
    <t>31-Dec-25 and 31-Mar-26 cover counts not retrieved: unavailable</t>
  </si>
  <si>
    <t>Common stock repurchases for tax withholdings ($m)</t>
  </si>
  <si>
    <t>C-E: condensed cash flow format does not split this line; no open-market buyback programme active</t>
  </si>
  <si>
    <t>Proceeds from issuance of shares ($m)</t>
  </si>
  <si>
    <t>Net share-related cash flow ($m)</t>
  </si>
  <si>
    <t>Dividends per share paid in period ($)</t>
  </si>
  <si>
    <t>E $1.69: declared 22-Jul-26, paid 10-Sep-26</t>
  </si>
  <si>
    <t>Cash dividends paid ($m)</t>
  </si>
  <si>
    <t>Share count behind the forecast EPS</t>
  </si>
  <si>
    <t>Diluted shares used for 3Q26E EPS</t>
  </si>
  <si>
    <t>Operating net income (consensus basis)</t>
  </si>
  <si>
    <t>Operating diluted EPS</t>
  </si>
  <si>
    <t>EPS sensitivity to +1m diluted shares ($/share)</t>
  </si>
  <si>
    <t>Guidance</t>
  </si>
  <si>
    <t>$ millions, except per share; growth and margins as stated</t>
  </si>
  <si>
    <t>Forecast period: 3Q26E – quarter ended 30-Sep-2026; guidance-log columns are labelled in row 10</t>
  </si>
  <si>
    <t>Guidance log (one row per guidance item; B = metric, C = date given, D = period, E low, F high, G midpoint, H actual, I beat/miss / status)</t>
  </si>
  <si>
    <t>Date given</t>
  </si>
  <si>
    <t>Low</t>
  </si>
  <si>
    <t>High</t>
  </si>
  <si>
    <t>Midpoint</t>
  </si>
  <si>
    <t>Actual</t>
  </si>
  <si>
    <t>Beat / miss / status</t>
  </si>
  <si>
    <t>Revenue growth at constant currency</t>
  </si>
  <si>
    <t>FY26</t>
  </si>
  <si>
    <t>Superseded 22-Jul-26 ("more than 5%")</t>
  </si>
  <si>
    <t>Currency impact on revenue growth (pts)</t>
  </si>
  <si>
    <t>Superseded</t>
  </si>
  <si>
    <t>Free cash flow increase Y/Y ($m, "about $1 billion")</t>
  </si>
  <si>
    <t>Pending (FY26 not reported)</t>
  </si>
  <si>
    <t>Revenue growth at constant currency (reiterated)</t>
  </si>
  <si>
    <t>Superseded 22-Jul-26</t>
  </si>
  <si>
    <t>Free cash flow increase Y/Y ($m)</t>
  </si>
  <si>
    <t>Pending</t>
  </si>
  <si>
    <t>Revenue growth at constant currency (cut)</t>
  </si>
  <si>
    <t>Pending; low end = base case</t>
  </si>
  <si>
    <t>Currency impact on revenue growth (pts, "neutral")</t>
  </si>
  <si>
    <t>Operating pre-tax margin expansion (bp)</t>
  </si>
  <si>
    <t>Operating tax rate ("mid-teens"; range is Shortcut reading)</t>
  </si>
  <si>
    <t>Software revenue growth (cc)</t>
  </si>
  <si>
    <t>Infrastructure revenue growth ("low single digits"; Shortcut reading)</t>
  </si>
  <si>
    <t>Consulting revenue growth ("low-to-mid single digits"; Shortcut reading)</t>
  </si>
  <si>
    <t>Revenue growth at cc, "consistent with the full year"</t>
  </si>
  <si>
    <t>3Q26</t>
  </si>
  <si>
    <t>Pending (report 21-Oct-26)</t>
  </si>
  <si>
    <t>Currency impact on revenue growth (pts, "one-and-a-half-point headwind")</t>
  </si>
  <si>
    <t>Operating pre-tax margin Y/Y change (bp): "similar performance to the second quarter"</t>
  </si>
  <si>
    <t>Pending; read as 2Q26 Y/Y expansion</t>
  </si>
  <si>
    <t>Operating tax rate ("mid-teens")</t>
  </si>
  <si>
    <t>Revenue growth at constant currency ("more than 5 percent")</t>
  </si>
  <si>
    <t>FY25</t>
  </si>
  <si>
    <t>Beat (above low end)</t>
  </si>
  <si>
    <t>Free cash flow ($m, "about $14 billion")</t>
  </si>
  <si>
    <t>Beat</t>
  </si>
  <si>
    <t>Currency impact on revenue growth (pts, "about one-and-a-half-point tailwind")</t>
  </si>
  <si>
    <t>At / above guide</t>
  </si>
  <si>
    <t>Preliminary revenue ($m, "$17.2 billion")</t>
  </si>
  <si>
    <t>2Q26</t>
  </si>
  <si>
    <t>In line with pre-announcement</t>
  </si>
  <si>
    <t>Preliminary operating EPS ("$2.93")</t>
  </si>
  <si>
    <t>Guidance-implied 3Q26 midpoint (derived from rows above; IBM does not guide EPS)</t>
  </si>
  <si>
    <t>3Q25A revenue</t>
  </si>
  <si>
    <t>Constant-currency growth – midpoint (row 25)</t>
  </si>
  <si>
    <t>Currency impact – guided (row 26)</t>
  </si>
  <si>
    <t>Guidance-implied revenue</t>
  </si>
  <si>
    <t>3Q25A operating pre-tax margin</t>
  </si>
  <si>
    <t>Guided Y/Y change (bp, row 27)</t>
  </si>
  <si>
    <t>Guidance-implied operating pre-tax margin</t>
  </si>
  <si>
    <t>Guidance-implied operating pre-tax income</t>
  </si>
  <si>
    <t>Operating tax rate – midpoint (row 28)</t>
  </si>
  <si>
    <t>Guidance-implied operating net income</t>
  </si>
  <si>
    <t>Diluted shares (Share Count)</t>
  </si>
  <si>
    <t>Guidance-implied operating diluted EPS</t>
  </si>
  <si>
    <t>Shortcut estimate vs guidance-implied EPS</t>
  </si>
  <si>
    <t>Track record: FY25 revenue and FCF guidance exceeded; 2Q26 negative pre-announcement (14-Jul-26) then in line</t>
  </si>
  <si>
    <t>Sources</t>
  </si>
  <si>
    <t>Forecast period: 3Q26E – quarter ended 30-Sep-2026; register columns are labelled in row 9</t>
  </si>
  <si>
    <t>ID</t>
  </si>
  <si>
    <t>Publication date</t>
  </si>
  <si>
    <t>Publisher</t>
  </si>
  <si>
    <t>Title / description</t>
  </si>
  <si>
    <t>URL or file</t>
  </si>
  <si>
    <t>Feeds</t>
  </si>
  <si>
    <t>S1</t>
  </si>
  <si>
    <t>S&amp;P Capital IQ (supplied)</t>
  </si>
  <si>
    <t>IBM six-quarter EPS / revenue history</t>
  </si>
  <si>
    <t>IBM_history.csv</t>
  </si>
  <si>
    <t>Inputs s.2; calibration; reported revenue/EPS memo rows</t>
  </si>
  <si>
    <t>S2</t>
  </si>
  <si>
    <t>IBM FQ3 2026 consensus summary row</t>
  </si>
  <si>
    <t>IBM_consensus.json</t>
  </si>
  <si>
    <t>Inputs s.1; Cover consensus</t>
  </si>
  <si>
    <t>S3</t>
  </si>
  <si>
    <t>IBM (SEC 8-K Ex.99.1)</t>
  </si>
  <si>
    <t>3Q25 earnings release</t>
  </si>
  <si>
    <t>https://www.sec.gov/Archives/edgar/data/51143/000005114325000061/ibm-20251022xex991.htm</t>
  </si>
  <si>
    <t>3Q25A statements; FY25 guidance</t>
  </si>
  <si>
    <t>S4</t>
  </si>
  <si>
    <t>4Q25 / FY25 earnings release</t>
  </si>
  <si>
    <t>https://www.sec.gov/Archives/edgar/data/51143/000005114326000004/ibm-20260128xex991.htm</t>
  </si>
  <si>
    <t>4Q25A, FY25A statements; FY26 guidance</t>
  </si>
  <si>
    <t>S5</t>
  </si>
  <si>
    <t>1Q26 earnings release</t>
  </si>
  <si>
    <t>https://www.sec.gov/Archives/edgar/data/51143/000005114326000036/ibm-20260422xex991.htm</t>
  </si>
  <si>
    <t>1Q26A statements; 1Q25 comparatives</t>
  </si>
  <si>
    <t>S6</t>
  </si>
  <si>
    <t>2Q26 earnings release</t>
  </si>
  <si>
    <t>https://www.sec.gov/Archives/edgar/data/51143/000005114326000077/ibm-20260722xex991.htm</t>
  </si>
  <si>
    <t>2Q26A statements; 2Q25 comparatives; FY26 guidance</t>
  </si>
  <si>
    <t>S7</t>
  </si>
  <si>
    <t>IBM (SEC 10-Q)</t>
  </si>
  <si>
    <t>3Q25 10-Q revenue disaggregation (R12)</t>
  </si>
  <si>
    <t>https://www.sec.gov/Archives/edgar/data/51143/000005114325000064/R12.htm</t>
  </si>
  <si>
    <t>Product-line / geography 3Q25, 9M25, 9M24; RPO</t>
  </si>
  <si>
    <t>S8</t>
  </si>
  <si>
    <t>IBM (SEC 10-K)</t>
  </si>
  <si>
    <t>FY25 10-K revenue disaggregation (R13) and MD&amp;A</t>
  </si>
  <si>
    <t>https://www.sec.gov/Archives/edgar/data/51143/000005114326000010/R13.htm</t>
  </si>
  <si>
    <t>FY25/FY24 product lines, geography, RPO; geo cc growth</t>
  </si>
  <si>
    <t>S9</t>
  </si>
  <si>
    <t>1Q26 10-Q revenue disaggregation (R12)</t>
  </si>
  <si>
    <t>https://www.sec.gov/Archives/edgar/data/51143/000005114326000038/R12.htm</t>
  </si>
  <si>
    <t>1Q26 product lines, geography, RPO</t>
  </si>
  <si>
    <t>S10</t>
  </si>
  <si>
    <t>2Q26 10-Q revenue disaggregation (R12)</t>
  </si>
  <si>
    <t>https://www.sec.gov/Archives/edgar/data/51143/000005114326000078/R12.htm</t>
  </si>
  <si>
    <t>2Q26 product lines, geography, RPO</t>
  </si>
  <si>
    <t>S11</t>
  </si>
  <si>
    <t>2Q26 earnings prepared remarks</t>
  </si>
  <si>
    <t>https://www-api.ibm.com/adobe/assets/urn:aaid:aem:023c55fc-8c53-428f-a5cf-42cb35bb78db/original/as/ibm-2q-26-earnings-prepared-remarks.pdf</t>
  </si>
  <si>
    <t>3Q26 guidance (cc growth, FX, margin, tax); segment outlook</t>
  </si>
  <si>
    <t>S12</t>
  </si>
  <si>
    <t>2Q26 earnings call transcript</t>
  </si>
  <si>
    <t>https://www-api.ibm.com/adobe/assets/urn%3Aaaid%3Aaem%3A8764b655-abd0-4d0b-ab25-4b1e95b84d12/original/as/IBM-2Q26-Earnings-Transcript.pdf</t>
  </si>
  <si>
    <t>Slipped-deal closure (~1/3-40% in July); TP outlook</t>
  </si>
  <si>
    <t>S13</t>
  </si>
  <si>
    <t>2Q26 earnings presentation charts</t>
  </si>
  <si>
    <t>https://www-api.ibm.com/adobe/assets/urn:aaid:aem:3eb11bda-a8d6-4360-8ac1-f4570896ba14/original/as/ibm-2q-26-earnings-charts.pdf</t>
  </si>
  <si>
    <t>ARR, signings, book-to-bill, FX assumptions, geo cc</t>
  </si>
  <si>
    <t>S14</t>
  </si>
  <si>
    <t>Arvind Krishna's letter to investors (2Q26 pre-announcement)</t>
  </si>
  <si>
    <t>https://newsroom.ibm.com/2026-07-14-Arvind-Krishnas-Letter-to-IBM-Investors</t>
  </si>
  <si>
    <t>Guidance log (preliminary 2Q26)</t>
  </si>
  <si>
    <t>S15</t>
  </si>
  <si>
    <t>IBM newsroom</t>
  </si>
  <si>
    <t>IBM to announce third-quarter 2026 results (21-Oct-26, 5pm ET)</t>
  </si>
  <si>
    <t>https://newsroom.ibm.com/2026-10-07-ibm-to-announce-third-quarter-2026-financial-results</t>
  </si>
  <si>
    <t>Cover expected report date; calendar check</t>
  </si>
  <si>
    <t>S16</t>
  </si>
  <si>
    <t>earningsapi.io (transcript)</t>
  </si>
  <si>
    <t>IBM at Goldman Sachs Communacopia + Technology conference</t>
  </si>
  <si>
    <t>https://earningsapi.io/transcripts/international-business-machines-corporation_ibm_earnings_call_transcript_2026-09-09</t>
  </si>
  <si>
    <t>Guidance reaffirmed; software H2 recurring ~10%</t>
  </si>
  <si>
    <t>S17</t>
  </si>
  <si>
    <t>IBM completes acquisition of HRL Laboratories</t>
  </si>
  <si>
    <t>https://newsroom.ibm.com/2026-08-26-ibm-completes-acquisition-of-hrl-laboratories-to-accelerate-the-future-of-quantum</t>
  </si>
  <si>
    <t>Acquisition cash-flow assumption</t>
  </si>
  <si>
    <t>S18</t>
  </si>
  <si>
    <t>IBM acquires Logiq Consulting</t>
  </si>
  <si>
    <t>https://newsroom.ibm.com/press-releases-corporate?l=5</t>
  </si>
  <si>
    <t>Consulting scope (immaterial)</t>
  </si>
  <si>
    <t>S19</t>
  </si>
  <si>
    <t>Federal Reserve G.5 / FRED; Banque de France</t>
  </si>
  <si>
    <t>Monthly average EUR/USD and USD/JPY</t>
  </si>
  <si>
    <t>https://fred.stlouisfed.org/release/tables?eid=26693&amp;rid=15</t>
  </si>
  <si>
    <t>FX assumption (-1.1pt)</t>
  </si>
  <si>
    <t>S20</t>
  </si>
  <si>
    <t>Proactive Investors</t>
  </si>
  <si>
    <t>IBM poised for modest third-quarter beat, says Bank of America</t>
  </si>
  <si>
    <t>https://www.proactiveinvestors.com/companies/news/1100191/ibm-poised-for-modest-third-quarter-beat-says-bank-of-america-1100191.html</t>
  </si>
  <si>
    <t>Newer estimates (Inputs s.6)</t>
  </si>
  <si>
    <t>S21</t>
  </si>
  <si>
    <t>Webull / Zhitong Finance</t>
  </si>
  <si>
    <t>Morgan Stanley 3Q26 IBM preview</t>
  </si>
  <si>
    <t>https://www.webull.com/news/15752200552850432</t>
  </si>
  <si>
    <t>S22</t>
  </si>
  <si>
    <t>StreetInsider</t>
  </si>
  <si>
    <t>JPMorgan maintains overweight on IBM ahead of earnings</t>
  </si>
  <si>
    <t>https://www.streetinsider.com/General+News/JPMorgan+maintains+overweight+rating+on+IBM+with+%24250+target+ahead+of+earnings/27195645.html</t>
  </si>
  <si>
    <t>Qualitative: slipped deals converting</t>
  </si>
  <si>
    <t>S23</t>
  </si>
  <si>
    <t>Alphastreet</t>
  </si>
  <si>
    <t>IBM Q3 2026 preview: EPS est. $2.87</t>
  </si>
  <si>
    <t>https://news.alphastreet.com/international-business-machines-ibm-q3-2026-preview-eps-est-2-87-reports-october-21/</t>
  </si>
  <si>
    <t>Newer consensus; revision trend</t>
  </si>
  <si>
    <t>S24</t>
  </si>
  <si>
    <t>MarketBeat</t>
  </si>
  <si>
    <t>IBM expected to release earnings on Wednesday</t>
  </si>
  <si>
    <t>https://www.marketbeat.com/instant-alerts/upcoming-international-business-machines-ibm-expected-to-release-earnings-on-wednesday-2026-10-14/</t>
  </si>
  <si>
    <t>Newer consensus</t>
  </si>
  <si>
    <t>S25</t>
  </si>
  <si>
    <t>finhacker.cz</t>
  </si>
  <si>
    <t>IBM market cap history ($218.68bn at 16-Oct-26)</t>
  </si>
  <si>
    <t>https://www.finhacker.cz/en/stocks/international-business-machines-market-cap/</t>
  </si>
  <si>
    <t>Calibration size bucket</t>
  </si>
  <si>
    <t>S26</t>
  </si>
  <si>
    <t>Equibles (iShares IVV holdings)</t>
  </si>
  <si>
    <t>S&amp;P 500 constituents list</t>
  </si>
  <si>
    <t>https://equibles.com/indexes/sp-500</t>
  </si>
  <si>
    <t>Calibration S&amp;P 500 membership</t>
  </si>
  <si>
    <t>S27</t>
  </si>
  <si>
    <t>Accenture (peer)</t>
  </si>
  <si>
    <t>Accenture Q4 FY26 results (+7% local currency)</t>
  </si>
  <si>
    <t>https://investor.accenture.com/~/media/Files/A/accenture-v4/investors/earnings-reports/2026/accentures-fourth-quarter-fiscal-2026-earnings-release.pdf</t>
  </si>
  <si>
    <t>Consulting demand cross-check</t>
  </si>
  <si>
    <t>S28</t>
  </si>
  <si>
    <t>Reuters via MarketScreener</t>
  </si>
  <si>
    <t>IBM cuts annual revenue growth forecast</t>
  </si>
  <si>
    <t>https://www.marketscreener.com/news/ibm-cuts-yearly-revenue-growth-forecast-as-customers-prioritize-ai-infrastructure-spending-ce7f51d9df8ff424</t>
  </si>
  <si>
    <t>Z -42%; one-third of slipped deals closed</t>
  </si>
  <si>
    <t>S29</t>
  </si>
  <si>
    <t>2Q26 10-Q cover: 942,134,390 shares outstanding</t>
  </si>
  <si>
    <t>https://www.sec.gov/Archives/edgar/data/51143/000005114326000078/ibm-20260630.htm</t>
  </si>
  <si>
    <t>Share Count; market cap cross-check</t>
  </si>
  <si>
    <t>S30</t>
  </si>
  <si>
    <t>3Q25 10-Q cover: 934,735,206 shares outstanding</t>
  </si>
  <si>
    <t>https://www.sec.gov/Archives/edgar/data/51143/000005114325000064/ibm-20250930.htm</t>
  </si>
  <si>
    <t>S31</t>
  </si>
  <si>
    <t>2Q25 10-Q remaining performance obligations (R51)</t>
  </si>
  <si>
    <t>https://www.sec.gov/Archives/edgar/data/51143/000005114325000052/R51.htm</t>
  </si>
  <si>
    <t>RPO opening for 3Q25A</t>
  </si>
  <si>
    <t>S32</t>
  </si>
  <si>
    <t>2Q25 10-Q consolidated balance sheet (R4): 30-Jun-25 and 31-Dec-24</t>
  </si>
  <si>
    <t>https://www.sec.gov/Archives/edgar/data/51143/000005114325000052/R4.htm</t>
  </si>
  <si>
    <t>Opening balances; BS change rows; financing receivables ladder</t>
  </si>
  <si>
    <t>S33</t>
  </si>
  <si>
    <t>3Q25 earnings presentation charts</t>
  </si>
  <si>
    <t>https://www-api.ibm.com/adobe/assets/urn:aaid:aem:3bcfd7d6-799a-47af-8949-813f704c766f/original/as/ibm-3q-25-earnings-charts.pdf</t>
  </si>
  <si>
    <t>ARR, signings, book-to-bill 3Q25</t>
  </si>
  <si>
    <t>S34</t>
  </si>
  <si>
    <t>4Q25 earnings presentation charts</t>
  </si>
  <si>
    <t>https://www-api.ibm.com/adobe/assets/urn:aaid:aem:edb6a4de-58f0-41df-ab56-60b1c41ce95c/original/as/4q25-charts.pdf</t>
  </si>
  <si>
    <t>ARR, signings, backlog, book-to-bill 4Q25/FY25</t>
  </si>
  <si>
    <t>S36</t>
  </si>
  <si>
    <t>2Q24 10-Q consolidated balance sheet (R4): 30-Jun-24 and 31-Dec-23</t>
  </si>
  <si>
    <t>https://www.sec.gov/Archives/edgar/data/51143/000005114324000039/R4.htm</t>
  </si>
  <si>
    <t>Year-ago financing receivables (yield Y/Y)</t>
  </si>
  <si>
    <t>S37</t>
  </si>
  <si>
    <t>3Q24 10-Q consolidated balance sheet (R4): 30-Sep-24</t>
  </si>
  <si>
    <t>https://www.sec.gov/Archives/edgar/data/51143/000005114324000049/R4.htm</t>
  </si>
  <si>
    <t>S38</t>
  </si>
  <si>
    <t>1Q25 10-Q consolidated balance sheet (R4): 31-Mar-25</t>
  </si>
  <si>
    <t>https://www.sec.gov/Archives/edgar/data/51143/000005114325000032/R4.htm</t>
  </si>
  <si>
    <t>S35</t>
  </si>
  <si>
    <t>1Q26 earnings presentation charts</t>
  </si>
  <si>
    <t>https://www-api.ibm.com/adobe/assets/urn:aaid:aem:7259fd9f-7ab1-494e-aac7-de8b65d8e5a9/original/as/ibm-1q-26-earnings-charts.pdf</t>
  </si>
  <si>
    <t>ARR, OpenShift ARR, signings, book-to-bill 1Q26</t>
  </si>
  <si>
    <t>Tab coverage: all standard tabs carry content (Geo included: three regions disclosed in 10-Q/10-K); none omitted. No Dates, Consensus or Checks tab by design.</t>
  </si>
  <si>
    <t>Register note: all publication dates are on or before 2026-10-18 (cutoff 2026-10-18 21:34 UTC). Limitation: web sources were cached 2026-10-19 UTC (local cache file times 06:17–07:19 UTC), after the cutoff; no per-source capture timestamps or frozen pre-cutoff snapshots exist, so later revisions cannot be ruled out. CapIQ files: 2026-10-18 snapshot.</t>
  </si>
  <si>
    <t>Target-actual exposure: none. IBM 3Q26 results not released before cutoff (report 21-Oct-26); no 3Q26 actuals seen or used.</t>
  </si>
  <si>
    <t>Inputs – CapIQ snapshot, prior-year comparatives, derivations, calibration</t>
  </si>
  <si>
    <t>Forecast period: 3Q26E – quarter ended 30-Sep-2026; column headers are defined within each block below</t>
  </si>
  <si>
    <t>1. CapIQ consensus summary row (raw, as supplied; blanks preserved)</t>
  </si>
  <si>
    <t>Field</t>
  </si>
  <si>
    <t>Raw value</t>
  </si>
  <si>
    <t>Used in</t>
  </si>
  <si>
    <t>ticker</t>
  </si>
  <si>
    <t>company_name</t>
  </si>
  <si>
    <t>exchange_ticker</t>
  </si>
  <si>
    <t>NYSE:IBM</t>
  </si>
  <si>
    <t>capiq_company_id</t>
  </si>
  <si>
    <t>currency_basis</t>
  </si>
  <si>
    <t>USD</t>
  </si>
  <si>
    <t>fiscal_year_end</t>
  </si>
  <si>
    <t>Dec-31</t>
  </si>
  <si>
    <t>fiscal_quarter</t>
  </si>
  <si>
    <t>FQ3 2026 - Sep 2026</t>
  </si>
  <si>
    <t>Cover</t>
  </si>
  <si>
    <t>quarter_end_date</t>
  </si>
  <si>
    <t>expected_report_date</t>
  </si>
  <si>
    <t>eps_basis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</si>
  <si>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</si>
  <si>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</si>
  <si>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</si>
  <si>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</si>
  <si>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</si>
  <si>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Cover consensus EPS; Inputs calibration</t>
  </si>
  <si>
    <t>eps_normalized_median</t>
  </si>
  <si>
    <t>eps_normalized_high</t>
  </si>
  <si>
    <t>eps_normalized_low</t>
  </si>
  <si>
    <t>eps_normalized_std_dev</t>
  </si>
  <si>
    <t>eps_normalized_n_est</t>
  </si>
  <si>
    <t>Cover # estimates</t>
  </si>
  <si>
    <t>eps_normalized_guidance</t>
  </si>
  <si>
    <t>eps_normalized_guidance_low</t>
  </si>
  <si>
    <t>eps_normalized_guidance_high</t>
  </si>
  <si>
    <t>eps_gaap_mean</t>
  </si>
  <si>
    <t>Cover consensus GAAP EPS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</si>
  <si>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</si>
  <si>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</si>
  <si>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</si>
  <si>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</si>
  <si>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</si>
  <si>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</si>
  <si>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</si>
  <si>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</si>
  <si>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</si>
  <si>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Cover consensus revenue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</si>
  <si>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</si>
  <si>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</si>
  <si>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</si>
  <si>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</si>
  <si>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</si>
  <si>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</si>
  <si>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</si>
  <si>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</si>
  <si>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</si>
  <si>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</si>
  <si>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</si>
  <si>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</si>
  <si>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</si>
  <si>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Cover consensus net income (normalized)</t>
  </si>
  <si>
    <t>net_income_gaap</t>
  </si>
  <si>
    <t>Cover consensus GAAP net income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</si>
  <si>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</si>
  <si>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</si>
  <si>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</si>
  <si>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</si>
  <si>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</si>
  <si>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</si>
  <si>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</si>
  <si>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</si>
  <si>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</si>
  <si>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</si>
  <si>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</si>
  <si>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</si>
  <si>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</si>
  <si>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</si>
  <si>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</si>
  <si>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</si>
  <si>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</si>
  <si>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</si>
  <si>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</si>
  <si>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</si>
  <si>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Inputs market cap</t>
  </si>
  <si>
    <t>wk52_high_low</t>
  </si>
  <si>
    <t>332.46/199.19</t>
  </si>
  <si>
    <t>estimates_captured_at</t>
  </si>
  <si>
    <t>notes</t>
  </si>
  <si>
    <t>summary_sha256 (file field)</t>
  </si>
  <si>
    <t>e59b846434f90c9b5de8c2ed951fd1b25c1f6d0217c680f72dea41992051a49d</t>
  </si>
  <si>
    <t>as_of_date (file field)</t>
  </si>
  <si>
    <t>analyst_count (file field)</t>
  </si>
  <si>
    <t>2. CapIQ six-quarter history (IBM_history.csv, all rows)</t>
  </si>
  <si>
    <t>period_end_date</t>
  </si>
  <si>
    <t>report_date</t>
  </si>
  <si>
    <t>eps_norm_cons</t>
  </si>
  <si>
    <t>eps_norm_act</t>
  </si>
  <si>
    <t>eps_gaap_cons</t>
  </si>
  <si>
    <t>eps_gaap_act</t>
  </si>
  <si>
    <t>rev_m_cons</t>
  </si>
  <si>
    <t>rev_m_act</t>
  </si>
  <si>
    <t>2a. Historical normalized EPS surprise (derived from section 2)</t>
  </si>
  <si>
    <t>Surprise $/sh</t>
  </si>
  <si>
    <t>Surprise %</t>
  </si>
  <si>
    <t>Strict beat?</t>
  </si>
  <si>
    <t>Average surprise, strict beats only ($/sh)</t>
  </si>
  <si>
    <t>3. Prior-year comparatives (year-ago of each displayed period)</t>
  </si>
  <si>
    <t>Item ($m unless stated)</t>
  </si>
  <si>
    <t>3Q24A</t>
  </si>
  <si>
    <t>4Q24A</t>
  </si>
  <si>
    <t>FY24A</t>
  </si>
  <si>
    <t>1Q25A</t>
  </si>
  <si>
    <t>2Q25A</t>
  </si>
  <si>
    <t>Software revenue</t>
  </si>
  <si>
    <t>Consulting revenue</t>
  </si>
  <si>
    <t>Infrastructure revenue</t>
  </si>
  <si>
    <t>Other revenue</t>
  </si>
  <si>
    <t>Software gross margin</t>
  </si>
  <si>
    <t>Consulting gross margin</t>
  </si>
  <si>
    <t>Infrastructure gross margin</t>
  </si>
  <si>
    <t>Financing gross margin</t>
  </si>
  <si>
    <t>Software segment profit</t>
  </si>
  <si>
    <t>Consulting segment profit</t>
  </si>
  <si>
    <t>Infrastructure segment profit</t>
  </si>
  <si>
    <t>Financing segment profit</t>
  </si>
  <si>
    <t>Gross profit (GAAP)</t>
  </si>
  <si>
    <t>SG&amp;A (GAAP)</t>
  </si>
  <si>
    <t>R&amp;D</t>
  </si>
  <si>
    <t>Operating (non-GAAP) SG&amp;A</t>
  </si>
  <si>
    <t>Cash flow: depreciation (full-format statements only)</t>
  </si>
  <si>
    <t>Cash flow: amortisation of capitalised software &amp; acquired intangibles</t>
  </si>
  <si>
    <t>Cash flow: depreciation &amp; amortisation</t>
  </si>
  <si>
    <t>Cash flow: proceeds from new debt</t>
  </si>
  <si>
    <t>Cash flow: payments to settle debt</t>
  </si>
  <si>
    <t>Cash flow: short-term borrowings/(repayments) &lt; 90 days, net</t>
  </si>
  <si>
    <t>Cash flow: stock-based compensation</t>
  </si>
  <si>
    <t>Cash flow: IBM Financing receivables</t>
  </si>
  <si>
    <t>Cash flow: capital expenditures, net</t>
  </si>
  <si>
    <t>Cash flow: acquisitions, net of cash acquired</t>
  </si>
  <si>
    <t>Cash flow: net cash from investing activities</t>
  </si>
  <si>
    <t>Cash flow: debt, net of payments &amp; proceeds</t>
  </si>
  <si>
    <t>Cash flow: cash dividends paid</t>
  </si>
  <si>
    <t>Cash flow: net cash from financing activities</t>
  </si>
  <si>
    <t>Cash flow: effect of exchange rate changes</t>
  </si>
  <si>
    <t>Total expense &amp; other (income) (GAAP)</t>
  </si>
  <si>
    <t>Income from continuing operations (GAAP)</t>
  </si>
  <si>
    <t>Operating (non-GAAP) total expense &amp; other (income)</t>
  </si>
  <si>
    <t>Operating (non-GAAP) other (income) &amp; expense</t>
  </si>
  <si>
    <t>Tax on acquisition-related adjustments</t>
  </si>
  <si>
    <t>Adjusted EBITDA ($bn x 1,000, as reported)</t>
  </si>
  <si>
    <t>Cash flow: net change in cash, cash equivalents &amp; restricted cash</t>
  </si>
  <si>
    <t>Days in year-ago period</t>
  </si>
  <si>
    <t>Financing receivables at start of year-ago period</t>
  </si>
  <si>
    <t>Financing receivables at end of year-ago period</t>
  </si>
  <si>
    <t>Remaining performance obligations at 30-Jun-25 (opening for 3Q25A)</t>
  </si>
  <si>
    <t>Share of RPO within two years at 30-Jun-25</t>
  </si>
  <si>
    <t>Provision for / (benefit from) income taxes (GAAP)</t>
  </si>
  <si>
    <t>Pre-tax income, continuing ops (GAAP)</t>
  </si>
  <si>
    <t>Operating (non-GAAP) gross profit</t>
  </si>
  <si>
    <t>Operating (non-GAAP) income, continuing ops</t>
  </si>
  <si>
    <t>Operating (non-GAAP) diluted EPS</t>
  </si>
  <si>
    <t>GAAP diluted EPS (total)</t>
  </si>
  <si>
    <t>Weighted diluted shares (m)</t>
  </si>
  <si>
    <t>Weighted basic shares (m)</t>
  </si>
  <si>
    <t>Net cash from operating activities</t>
  </si>
  <si>
    <t>Free cash flow (issuer-defined)</t>
  </si>
  <si>
    <t>Cash + restricted cash at start of displayed period</t>
  </si>
  <si>
    <t>Total financing receivables at start of displayed period</t>
  </si>
  <si>
    <t>Cash flow: operating assets &amp; liabilities / other (derived = CFO less items)</t>
  </si>
  <si>
    <t>Cash flow: financing – other (derived = CFF less debt and dividends)</t>
  </si>
  <si>
    <t>Financing: annualised revenue yield on average receivables (derived)</t>
  </si>
  <si>
    <t>3b. Financing receivables history ($m; 10-Q balance sheets)</t>
  </si>
  <si>
    <t>Line item</t>
  </si>
  <si>
    <t>ST financing receivables – held for investment</t>
  </si>
  <si>
    <t>ST financing receivables – held for sale</t>
  </si>
  <si>
    <t>Long-term financing receivables</t>
  </si>
  <si>
    <t>Total financing receivables</t>
  </si>
  <si>
    <t>3a. Prior period-end balance sheets (opening balances: C = 30-Jun-25 for 3Q25A; E = 31-Dec-24 for FY25A)</t>
  </si>
  <si>
    <t>Line item ($m)</t>
  </si>
  <si>
    <t>4. Fourth-quarter derivations: 4Q = FY (10-K) less 9M (3Q 10-Q)</t>
  </si>
  <si>
    <t>Item ($m)</t>
  </si>
  <si>
    <t>9M25A</t>
  </si>
  <si>
    <t>9M24A</t>
  </si>
  <si>
    <t>5. Beat-probability calibration (playbook v2: size and issuer history)</t>
  </si>
  <si>
    <t>Market capitalisation, 16-Oct-26 ($bn)</t>
  </si>
  <si>
    <t>Cross-check: CapIQ last close $232.14 x 942.13m shares at 30-Jun-26 = $218.7bn</t>
  </si>
  <si>
    <t>Cross-check: last close x shares outstanding ($bn)</t>
  </si>
  <si>
    <t>Shares outstanding 30-Jun-26 (m)</t>
  </si>
  <si>
    <t>Size bucket</t>
  </si>
  <si>
    <t>Large (&gt;$10bn)</t>
  </si>
  <si>
    <t>S&amp;P 500 member (IVV holdings 15-Oct-26)</t>
  </si>
  <si>
    <t>Yes</t>
  </si>
  <si>
    <t>Cohort prior (large OR S&amp;P 500, applied once)</t>
  </si>
  <si>
    <t>Source: frozen forecasting-playbook.md (experimental v2, step 7): 0.60 small / 0.70 mid / 0.78 large or S&amp;P 500 – rounded experimental hypothesis, not an established empirical probability. S&amp;P 500 membership from secondary source S26 (caveat)</t>
  </si>
  <si>
    <t>Strict beats in six CapIQ pairs (b)</t>
  </si>
  <si>
    <t>Valid pairs (n)</t>
  </si>
  <si>
    <t>Pseudo-count (fixed)</t>
  </si>
  <si>
    <t>Starting probability = (k x prior + b)/(k + n)</t>
  </si>
  <si>
    <t>Quarter-specific evidence adjustment (judgement)</t>
  </si>
  <si>
    <t>Model EPS slightly below consensus; guidance-implied EPS below consensus; BofA $2.82/MS $2.80 previews below; FX better than July assumption; slipped deals closing</t>
  </si>
  <si>
    <t>Final P(beat consensus EPS)</t>
  </si>
  <si>
    <t>6. Newer / alternative consensus (recorded separately; frozen CapIQ snapshot remains the scoring baseline)</t>
  </si>
  <si>
    <t>Source (date)</t>
  </si>
  <si>
    <t>EPS</t>
  </si>
  <si>
    <t>Revenue $m</t>
  </si>
  <si>
    <t># est.</t>
  </si>
  <si>
    <t>Alphastreet preview (16-Oct-26)</t>
  </si>
  <si>
    <t>MarketBeat (14-Oct-26)</t>
  </si>
  <si>
    <t>BofA Securities preview (15-Oct-26)</t>
  </si>
  <si>
    <t>Morgan Stanley preview (14-Oct-26)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</si>
</sst>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0443" formatCode="#,##0.0_);(#,##0.0);–_)"/>
    <numFmt numFmtId="10444" formatCode="0.0%_);(0.0%);–_)"/>
    <numFmt numFmtId="10445" formatCode="$0.00_);($0.00);–_)"/>
    <numFmt numFmtId="10448" formatCode="#,##0_);(#,##0);–_)"/>
    <numFmt numFmtId="10450" formatCode="yyyy-mm-dd"/>
    <numFmt numFmtId="10466" formatCode="#,##0&quot; bp&quot;_);(#,##0&quot; bp&quot;);–_)"/>
    <numFmt numFmtId="10471" formatCode="0.0&quot;x&quot;"/>
    <numFmt numFmtId="10500" formatCode="0.0%_);(0.0%);0.0%_)"/>
  </numFmts>
  <fonts count="14">
    <font>
      <b val="0"/>
      <i val="0"/>
      <sz val="11"/>
      <color auto="1"/>
      <name val="Calibri"/>
    </font>
    <font>
      <b val="0"/>
      <i val="0"/>
      <sz val="10"/>
      <color rgb="FF000000"/>
      <name val="Arial"/>
    </font>
    <font>
      <b val="0"/>
      <i val="0"/>
      <sz val="10"/>
      <color rgb="FF006100"/>
      <name val="Arial"/>
    </font>
    <font>
      <b/>
      <i val="0"/>
      <sz val="10"/>
      <color rgb="FF000000"/>
      <name val="Arial"/>
    </font>
    <font>
      <b val="0"/>
      <i/>
      <sz val="10"/>
      <color rgb="FF000000"/>
      <name val="Arial"/>
    </font>
    <font>
      <b/>
      <i/>
      <sz val="10"/>
      <color rgb="FF000000"/>
      <name val="Arial"/>
    </font>
    <font>
      <b val="0"/>
      <i val="0"/>
      <sz val="10"/>
      <color rgb="FF0000FF"/>
      <name val="Arial"/>
    </font>
    <font>
      <b val="0"/>
      <i/>
      <sz val="10"/>
      <color rgb="FF006100"/>
      <name val="Arial"/>
    </font>
    <font>
      <b val="0"/>
      <i/>
      <sz val="10"/>
      <color rgb="FF0000FF"/>
      <name val="Arial"/>
    </font>
    <font>
      <b/>
      <i val="0"/>
      <sz val="12"/>
      <color rgb="FF000000"/>
      <name val="Arial"/>
    </font>
    <font>
      <b/>
      <i val="0"/>
      <sz val="10"/>
      <color rgb="FF0000FF"/>
      <name val="Arial"/>
    </font>
    <font>
      <b/>
      <i val="0"/>
      <sz val="10"/>
      <color rgb="FF006100"/>
      <name val="Arial"/>
    </font>
    <font>
      <b/>
      <i/>
      <sz val="10"/>
      <color rgb="FF006100"/>
      <name val="Arial"/>
    </font>
    <font>
      <b/>
      <i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EF7"/>
      </patternFill>
    </fill>
    <fill>
      <patternFill patternType="solid">
        <fgColor rgb="FFF2F2F2"/>
      </patternFill>
    </fill>
  </fills>
  <borders count="6">
    <border>
      <left/>
      <right/>
      <top/>
      <bottom/>
    </border>
    <border>
      <left/>
      <right/>
      <top/>
      <bottom/>
      <diagonal/>
    </border>
    <border>
      <top style="thin">
        <color rgb="FF000000"/>
      </top>
    </border>
    <border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1"/>
  </cellStyleXfs>
  <cellXfs count="101">
    <xf numFmtId="0" fontId="0" fillId="0" borderId="1" xfId="0"/>
    <xf numFmtId="0" fontId="1" fillId="0" borderId="1" xfId="0"/>
    <xf numFmtId="0" fontId="9" fillId="0" borderId="1" xfId="0"/>
    <xf numFmtId="0" fontId="3" fillId="0" borderId="1" xfId="0"/>
    <xf numFmtId="0" fontId="4" fillId="0" borderId="1" xfId="0"/>
    <xf numFmtId="0" fontId="3" fillId="3" borderId="4" xfId="0"/>
    <xf numFmtId="0" fontId="3" fillId="3" borderId="4" xfId="0">
      <alignment horizontal="right" vertical="bottom"/>
    </xf>
    <xf numFmtId="0" fontId="3" fillId="2" borderId="4" xfId="0">
      <alignment horizontal="right" vertical="bottom"/>
    </xf>
    <xf numFmtId="0" fontId="1" fillId="3" borderId="1" xfId="0"/>
    <xf numFmtId="10450" fontId="1" fillId="3" borderId="1" xfId="0">
      <alignment horizontal="right" vertical="bottom"/>
    </xf>
    <xf numFmtId="10450" fontId="1" fillId="2" borderId="1" xfId="0">
      <alignment horizontal="right" vertical="bottom"/>
    </xf>
    <xf numFmtId="0" fontId="1" fillId="3" borderId="5" xfId="0"/>
    <xf numFmtId="10448" fontId="1" fillId="3" borderId="5" xfId="0">
      <alignment horizontal="right" vertical="bottom"/>
    </xf>
    <xf numFmtId="10448" fontId="1" fillId="2" borderId="5" xfId="0">
      <alignment horizontal="right" vertical="bottom"/>
    </xf>
    <xf numFmtId="0" fontId="3" fillId="0" borderId="1" xfId="0">
      <alignment vertical="top" wrapText="1"/>
    </xf>
    <xf numFmtId="0" fontId="3" fillId="0" borderId="4" xfId="0">
      <alignment horizontal="left" vertical="top"/>
    </xf>
    <xf numFmtId="0" fontId="3" fillId="0" borderId="4" xfId="0">
      <alignment horizontal="right" vertical="top"/>
    </xf>
    <xf numFmtId="0" fontId="1" fillId="0" borderId="1" xfId="0">
      <alignment vertical="top" wrapText="1"/>
    </xf>
    <xf numFmtId="0" fontId="1" fillId="0" borderId="1" xfId="0">
      <alignment horizontal="left" vertical="top"/>
    </xf>
    <xf numFmtId="0" fontId="1" fillId="0" borderId="1" xfId="0">
      <alignment horizontal="right" vertical="top"/>
    </xf>
    <xf numFmtId="0" fontId="1" fillId="0" borderId="1" xfId="0">
      <alignment vertical="top"/>
    </xf>
    <xf numFmtId="0" fontId="3" fillId="0" borderId="1" xfId="0">
      <alignment horizontal="left" vertical="top"/>
    </xf>
    <xf numFmtId="0" fontId="3" fillId="0" borderId="1" xfId="0">
      <alignment horizontal="right" vertical="top"/>
    </xf>
    <xf numFmtId="10443" fontId="2" fillId="2" borderId="1" xfId="0">
      <alignment horizontal="right" vertical="top"/>
    </xf>
    <xf numFmtId="10443" fontId="2" fillId="0" borderId="1" xfId="0">
      <alignment horizontal="right" vertical="top"/>
    </xf>
    <xf numFmtId="10443" fontId="1" fillId="0" borderId="1" xfId="0">
      <alignment horizontal="right" vertical="top"/>
    </xf>
    <xf numFmtId="10444" fontId="1" fillId="0" borderId="1" xfId="0">
      <alignment horizontal="right" vertical="top"/>
    </xf>
    <xf numFmtId="10445" fontId="2" fillId="2" borderId="1" xfId="0">
      <alignment horizontal="right" vertical="top"/>
    </xf>
    <xf numFmtId="10445" fontId="2" fillId="0" borderId="1" xfId="0">
      <alignment horizontal="right" vertical="top"/>
    </xf>
    <xf numFmtId="10445" fontId="1" fillId="0" borderId="1" xfId="0">
      <alignment horizontal="right" vertical="top"/>
    </xf>
    <xf numFmtId="0" fontId="2" fillId="0" borderId="1" xfId="0">
      <alignment horizontal="right" vertical="top"/>
    </xf>
    <xf numFmtId="0" fontId="11" fillId="0" borderId="4" xfId="0">
      <alignment horizontal="right" vertical="top"/>
    </xf>
    <xf numFmtId="0" fontId="4" fillId="0" borderId="1" xfId="0">
      <alignment vertical="top" wrapText="1"/>
    </xf>
    <xf numFmtId="0" fontId="5" fillId="0" borderId="1" xfId="0">
      <alignment vertical="top" wrapText="1"/>
    </xf>
    <xf numFmtId="10444" fontId="12" fillId="0" borderId="4" xfId="0">
      <alignment horizontal="right" vertical="top"/>
    </xf>
    <xf numFmtId="10444" fontId="5" fillId="0" borderId="4" xfId="0">
      <alignment horizontal="right" vertical="top"/>
    </xf>
    <xf numFmtId="10448" fontId="2" fillId="0" borderId="1" xfId="0">
      <alignment horizontal="right" vertical="top"/>
    </xf>
    <xf numFmtId="10448" fontId="1" fillId="0" borderId="1" xfId="0">
      <alignment horizontal="right" vertical="top"/>
    </xf>
    <xf numFmtId="10444" fontId="7" fillId="0" borderId="1" xfId="0">
      <alignment horizontal="right" vertical="top"/>
    </xf>
    <xf numFmtId="10444" fontId="4" fillId="0" borderId="1" xfId="0">
      <alignment horizontal="right" vertical="top"/>
    </xf>
    <xf numFmtId="10444" fontId="7" fillId="2" borderId="1" xfId="0">
      <alignment horizontal="right" vertical="top"/>
    </xf>
    <xf numFmtId="0" fontId="1" fillId="2" borderId="1" xfId="0"/>
    <xf numFmtId="0" fontId="3" fillId="2" borderId="1" xfId="0">
      <alignment horizontal="right" vertical="top"/>
    </xf>
    <xf numFmtId="0" fontId="4" fillId="0" borderId="1" xfId="0">
      <alignment horizontal="left" vertical="top" wrapText="1" indent="1"/>
    </xf>
    <xf numFmtId="10444" fontId="4" fillId="2" borderId="1" xfId="0">
      <alignment horizontal="right" vertical="top"/>
    </xf>
    <xf numFmtId="10443" fontId="6" fillId="0" borderId="1" xfId="0">
      <alignment horizontal="right" vertical="top"/>
    </xf>
    <xf numFmtId="10443" fontId="6" fillId="2" borderId="1" xfId="0">
      <alignment horizontal="right" vertical="top"/>
    </xf>
    <xf numFmtId="10443" fontId="4" fillId="0" borderId="1" xfId="0">
      <alignment horizontal="right" vertical="top"/>
    </xf>
    <xf numFmtId="10443" fontId="8" fillId="2" borderId="1" xfId="0">
      <alignment horizontal="right" vertical="top"/>
    </xf>
    <xf numFmtId="10443" fontId="3" fillId="0" borderId="4" xfId="0">
      <alignment horizontal="right" vertical="top"/>
    </xf>
    <xf numFmtId="10443" fontId="3" fillId="2" borderId="4" xfId="0">
      <alignment horizontal="right" vertical="top"/>
    </xf>
    <xf numFmtId="10443" fontId="7" fillId="0" borderId="1" xfId="0">
      <alignment horizontal="right" vertical="top"/>
    </xf>
    <xf numFmtId="10443" fontId="4" fillId="2" borderId="1" xfId="0">
      <alignment horizontal="right" vertical="top"/>
    </xf>
    <xf numFmtId="10444" fontId="8" fillId="0" borderId="1" xfId="0">
      <alignment horizontal="right" vertical="top"/>
    </xf>
    <xf numFmtId="10444" fontId="8" fillId="2" borderId="1" xfId="0">
      <alignment horizontal="right" vertical="top"/>
    </xf>
    <xf numFmtId="0" fontId="1" fillId="2" borderId="1" xfId="0">
      <alignment vertical="top"/>
    </xf>
    <xf numFmtId="10443" fontId="1" fillId="2" borderId="1" xfId="0">
      <alignment horizontal="right" vertical="top"/>
    </xf>
    <xf numFmtId="0" fontId="1" fillId="2" borderId="1" xfId="0">
      <alignment horizontal="right" vertical="top"/>
    </xf>
    <xf numFmtId="0" fontId="1" fillId="0" borderId="1" xfId="0">
      <alignment horizontal="left" vertical="top" wrapText="1" indent="1"/>
    </xf>
    <xf numFmtId="10443" fontId="10" fillId="0" borderId="4" xfId="0">
      <alignment horizontal="right" vertical="top"/>
    </xf>
    <xf numFmtId="0" fontId="4" fillId="0" borderId="1" xfId="0">
      <alignment horizontal="left" vertical="top" wrapText="1" indent="2"/>
    </xf>
    <xf numFmtId="10466" fontId="7" fillId="0" borderId="1" xfId="0">
      <alignment horizontal="right" vertical="top"/>
    </xf>
    <xf numFmtId="10466" fontId="4" fillId="0" borderId="1" xfId="0">
      <alignment horizontal="right" vertical="top"/>
    </xf>
    <xf numFmtId="10466" fontId="4" fillId="2" borderId="1" xfId="0">
      <alignment horizontal="right" vertical="top"/>
    </xf>
    <xf numFmtId="10471" fontId="1" fillId="0" borderId="1" xfId="0">
      <alignment horizontal="right" vertical="top"/>
    </xf>
    <xf numFmtId="10471" fontId="1" fillId="2" borderId="1" xfId="0">
      <alignment horizontal="right" vertical="top"/>
    </xf>
    <xf numFmtId="10500" fontId="8" fillId="0" borderId="1" xfId="0">
      <alignment horizontal="right" vertical="top"/>
    </xf>
    <xf numFmtId="10443" fontId="8" fillId="0" borderId="1" xfId="0">
      <alignment horizontal="right" vertical="top"/>
    </xf>
    <xf numFmtId="10471" fontId="6" fillId="0" borderId="1" xfId="0">
      <alignment horizontal="right" vertical="top"/>
    </xf>
    <xf numFmtId="0" fontId="4" fillId="0" borderId="1" xfId="0">
      <alignment horizontal="right" vertical="top"/>
    </xf>
    <xf numFmtId="0" fontId="4" fillId="2" borderId="1" xfId="0">
      <alignment horizontal="right" vertical="top"/>
    </xf>
    <xf numFmtId="0" fontId="1" fillId="0" borderId="1" xfId="0">
      <alignment horizontal="left" vertical="top" wrapText="1" indent="2"/>
    </xf>
    <xf numFmtId="0" fontId="4" fillId="0" borderId="1" xfId="0">
      <alignment horizontal="left" vertical="top" wrapText="1" indent="3"/>
    </xf>
    <xf numFmtId="10443" fontId="11" fillId="0" borderId="4" xfId="0">
      <alignment horizontal="right" vertical="top"/>
    </xf>
    <xf numFmtId="10443" fontId="11" fillId="2" borderId="4" xfId="0">
      <alignment horizontal="right" vertical="top"/>
    </xf>
    <xf numFmtId="10448" fontId="1" fillId="2" borderId="1" xfId="0">
      <alignment horizontal="right" vertical="top"/>
    </xf>
    <xf numFmtId="10445" fontId="1" fillId="2" borderId="1" xfId="0">
      <alignment horizontal="right" vertical="top"/>
    </xf>
    <xf numFmtId="10445" fontId="3" fillId="0" borderId="4" xfId="0">
      <alignment horizontal="right" vertical="top"/>
    </xf>
    <xf numFmtId="10445" fontId="3" fillId="2" borderId="4" xfId="0">
      <alignment horizontal="right" vertical="top"/>
    </xf>
    <xf numFmtId="10445" fontId="7" fillId="0" borderId="1" xfId="0">
      <alignment horizontal="right" vertical="top"/>
    </xf>
    <xf numFmtId="10445" fontId="4" fillId="0" borderId="1" xfId="0">
      <alignment horizontal="right" vertical="top"/>
    </xf>
    <xf numFmtId="10445" fontId="4" fillId="2" borderId="1" xfId="0">
      <alignment horizontal="right" vertical="top"/>
    </xf>
    <xf numFmtId="10445" fontId="8" fillId="0" borderId="1" xfId="0">
      <alignment horizontal="right" vertical="top"/>
    </xf>
    <xf numFmtId="0" fontId="3" fillId="0" borderId="1" xfId="0">
      <alignment horizontal="left" vertical="top" wrapText="1" indent="1"/>
    </xf>
    <xf numFmtId="0" fontId="2" fillId="2" borderId="1" xfId="0">
      <alignment horizontal="right" vertical="top"/>
    </xf>
    <xf numFmtId="10445" fontId="6" fillId="0" borderId="1" xfId="0">
      <alignment horizontal="right" vertical="top"/>
    </xf>
    <xf numFmtId="10445" fontId="6" fillId="2" borderId="1" xfId="0">
      <alignment horizontal="right" vertical="top"/>
    </xf>
    <xf numFmtId="10450" fontId="8" fillId="0" borderId="1" xfId="0">
      <alignment horizontal="right" vertical="top"/>
    </xf>
    <xf numFmtId="0" fontId="1" fillId="0" borderId="1" xfId="0">
      <alignment horizontal="left" vertical="top" wrapText="1"/>
    </xf>
    <xf numFmtId="10450" fontId="6" fillId="0" borderId="1" xfId="0">
      <alignment horizontal="right" vertical="top"/>
    </xf>
    <xf numFmtId="10500" fontId="4" fillId="0" borderId="1" xfId="0">
      <alignment horizontal="right" vertical="top"/>
    </xf>
    <xf numFmtId="10448" fontId="6" fillId="0" borderId="1" xfId="0">
      <alignment horizontal="right" vertical="top"/>
    </xf>
    <xf numFmtId="0" fontId="3" fillId="0" borderId="4" xfId="0">
      <alignment horizontal="left" vertical="top" wrapText="1"/>
    </xf>
    <xf numFmtId="0" fontId="3" fillId="0" borderId="4" xfId="0">
      <alignment vertical="top"/>
    </xf>
    <xf numFmtId="10448" fontId="1" fillId="0" borderId="1" xfId="0">
      <alignment horizontal="left" vertical="top"/>
    </xf>
    <xf numFmtId="10445" fontId="1" fillId="0" borderId="1" xfId="0">
      <alignment horizontal="left" vertical="top"/>
    </xf>
    <xf numFmtId="10443" fontId="1" fillId="0" borderId="1" xfId="0">
      <alignment horizontal="left" vertical="top"/>
    </xf>
    <xf numFmtId="10450" fontId="1" fillId="0" borderId="1" xfId="0">
      <alignment horizontal="right" vertical="top" wrapText="1"/>
    </xf>
    <xf numFmtId="10443" fontId="6" fillId="0" borderId="1" xfId="0">
      <alignment horizontal="right" vertical="top" wrapText="1"/>
    </xf>
    <xf numFmtId="10450" fontId="10" fillId="0" borderId="4" xfId="0">
      <alignment horizontal="right" vertical="top"/>
    </xf>
    <xf numFmtId="10444" fontId="13" fillId="0" borderId="4" xfId="0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Relationship Id="rId16" Type="http://schemas.openxmlformats.org/officeDocument/2006/relationships/theme" Target="theme/theme1.xml"/><Relationship Id="rId1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609600</xdr:colOff>
      <xdr:row>3</xdr:row>
      <xdr:rowOff>38100</xdr:rowOff>
    </xdr:to>
    <xdr:pic>
      <xdr:nvPicPr>
        <xdr:cNvPr id="2" name="Shortcut 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38100" y="38100"/>
          <a:ext cx="571500" cy="57150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vmlDrawing" Target="../drawings/vmlDrawing11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comments" Target="../comments14.xml"/><Relationship Id="rId2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039D8C8-6818-5398-5FD8-0C96E6C33DB8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9.140625" customHeight="1"/>
  <cols>
    <col min="1" max="1" width="10.00390625" customWidth="1"/>
    <col min="2" max="2" width="34.00390625" customWidth="1"/>
    <col min="3" max="8" width="12.00390625" customWidth="1"/>
    <col min="9" max="9" width="6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</row>
    <row r="3" ht="15" customHeight="1">
      <c r="A3" s="1"/>
      <c r="B3" s="3" t="s">
        <v>1</v>
      </c>
      <c r="C3" s="1"/>
      <c r="D3" s="1"/>
      <c r="E3" s="1"/>
      <c r="F3" s="1"/>
      <c r="G3" s="1"/>
      <c r="H3" s="1"/>
      <c r="I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</row>
    <row r="5" ht="13.5" customHeight="1">
      <c r="A5" s="1"/>
      <c r="B5" s="5" t="s">
        <v>3</v>
      </c>
      <c r="C5" s="6"/>
      <c r="D5" s="6"/>
      <c r="E5" s="6"/>
      <c r="F5" s="6"/>
      <c r="G5" s="6"/>
      <c r="H5" s="7"/>
      <c r="I5" s="5"/>
    </row>
    <row r="6" ht="13.5" customHeight="1">
      <c r="A6" s="1"/>
      <c r="B6" s="8"/>
      <c r="C6" s="9"/>
      <c r="D6" s="9"/>
      <c r="E6" s="9"/>
      <c r="F6" s="9"/>
      <c r="G6" s="9"/>
      <c r="H6" s="10"/>
      <c r="I6" s="8"/>
    </row>
    <row r="7" ht="13.5" customHeight="1">
      <c r="A7" s="1"/>
      <c r="B7" s="11"/>
      <c r="C7" s="12"/>
      <c r="D7" s="12"/>
      <c r="E7" s="12"/>
      <c r="F7" s="12"/>
      <c r="G7" s="12"/>
      <c r="H7" s="13"/>
      <c r="I7" s="11"/>
    </row>
    <row r="8" ht="13.5" customHeight="1">
      <c r="A8" s="1"/>
      <c r="B8" s="1"/>
      <c r="C8" s="1"/>
      <c r="D8" s="1"/>
      <c r="E8" s="1"/>
      <c r="F8" s="1"/>
      <c r="G8" s="1"/>
      <c r="H8" s="1"/>
      <c r="I8" s="1"/>
    </row>
    <row r="9" ht="13.5" customHeight="1">
      <c r="A9" s="1"/>
      <c r="B9" s="14" t="s">
        <v>4</v>
      </c>
      <c r="C9" s="15"/>
      <c r="D9" s="16"/>
      <c r="E9" s="16"/>
      <c r="F9" s="16"/>
      <c r="G9" s="16"/>
      <c r="H9" s="16"/>
      <c r="I9" s="17"/>
    </row>
    <row r="10" ht="13.5" customHeight="1">
      <c r="A10" s="1"/>
      <c r="B10" s="17" t="s">
        <v>5</v>
      </c>
      <c r="C10" s="18" t="s">
        <v>6</v>
      </c>
      <c r="D10" s="19"/>
      <c r="E10" s="19"/>
      <c r="F10" s="19"/>
      <c r="G10" s="19"/>
      <c r="H10" s="19"/>
      <c r="I10" s="17"/>
    </row>
    <row r="11" ht="13.5" customHeight="1">
      <c r="A11" s="1"/>
      <c r="B11" s="17"/>
      <c r="C11" s="18"/>
      <c r="D11" s="20"/>
      <c r="E11" s="20"/>
      <c r="F11" s="20"/>
      <c r="G11" s="20"/>
      <c r="H11" s="20"/>
      <c r="I11" s="17"/>
    </row>
    <row r="12" ht="13.5" customHeight="1">
      <c r="A12" s="1"/>
      <c r="B12" s="14" t="s">
        <v>7</v>
      </c>
      <c r="C12" s="21"/>
      <c r="D12" s="22"/>
      <c r="E12" s="22"/>
      <c r="F12" s="22"/>
      <c r="G12" s="22"/>
      <c r="H12" s="22"/>
      <c r="I12" s="17"/>
    </row>
    <row r="13" ht="13.5" customHeight="1">
      <c r="A13" s="1"/>
      <c r="B13" s="17" t="s">
        <v>8</v>
      </c>
      <c r="C13" s="18" t="s">
        <v>9</v>
      </c>
      <c r="D13" s="19"/>
      <c r="E13" s="19"/>
      <c r="F13" s="19"/>
      <c r="G13" s="19"/>
      <c r="H13" s="19"/>
      <c r="I13" s="17"/>
    </row>
    <row r="14" ht="13.5" customHeight="1">
      <c r="A14" s="1"/>
      <c r="B14" s="17" t="s">
        <v>10</v>
      </c>
      <c r="C14" s="18" t="s">
        <v>11</v>
      </c>
      <c r="D14" s="19"/>
      <c r="E14" s="19"/>
      <c r="F14" s="19"/>
      <c r="G14" s="19"/>
      <c r="H14" s="19"/>
      <c r="I14" s="17"/>
    </row>
    <row r="15" ht="13.5" customHeight="1">
      <c r="A15" s="1"/>
      <c r="B15" s="17" t="s">
        <v>12</v>
      </c>
      <c r="C15" s="18" t="s">
        <v>13</v>
      </c>
      <c r="D15" s="19"/>
      <c r="E15" s="19"/>
      <c r="F15" s="19"/>
      <c r="G15" s="19"/>
      <c r="H15" s="19"/>
      <c r="I15" s="17"/>
    </row>
    <row r="16" ht="13.5" customHeight="1">
      <c r="A16" s="1"/>
      <c r="B16" s="17" t="s">
        <v>14</v>
      </c>
      <c r="C16" s="18" t="s">
        <v>15</v>
      </c>
      <c r="D16" s="19"/>
      <c r="E16" s="19"/>
      <c r="F16" s="19"/>
      <c r="G16" s="19"/>
      <c r="H16" s="19"/>
      <c r="I16" s="17"/>
    </row>
    <row r="17" ht="13.5" customHeight="1">
      <c r="A17" s="1"/>
      <c r="B17" s="17" t="s">
        <v>16</v>
      </c>
      <c r="C17" s="18" t="s">
        <v>17</v>
      </c>
      <c r="D17" s="19"/>
      <c r="E17" s="19"/>
      <c r="F17" s="19"/>
      <c r="G17" s="19"/>
      <c r="H17" s="19"/>
      <c r="I17" s="17"/>
    </row>
    <row r="18" ht="13.5" customHeight="1">
      <c r="A18" s="1"/>
      <c r="B18" s="17" t="s">
        <v>18</v>
      </c>
      <c r="C18" s="18" t="s">
        <v>19</v>
      </c>
      <c r="D18" s="19"/>
      <c r="E18" s="19"/>
      <c r="F18" s="19"/>
      <c r="G18" s="19"/>
      <c r="H18" s="19"/>
      <c r="I18" s="17"/>
    </row>
    <row r="19" ht="13.5" customHeight="1">
      <c r="A19" s="1"/>
      <c r="B19" s="17" t="s">
        <v>20</v>
      </c>
      <c r="C19" s="18" t="s">
        <v>21</v>
      </c>
      <c r="D19" s="19"/>
      <c r="E19" s="19"/>
      <c r="F19" s="19"/>
      <c r="G19" s="19"/>
      <c r="H19" s="19"/>
      <c r="I19" s="17"/>
    </row>
    <row r="20" ht="13.5" customHeight="1">
      <c r="A20" s="1"/>
      <c r="B20" s="17" t="s">
        <v>22</v>
      </c>
      <c r="C20" s="18" t="s">
        <v>23</v>
      </c>
      <c r="D20" s="19"/>
      <c r="E20" s="19"/>
      <c r="F20" s="19"/>
      <c r="G20" s="19"/>
      <c r="H20" s="19"/>
      <c r="I20" s="17"/>
    </row>
    <row r="21" ht="13.5" customHeight="1">
      <c r="A21" s="1"/>
      <c r="B21" s="17" t="s">
        <v>24</v>
      </c>
      <c r="C21" s="18" t="s">
        <v>25</v>
      </c>
      <c r="D21" s="19"/>
      <c r="E21" s="19"/>
      <c r="F21" s="19"/>
      <c r="G21" s="19"/>
      <c r="H21" s="19"/>
      <c r="I21" s="17"/>
    </row>
    <row r="22" ht="13.5" customHeight="1">
      <c r="A22" s="1"/>
      <c r="B22" s="17"/>
      <c r="C22" s="20"/>
      <c r="D22" s="20"/>
      <c r="E22" s="20"/>
      <c r="F22" s="20"/>
      <c r="G22" s="20"/>
      <c r="H22" s="20"/>
      <c r="I22" s="17"/>
    </row>
    <row r="23" ht="24.75" customHeight="1">
      <c r="A23" s="1"/>
      <c r="B23" s="14" t="s">
        <v>26</v>
      </c>
      <c r="C23" s="22"/>
      <c r="D23" s="22"/>
      <c r="E23" s="22"/>
      <c r="F23" s="22"/>
      <c r="G23" s="22"/>
      <c r="H23" s="22"/>
      <c r="I23" s="17"/>
    </row>
    <row r="24" ht="13.5" customHeight="1">
      <c r="A24" s="1"/>
      <c r="B24" s="14" t="s">
        <v>27</v>
      </c>
      <c r="C24" s="16" t="s">
        <v>28</v>
      </c>
      <c r="D24" s="16" t="s">
        <v>29</v>
      </c>
      <c r="E24" s="16" t="s">
        <v>30</v>
      </c>
      <c r="F24" s="16" t="s">
        <v>31</v>
      </c>
      <c r="G24" s="16" t="s">
        <v>32</v>
      </c>
      <c r="H24" s="16" t="s">
        <v>33</v>
      </c>
      <c r="I24" s="17"/>
    </row>
    <row r="25" ht="13.5" customHeight="1">
      <c r="A25" s="1"/>
      <c r="B25" s="17" t="s">
        <v>34</v>
      </c>
      <c r="C25" s="23">
        <f>'Income Statement'!H10</f>
        <v>16850.61271352404</v>
      </c>
      <c r="D25" s="24">
        <f>Inputs!C42</f>
        <v>16842.96</v>
      </c>
      <c r="E25" s="25">
        <f t="shared" si="0" ref="E25:E29">_xlfn.IFERROR(C25-D25,"n.a.")</f>
        <v>7.652713524039427</v>
      </c>
      <c r="F25" s="26">
        <f t="shared" si="1" ref="F25:F29">_xlfn.IFERROR(C25/D25-1,"n.a.")</f>
        <v>0.00045435680688199476</v>
      </c>
      <c r="G25" s="24">
        <f>Guidance!H39</f>
        <v>16809.906575</v>
      </c>
      <c r="H25" s="25">
        <f t="shared" si="2" ref="H25:H29">_xlfn.IFERROR(C25-G25,"n.a.")</f>
        <v>40.70613852403767</v>
      </c>
      <c r="I25" s="17"/>
    </row>
    <row r="26" ht="24.75" customHeight="1">
      <c r="A26" s="1"/>
      <c r="B26" s="17" t="s">
        <v>35</v>
      </c>
      <c r="C26" s="23">
        <f>'Income Statement'!H116</f>
        <v>2722.550132863037</v>
      </c>
      <c r="D26" s="24">
        <f>Inputs!C55</f>
        <v>2778.18</v>
      </c>
      <c r="E26" s="25">
        <f t="shared" si="0"/>
        <v>-55.62986713696273</v>
      </c>
      <c r="F26" s="26">
        <f t="shared" si="1"/>
        <v>-0.020023852715433388</v>
      </c>
      <c r="G26" s="24">
        <f>Guidance!H45</f>
        <v>2703.7398682167086</v>
      </c>
      <c r="H26" s="25">
        <f t="shared" si="2"/>
        <v>18.810264646328505</v>
      </c>
      <c r="I26" s="17"/>
    </row>
    <row r="27" ht="13.5" customHeight="1">
      <c r="A27" s="1"/>
      <c r="B27" s="17" t="s">
        <v>36</v>
      </c>
      <c r="C27" s="27">
        <f>'Income Statement'!H127</f>
        <v>2.853826135076559</v>
      </c>
      <c r="D27" s="28">
        <f>Inputs!C24</f>
        <v>2.87</v>
      </c>
      <c r="E27" s="29">
        <f t="shared" si="0"/>
        <v>-0.016173864923441084</v>
      </c>
      <c r="F27" s="26">
        <f t="shared" si="1"/>
        <v>-0.005635493004683356</v>
      </c>
      <c r="G27" s="28">
        <f>Guidance!H47</f>
        <v>2.8341088765374303</v>
      </c>
      <c r="H27" s="29">
        <f t="shared" si="2"/>
        <v>0.019717258539128757</v>
      </c>
      <c r="I27" s="17"/>
    </row>
    <row r="28" ht="13.5" customHeight="1">
      <c r="A28" s="1"/>
      <c r="B28" s="17" t="s">
        <v>37</v>
      </c>
      <c r="C28" s="23">
        <f>'Income Statement'!H57</f>
        <v>2084.1501328630375</v>
      </c>
      <c r="D28" s="24">
        <f>Inputs!C56</f>
        <v>2347.29</v>
      </c>
      <c r="E28" s="25">
        <f t="shared" si="0"/>
        <v>-263.1398671369625</v>
      </c>
      <c r="F28" s="26">
        <f t="shared" si="1"/>
        <v>-0.11210368856722541</v>
      </c>
      <c r="G28" s="25" t="s">
        <v>38</v>
      </c>
      <c r="H28" s="25" t="str">
        <f t="shared" si="2"/>
        <v>n.a.</v>
      </c>
      <c r="I28" s="17"/>
    </row>
    <row r="29" ht="13.5" customHeight="1">
      <c r="A29" s="1"/>
      <c r="B29" s="17" t="s">
        <v>39</v>
      </c>
      <c r="C29" s="27">
        <f>'Income Statement'!H67</f>
        <v>2.1846437451394523</v>
      </c>
      <c r="D29" s="28">
        <f>Inputs!C33</f>
        <v>2.45</v>
      </c>
      <c r="E29" s="29">
        <f t="shared" si="0"/>
        <v>-0.2653562548605479</v>
      </c>
      <c r="F29" s="26">
        <f t="shared" si="1"/>
        <v>-0.10830867545328482</v>
      </c>
      <c r="G29" s="29" t="s">
        <v>38</v>
      </c>
      <c r="H29" s="29" t="str">
        <f t="shared" si="2"/>
        <v>n.a.</v>
      </c>
      <c r="I29" s="17"/>
    </row>
    <row r="30" ht="13.5" customHeight="1">
      <c r="A30" s="1"/>
      <c r="B30" s="17" t="s">
        <v>40</v>
      </c>
      <c r="C30" s="30" t="b">
        <f>AND(ABS(C25-'Revenue summary'!H31)&lt;0.001,ABS(C26-'Income Statement'!H116)&lt;0.001,ABS(C27-'Income Statement'!H116/'Share Count'!H10)&lt;0.000001,ABS(C28-'Income Statement'!H57)&lt;0.001)</f>
        <v>1</v>
      </c>
      <c r="D30" s="19"/>
      <c r="E30" s="19"/>
      <c r="F30" s="19"/>
      <c r="G30" s="19"/>
      <c r="H30" s="19"/>
      <c r="I30" s="17"/>
    </row>
    <row r="31" ht="53.25" customHeight="1">
      <c r="A31" s="1"/>
      <c r="B31" s="14" t="s">
        <v>41</v>
      </c>
      <c r="C31" s="31" t="str">
        <f>IF(AND(AND('Revenue summary'!C42:H42),'Revenue summary'!E43,AND('Segment - Software'!C48:G48),AND('Segment - Consulting'!C33:G33),AND('Segment - Infrastructure'!C52:G52),AND(Geo!C35:H35),AND('Income Statement'!C72:H72),AND('Income Statement'!C88:G88),AND('Income Statement'!C130:H130),AND('Income Statement'!C132:G132),AND('Balance Sheet'!C101:H101),AND('Balance Sheet'!C103:G103),AND('Balance Sheet'!C105:G105),AND('Balance Sheet'!C107:G107),AND('Cash Flow Statement'!C66:H66),AND('Cash Flow Statement'!C79:G79),C30),"PASS","FAIL")</f>
        <v>PASS</v>
      </c>
      <c r="D31" s="16"/>
      <c r="E31" s="16"/>
      <c r="F31" s="16"/>
      <c r="G31" s="16"/>
      <c r="H31" s="16"/>
      <c r="I31" s="32" t="s">
        <v>43</v>
      </c>
    </row>
    <row r="32" ht="13.5" customHeight="1">
      <c r="A32" s="1"/>
      <c r="B32" s="33" t="s">
        <v>44</v>
      </c>
      <c r="C32" s="34">
        <f>Inputs!C262</f>
        <v>0.48</v>
      </c>
      <c r="D32" s="35"/>
      <c r="E32" s="35"/>
      <c r="F32" s="35"/>
      <c r="G32" s="35"/>
      <c r="H32" s="35"/>
      <c r="I32" s="17"/>
    </row>
    <row r="33" ht="13.5" customHeight="1">
      <c r="A33" s="1"/>
      <c r="B33" s="14" t="s">
        <v>45</v>
      </c>
      <c r="C33" s="31" t="str">
        <f>Inputs!C263</f>
        <v>low</v>
      </c>
      <c r="D33" s="16"/>
      <c r="E33" s="16"/>
      <c r="F33" s="16"/>
      <c r="G33" s="16"/>
      <c r="H33" s="16"/>
      <c r="I33" s="17"/>
    </row>
    <row r="34" ht="13.5" customHeight="1">
      <c r="A34" s="1"/>
      <c r="B34" s="17"/>
      <c r="C34" s="20"/>
      <c r="D34" s="20"/>
      <c r="E34" s="20"/>
      <c r="F34" s="20"/>
      <c r="G34" s="20"/>
      <c r="H34" s="20"/>
      <c r="I34" s="17"/>
    </row>
    <row r="35" ht="24.75" customHeight="1">
      <c r="A35" s="1"/>
      <c r="B35" s="14" t="s">
        <v>47</v>
      </c>
      <c r="C35" s="22"/>
      <c r="D35" s="22"/>
      <c r="E35" s="22"/>
      <c r="F35" s="22"/>
      <c r="G35" s="22"/>
      <c r="H35" s="22"/>
      <c r="I35" s="17"/>
    </row>
    <row r="36" ht="13.5" customHeight="1">
      <c r="A36" s="1"/>
      <c r="B36" s="17" t="s">
        <v>48</v>
      </c>
      <c r="C36" s="28">
        <f>Inputs!C25</f>
        <v>2.85</v>
      </c>
      <c r="D36" s="29"/>
      <c r="E36" s="29"/>
      <c r="F36" s="29"/>
      <c r="G36" s="29"/>
      <c r="H36" s="29"/>
      <c r="I36" s="17"/>
    </row>
    <row r="37" ht="13.5" customHeight="1">
      <c r="A37" s="1"/>
      <c r="B37" s="17" t="s">
        <v>49</v>
      </c>
      <c r="C37" s="28">
        <f>Inputs!C26</f>
        <v>3.12</v>
      </c>
      <c r="D37" s="29"/>
      <c r="E37" s="29"/>
      <c r="F37" s="29"/>
      <c r="G37" s="29"/>
      <c r="H37" s="29"/>
      <c r="I37" s="17"/>
    </row>
    <row r="38" ht="13.5" customHeight="1">
      <c r="A38" s="1"/>
      <c r="B38" s="17" t="s">
        <v>50</v>
      </c>
      <c r="C38" s="28">
        <f>Inputs!C27</f>
        <v>2.75</v>
      </c>
      <c r="D38" s="29"/>
      <c r="E38" s="29"/>
      <c r="F38" s="29"/>
      <c r="G38" s="29"/>
      <c r="H38" s="29"/>
      <c r="I38" s="17"/>
    </row>
    <row r="39" ht="13.5" customHeight="1">
      <c r="A39" s="1"/>
      <c r="B39" s="17" t="s">
        <v>51</v>
      </c>
      <c r="C39" s="36">
        <f>Inputs!C29</f>
        <v>20</v>
      </c>
      <c r="D39" s="37"/>
      <c r="E39" s="37"/>
      <c r="F39" s="37"/>
      <c r="G39" s="37"/>
      <c r="H39" s="37"/>
      <c r="I39" s="17"/>
    </row>
    <row r="40" ht="13.5" customHeight="1">
      <c r="A40" s="1"/>
      <c r="B40" s="17" t="s">
        <v>52</v>
      </c>
      <c r="C40" s="36">
        <f>Inputs!C47</f>
        <v>19</v>
      </c>
      <c r="D40" s="37"/>
      <c r="E40" s="37"/>
      <c r="F40" s="37"/>
      <c r="G40" s="37"/>
      <c r="H40" s="37"/>
      <c r="I40" s="17"/>
    </row>
    <row r="41" ht="24.75" customHeight="1">
      <c r="A41" s="1"/>
      <c r="B41" s="32" t="s">
        <v>53</v>
      </c>
      <c r="C41" s="38">
        <f>Inputs!C260</f>
        <v>0.8028571428571428</v>
      </c>
      <c r="D41" s="39"/>
      <c r="E41" s="39"/>
      <c r="F41" s="39"/>
      <c r="G41" s="39"/>
      <c r="H41" s="39"/>
      <c r="I41" s="17"/>
    </row>
    <row r="42" ht="13.5" customHeight="1">
      <c r="A42" s="1"/>
      <c r="B42" s="17"/>
      <c r="C42" s="20"/>
      <c r="D42" s="20"/>
      <c r="E42" s="20"/>
      <c r="F42" s="20"/>
      <c r="G42" s="20"/>
      <c r="H42" s="20"/>
      <c r="I42" s="17"/>
    </row>
    <row r="43" ht="36" customHeight="1">
      <c r="A43" s="1"/>
      <c r="B43" s="14" t="s">
        <v>54</v>
      </c>
      <c r="C43" s="22"/>
      <c r="D43" s="22"/>
      <c r="E43" s="22"/>
      <c r="F43" s="22"/>
      <c r="G43" s="22"/>
      <c r="H43" s="22"/>
      <c r="I43" s="17"/>
    </row>
    <row r="44" ht="24.75" customHeight="1">
      <c r="A44" s="1"/>
      <c r="B44" s="32" t="s">
        <v>55</v>
      </c>
      <c r="C44" s="40">
        <f>'Revenue summary'!H35</f>
        <v>0.043263152873020516</v>
      </c>
      <c r="D44" s="39"/>
      <c r="E44" s="39"/>
      <c r="F44" s="39"/>
      <c r="G44" s="39"/>
      <c r="H44" s="39"/>
      <c r="I44" s="17"/>
    </row>
    <row r="45" ht="13.5" customHeight="1">
      <c r="A45" s="1"/>
      <c r="B45" s="32" t="s">
        <v>56</v>
      </c>
      <c r="C45" s="40">
        <f>'Revenue summary'!H36</f>
        <v>-0.011</v>
      </c>
      <c r="D45" s="39"/>
      <c r="E45" s="39"/>
      <c r="F45" s="39"/>
      <c r="G45" s="39"/>
      <c r="H45" s="39"/>
      <c r="I45" s="17"/>
    </row>
    <row r="46" ht="13.5" customHeight="1">
      <c r="A46" s="1"/>
      <c r="B46" s="32" t="s">
        <v>57</v>
      </c>
      <c r="C46" s="40">
        <f>'Income Statement'!H85</f>
        <v>0.19008211812611286</v>
      </c>
      <c r="D46" s="39"/>
      <c r="E46" s="39"/>
      <c r="F46" s="39"/>
      <c r="G46" s="39"/>
      <c r="H46" s="39"/>
      <c r="I46" s="17"/>
    </row>
    <row r="47" ht="13.5" customHeight="1">
      <c r="A47" s="1"/>
      <c r="B47" s="32" t="s">
        <v>58</v>
      </c>
      <c r="C47" s="40">
        <f>'Income Statement'!H114</f>
        <v>0.15</v>
      </c>
      <c r="D47" s="39"/>
      <c r="E47" s="39"/>
      <c r="F47" s="39"/>
      <c r="G47" s="39"/>
      <c r="H47" s="39"/>
      <c r="I47" s="17"/>
    </row>
    <row r="48" ht="13.5" customHeight="1">
      <c r="A48" s="1"/>
      <c r="B48" s="17" t="s">
        <v>59</v>
      </c>
      <c r="C48" s="23">
        <f>'Share Count'!H10</f>
        <v>954</v>
      </c>
      <c r="D48" s="25"/>
      <c r="E48" s="25"/>
      <c r="F48" s="25"/>
      <c r="G48" s="25"/>
      <c r="H48" s="25"/>
      <c r="I48" s="17"/>
    </row>
    <row r="49" ht="13.5" customHeight="1">
      <c r="A49" s="1"/>
      <c r="B49" s="17" t="s">
        <v>60</v>
      </c>
      <c r="C49" s="23">
        <f>'Cash Flow Statement'!H73</f>
        <v>2924.1501328630375</v>
      </c>
      <c r="D49" s="25"/>
      <c r="E49" s="25"/>
      <c r="F49" s="25"/>
      <c r="G49" s="25"/>
      <c r="H49" s="25"/>
      <c r="I49" s="17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2D37998-5898-EF78-DFB8-F92610CD618E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60.00390625" customWidth="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</row>
    <row r="2" ht="13.5" customHeight="1">
      <c r="A2" s="1"/>
      <c r="B2" s="2" t="s">
        <v>0</v>
      </c>
      <c r="C2" s="1"/>
      <c r="D2" s="1"/>
      <c r="E2" s="1"/>
      <c r="F2" s="1"/>
      <c r="G2" s="1"/>
      <c r="H2" s="1"/>
      <c r="I2" s="1"/>
    </row>
    <row r="3" ht="13.5" customHeight="1">
      <c r="A3" s="1"/>
      <c r="B3" s="3" t="s">
        <v>61</v>
      </c>
      <c r="C3" s="1"/>
      <c r="D3" s="1"/>
      <c r="E3" s="1"/>
      <c r="F3" s="1"/>
      <c r="G3" s="1"/>
      <c r="H3" s="1"/>
      <c r="I3" s="1"/>
    </row>
    <row r="4" ht="13.5" customHeight="1">
      <c r="A4" s="1"/>
      <c r="B4" s="4" t="s">
        <v>2</v>
      </c>
      <c r="C4" s="1"/>
      <c r="D4" s="1"/>
      <c r="E4" s="1"/>
      <c r="F4" s="1"/>
      <c r="G4" s="1"/>
      <c r="H4" s="1"/>
      <c r="I4" s="1"/>
    </row>
    <row r="5" ht="13.5" customHeight="1">
      <c r="A5" s="1"/>
      <c r="B5" s="5" t="s">
        <v>62</v>
      </c>
      <c r="C5" s="6" t="s">
        <v>63</v>
      </c>
      <c r="D5" s="6" t="s">
        <v>64</v>
      </c>
      <c r="E5" s="6" t="s">
        <v>65</v>
      </c>
      <c r="F5" s="6" t="s">
        <v>66</v>
      </c>
      <c r="G5" s="6" t="s">
        <v>67</v>
      </c>
      <c r="H5" s="7" t="s">
        <v>68</v>
      </c>
      <c r="I5" s="5" t="s">
        <v>69</v>
      </c>
    </row>
    <row r="6" ht="13.5" customHeight="1">
      <c r="A6" s="1"/>
      <c r="B6" s="8" t="s">
        <v>70</v>
      </c>
      <c r="C6" s="9">
        <v>45930</v>
      </c>
      <c r="D6" s="9">
        <v>46022</v>
      </c>
      <c r="E6" s="9">
        <v>46022</v>
      </c>
      <c r="F6" s="9">
        <v>46112</v>
      </c>
      <c r="G6" s="9">
        <v>46203</v>
      </c>
      <c r="H6" s="10">
        <v>46295</v>
      </c>
      <c r="I6" s="8"/>
    </row>
    <row r="7" ht="13.5" customHeight="1">
      <c r="A7" s="1"/>
      <c r="B7" s="11" t="s">
        <v>71</v>
      </c>
      <c r="C7" s="12">
        <v>92</v>
      </c>
      <c r="D7" s="12">
        <v>92</v>
      </c>
      <c r="E7" s="12">
        <v>365</v>
      </c>
      <c r="F7" s="12">
        <v>90</v>
      </c>
      <c r="G7" s="12">
        <v>91</v>
      </c>
      <c r="H7" s="13">
        <v>92</v>
      </c>
      <c r="I7" s="11"/>
    </row>
    <row r="8" ht="13.5" customHeight="1">
      <c r="A8" s="1"/>
      <c r="B8" s="1"/>
      <c r="C8" s="1"/>
      <c r="D8" s="1"/>
      <c r="E8" s="1"/>
      <c r="F8" s="1"/>
      <c r="G8" s="1"/>
      <c r="H8" s="41"/>
      <c r="I8" s="1"/>
    </row>
    <row r="9" ht="13.5" customHeight="1">
      <c r="A9" s="1"/>
      <c r="B9" s="14" t="s">
        <v>72</v>
      </c>
      <c r="C9" s="22"/>
      <c r="D9" s="22"/>
      <c r="E9" s="22"/>
      <c r="F9" s="22"/>
      <c r="G9" s="22"/>
      <c r="H9" s="42"/>
      <c r="I9" s="17"/>
    </row>
    <row r="10" ht="13.5" customHeight="1">
      <c r="A10" s="1"/>
      <c r="B10" s="17" t="s">
        <v>73</v>
      </c>
      <c r="C10" s="24">
        <f>'Segment - Software'!C39</f>
        <v>7209</v>
      </c>
      <c r="D10" s="24">
        <f>'Segment - Software'!D39</f>
        <v>9031</v>
      </c>
      <c r="E10" s="24">
        <f>'Segment - Software'!E39</f>
        <v>29962</v>
      </c>
      <c r="F10" s="24">
        <f>'Segment - Software'!F39</f>
        <v>7052</v>
      </c>
      <c r="G10" s="24">
        <f>'Segment - Software'!G39</f>
        <v>7761</v>
      </c>
      <c r="H10" s="23">
        <f>'Segment - Software'!H39</f>
        <v>7634.2294600000005</v>
      </c>
      <c r="I10" s="17"/>
    </row>
    <row r="11" ht="13.5" customHeight="1">
      <c r="A11" s="1"/>
      <c r="B11" s="43" t="s">
        <v>74</v>
      </c>
      <c r="C11" s="38">
        <f>_xlfn.IFERROR(C10/Inputs!C105-1,"n.a.")</f>
        <v>0.10499693439607594</v>
      </c>
      <c r="D11" s="38">
        <f>_xlfn.IFERROR(D10/Inputs!D105-1,"n.a.")</f>
        <v>0.1397021706208985</v>
      </c>
      <c r="E11" s="38">
        <f>_xlfn.IFERROR(E10/Inputs!E105-1,"n.a.")</f>
        <v>0.1062211556211925</v>
      </c>
      <c r="F11" s="38">
        <f>_xlfn.IFERROR(F10/Inputs!F105-1,"n.a.")</f>
        <v>0.11300505050505061</v>
      </c>
      <c r="G11" s="38">
        <f>_xlfn.IFERROR(G10/Inputs!G105-1,"n.a.")</f>
        <v>0.050629484229051114</v>
      </c>
      <c r="H11" s="44">
        <f t="shared" si="2" ref="H11:H32">_xlfn.IFERROR(H10/C10-1,"n.a.")</f>
        <v>0.058985914828686425</v>
      </c>
      <c r="I11" s="17"/>
    </row>
    <row r="12" ht="13.5" customHeight="1">
      <c r="A12" s="1"/>
      <c r="B12" s="43" t="s">
        <v>75</v>
      </c>
      <c r="C12" s="38">
        <f>_xlfn.IFERROR(C10/Inputs!G105-1,"n.a.")</f>
        <v>-0.02409638554216864</v>
      </c>
      <c r="D12" s="39">
        <f t="shared" si="0" ref="D12:H33">_xlfn.IFERROR(D10/C10-1,"n.a.")</f>
        <v>0.25273963101678465</v>
      </c>
      <c r="E12" s="39" t="s">
        <v>38</v>
      </c>
      <c r="F12" s="39">
        <f t="shared" si="3" ref="F12:F33">_xlfn.IFERROR(F10/D10-1,"n.a.")</f>
        <v>-0.2191340936773336</v>
      </c>
      <c r="G12" s="39">
        <f t="shared" si="0"/>
        <v>0.10053885422575148</v>
      </c>
      <c r="H12" s="44">
        <f t="shared" si="0"/>
        <v>-0.01633430485762133</v>
      </c>
      <c r="I12" s="17"/>
    </row>
    <row r="13" ht="13.5" customHeight="1">
      <c r="A13" s="1"/>
      <c r="B13" s="43" t="s">
        <v>76</v>
      </c>
      <c r="C13" s="39">
        <f t="shared" si="1" ref="C13:H13">_xlfn.IFERROR(C10/C31,"n.a.")</f>
        <v>0.4414304084256935</v>
      </c>
      <c r="D13" s="39">
        <f t="shared" si="1"/>
        <v>0.4587524128822513</v>
      </c>
      <c r="E13" s="39">
        <f t="shared" si="1"/>
        <v>0.44365143999407713</v>
      </c>
      <c r="F13" s="39">
        <f t="shared" si="1"/>
        <v>0.44304831312433246</v>
      </c>
      <c r="G13" s="39">
        <f t="shared" si="1"/>
        <v>0.45222002097657615</v>
      </c>
      <c r="H13" s="44">
        <f t="shared" si="1"/>
        <v>0.4530535233222046</v>
      </c>
      <c r="I13" s="17"/>
    </row>
    <row r="14" ht="13.5" customHeight="1">
      <c r="A14" s="1"/>
      <c r="B14" s="17" t="s">
        <v>77</v>
      </c>
      <c r="C14" s="24">
        <f>'Segment - Consulting'!C25</f>
        <v>5324</v>
      </c>
      <c r="D14" s="24">
        <f>'Segment - Consulting'!D25</f>
        <v>5349</v>
      </c>
      <c r="E14" s="24">
        <f>'Segment - Consulting'!E25</f>
        <v>21055</v>
      </c>
      <c r="F14" s="24">
        <f>'Segment - Consulting'!F25</f>
        <v>5272</v>
      </c>
      <c r="G14" s="24">
        <f>'Segment - Consulting'!G25</f>
        <v>5327</v>
      </c>
      <c r="H14" s="23">
        <f>'Segment - Consulting'!H25</f>
        <v>5394.66863</v>
      </c>
      <c r="I14" s="17"/>
    </row>
    <row r="15" ht="13.5" customHeight="1">
      <c r="A15" s="1"/>
      <c r="B15" s="43" t="s">
        <v>74</v>
      </c>
      <c r="C15" s="38">
        <f>_xlfn.IFERROR(C14/Inputs!C106-1,"n.a.")</f>
        <v>0.033385093167701774</v>
      </c>
      <c r="D15" s="38">
        <f>_xlfn.IFERROR(D14/Inputs!D106-1,"n.a.")</f>
        <v>0.033623188405797144</v>
      </c>
      <c r="E15" s="38">
        <f>_xlfn.IFERROR(E14/Inputs!E106-1,"n.a.")</f>
        <v>0.0175430117919968</v>
      </c>
      <c r="F15" s="38">
        <f>_xlfn.IFERROR(F14/Inputs!F106-1,"n.a.")</f>
        <v>0.04025256511444364</v>
      </c>
      <c r="G15" s="38">
        <f>_xlfn.IFERROR(G14/Inputs!G106-1,"n.a.")</f>
        <v>0.00244636808430565</v>
      </c>
      <c r="H15" s="44">
        <f t="shared" si="2"/>
        <v>0.013273596919609387</v>
      </c>
      <c r="I15" s="17"/>
    </row>
    <row r="16" ht="13.5" customHeight="1">
      <c r="A16" s="1"/>
      <c r="B16" s="43" t="s">
        <v>75</v>
      </c>
      <c r="C16" s="38">
        <f>_xlfn.IFERROR(C14/Inputs!G106-1,"n.a.")</f>
        <v>0.0018818216033120727</v>
      </c>
      <c r="D16" s="39">
        <f t="shared" si="0"/>
        <v>0.0046957175056348</v>
      </c>
      <c r="E16" s="39" t="s">
        <v>38</v>
      </c>
      <c r="F16" s="39">
        <f t="shared" si="3"/>
        <v>-0.014395214058702588</v>
      </c>
      <c r="G16" s="39">
        <f t="shared" si="0"/>
        <v>0.010432473444613066</v>
      </c>
      <c r="H16" s="44">
        <f t="shared" si="0"/>
        <v>0.01270295288154677</v>
      </c>
      <c r="I16" s="17"/>
    </row>
    <row r="17" ht="13.5" customHeight="1">
      <c r="A17" s="1"/>
      <c r="B17" s="43" t="s">
        <v>76</v>
      </c>
      <c r="C17" s="39">
        <f t="shared" si="4" ref="C17:H17">_xlfn.IFERROR(C14/C31,"n.a.")</f>
        <v>0.32600575592431574</v>
      </c>
      <c r="D17" s="39">
        <f t="shared" si="4"/>
        <v>0.2717159402621152</v>
      </c>
      <c r="E17" s="39">
        <f t="shared" si="4"/>
        <v>0.31176427037832233</v>
      </c>
      <c r="F17" s="39">
        <f t="shared" si="4"/>
        <v>0.3312181943833637</v>
      </c>
      <c r="G17" s="39">
        <f t="shared" si="4"/>
        <v>0.31039505885094976</v>
      </c>
      <c r="H17" s="44">
        <f t="shared" si="4"/>
        <v>0.32014673422945167</v>
      </c>
      <c r="I17" s="17"/>
    </row>
    <row r="18" ht="13.5" customHeight="1">
      <c r="A18" s="1"/>
      <c r="B18" s="17" t="s">
        <v>78</v>
      </c>
      <c r="C18" s="24">
        <f>'Segment - Infrastructure'!C44</f>
        <v>3559</v>
      </c>
      <c r="D18" s="24">
        <f>'Segment - Infrastructure'!D44</f>
        <v>5132</v>
      </c>
      <c r="E18" s="24">
        <f>'Segment - Infrastructure'!E44</f>
        <v>15718</v>
      </c>
      <c r="F18" s="24">
        <f>'Segment - Infrastructure'!F44</f>
        <v>3326</v>
      </c>
      <c r="G18" s="24">
        <f>'Segment - Infrastructure'!G44</f>
        <v>3835</v>
      </c>
      <c r="H18" s="23">
        <f>'Segment - Infrastructure'!H44</f>
        <v>3587.734020784314</v>
      </c>
      <c r="I18" s="17"/>
    </row>
    <row r="19" ht="13.5" customHeight="1">
      <c r="A19" s="1"/>
      <c r="B19" s="43" t="s">
        <v>74</v>
      </c>
      <c r="C19" s="38">
        <f>_xlfn.IFERROR(C18/Inputs!C107-1,"n.a.")</f>
        <v>0.16995397764628528</v>
      </c>
      <c r="D19" s="38">
        <f>_xlfn.IFERROR(D18/Inputs!D107-1,"n.a.")</f>
        <v>0.20582706766917291</v>
      </c>
      <c r="E19" s="38">
        <f>_xlfn.IFERROR(E18/Inputs!E107-1,"n.a.")</f>
        <v>0.12111269614835951</v>
      </c>
      <c r="F19" s="38">
        <f>_xlfn.IFERROR(F18/Inputs!F107-1,"n.a.")</f>
        <v>0.15246015246015254</v>
      </c>
      <c r="G19" s="38">
        <f>_xlfn.IFERROR(G18/Inputs!G107-1,"n.a.")</f>
        <v>-0.07411878319652343</v>
      </c>
      <c r="H19" s="44">
        <f t="shared" si="2"/>
        <v>0.008073622024252325</v>
      </c>
      <c r="I19" s="17"/>
    </row>
    <row r="20" ht="13.5" customHeight="1">
      <c r="A20" s="1"/>
      <c r="B20" s="43" t="s">
        <v>75</v>
      </c>
      <c r="C20" s="38">
        <f>_xlfn.IFERROR(C18/Inputs!G107-1,"n.a.")</f>
        <v>-0.14075325929502658</v>
      </c>
      <c r="D20" s="39">
        <f t="shared" si="0"/>
        <v>0.44197808373138514</v>
      </c>
      <c r="E20" s="39" t="s">
        <v>38</v>
      </c>
      <c r="F20" s="39">
        <f t="shared" si="3"/>
        <v>-0.35190958690568974</v>
      </c>
      <c r="G20" s="39">
        <f t="shared" si="0"/>
        <v>0.1530366806975345</v>
      </c>
      <c r="H20" s="44">
        <f t="shared" si="0"/>
        <v>-0.06447613538870556</v>
      </c>
      <c r="I20" s="17"/>
    </row>
    <row r="21" ht="13.5" customHeight="1">
      <c r="A21" s="1"/>
      <c r="B21" s="43" t="s">
        <v>76</v>
      </c>
      <c r="C21" s="39">
        <f t="shared" si="5" ref="C21:H21">_xlfn.IFERROR(C18/C31,"n.a.")</f>
        <v>0.21792909191108933</v>
      </c>
      <c r="D21" s="39">
        <f t="shared" si="5"/>
        <v>0.26069287818754444</v>
      </c>
      <c r="E21" s="39">
        <f t="shared" si="5"/>
        <v>0.23273857999555786</v>
      </c>
      <c r="F21" s="39">
        <f t="shared" si="5"/>
        <v>0.2089589746811585</v>
      </c>
      <c r="G21" s="39">
        <f t="shared" si="5"/>
        <v>0.22345880433515908</v>
      </c>
      <c r="H21" s="44">
        <f t="shared" si="5"/>
        <v>0.2129141581839843</v>
      </c>
      <c r="I21" s="17"/>
    </row>
    <row r="22" ht="13.5" customHeight="1">
      <c r="A22" s="1"/>
      <c r="B22" s="17" t="s">
        <v>79</v>
      </c>
      <c r="C22" s="24">
        <f>'Segment - Financing'!C21</f>
        <v>200</v>
      </c>
      <c r="D22" s="24">
        <f>'Segment - Financing'!D21</f>
        <v>179</v>
      </c>
      <c r="E22" s="24">
        <f>'Segment - Financing'!E21</f>
        <v>737</v>
      </c>
      <c r="F22" s="24">
        <f>'Segment - Financing'!F21</f>
        <v>220</v>
      </c>
      <c r="G22" s="24">
        <f>'Segment - Financing'!G21</f>
        <v>186</v>
      </c>
      <c r="H22" s="23">
        <f>'Segment - Financing'!H21</f>
        <v>188.980602739726</v>
      </c>
      <c r="I22" s="17"/>
    </row>
    <row r="23" ht="13.5" customHeight="1">
      <c r="A23" s="1"/>
      <c r="B23" s="43" t="s">
        <v>74</v>
      </c>
      <c r="C23" s="38">
        <f>_xlfn.IFERROR(C22/Inputs!C108-1,"n.a.")</f>
        <v>0.1049723756906078</v>
      </c>
      <c r="D23" s="38">
        <f>_xlfn.IFERROR(D22/Inputs!D108-1,"n.a.")</f>
        <v>0.05294117647058827</v>
      </c>
      <c r="E23" s="38">
        <f>_xlfn.IFERROR(E22/Inputs!E108-1,"n.a.")</f>
        <v>0.033660589060308554</v>
      </c>
      <c r="F23" s="38">
        <f>_xlfn.IFERROR(F22/Inputs!F108-1,"n.a.")</f>
        <v>0.1518324607329844</v>
      </c>
      <c r="G23" s="38">
        <f>_xlfn.IFERROR(G22/Inputs!G108-1,"n.a.")</f>
        <v>0.12048192771084332</v>
      </c>
      <c r="H23" s="44">
        <f t="shared" si="2"/>
        <v>-0.05509698630136994</v>
      </c>
      <c r="I23" s="17"/>
    </row>
    <row r="24" ht="13.5" customHeight="1">
      <c r="A24" s="1"/>
      <c r="B24" s="43" t="s">
        <v>75</v>
      </c>
      <c r="C24" s="38">
        <f>_xlfn.IFERROR(C22/Inputs!G108-1,"n.a.")</f>
        <v>0.20481927710843384</v>
      </c>
      <c r="D24" s="39">
        <f t="shared" si="0"/>
        <v>-0.10499999999999998</v>
      </c>
      <c r="E24" s="39" t="s">
        <v>38</v>
      </c>
      <c r="F24" s="39">
        <f t="shared" si="3"/>
        <v>0.22905027932960897</v>
      </c>
      <c r="G24" s="39">
        <f t="shared" si="0"/>
        <v>-0.15454545454545454</v>
      </c>
      <c r="H24" s="44">
        <f t="shared" si="0"/>
        <v>0.016024745912505356</v>
      </c>
      <c r="I24" s="17"/>
    </row>
    <row r="25" ht="13.5" customHeight="1">
      <c r="A25" s="1"/>
      <c r="B25" s="43" t="s">
        <v>76</v>
      </c>
      <c r="C25" s="39">
        <f t="shared" si="6" ref="C25:H25">_xlfn.IFERROR(C22/C31,"n.a.")</f>
        <v>0.012246647480252282</v>
      </c>
      <c r="D25" s="39">
        <f t="shared" si="6"/>
        <v>0.009092756273493853</v>
      </c>
      <c r="E25" s="39">
        <f t="shared" si="6"/>
        <v>0.010912859998519287</v>
      </c>
      <c r="F25" s="39">
        <f t="shared" si="6"/>
        <v>0.013821700069108501</v>
      </c>
      <c r="G25" s="39">
        <f t="shared" si="6"/>
        <v>0.01083789768092297</v>
      </c>
      <c r="H25" s="44">
        <f t="shared" si="6"/>
        <v>0.01121505822681766</v>
      </c>
      <c r="I25" s="17"/>
    </row>
    <row r="26" ht="24.75" customHeight="1">
      <c r="A26" s="1"/>
      <c r="B26" s="17" t="s">
        <v>80</v>
      </c>
      <c r="C26" s="45">
        <v>38</v>
      </c>
      <c r="D26" s="45">
        <v>-5</v>
      </c>
      <c r="E26" s="45">
        <v>63</v>
      </c>
      <c r="F26" s="45">
        <v>48</v>
      </c>
      <c r="G26" s="45">
        <v>52</v>
      </c>
      <c r="H26" s="46">
        <v>45</v>
      </c>
      <c r="I26" s="32" t="s">
        <v>81</v>
      </c>
    </row>
    <row r="27" ht="13.5" customHeight="1">
      <c r="A27" s="1"/>
      <c r="B27" s="43" t="s">
        <v>74</v>
      </c>
      <c r="C27" s="38">
        <f>_xlfn.IFERROR(C26/Inputs!C109-1,"n.a.")</f>
        <v>-0.4411764705882353</v>
      </c>
      <c r="D27" s="38">
        <f>_xlfn.IFERROR(D26/Inputs!D109-1,"n.a.")</f>
        <v>-1.1724137931034484</v>
      </c>
      <c r="E27" s="38">
        <f>_xlfn.IFERROR(E26/Inputs!E109-1,"n.a.")</f>
        <v>-0.7407407407407407</v>
      </c>
      <c r="F27" s="38">
        <f>_xlfn.IFERROR(F26/Inputs!F109-1,"n.a.")</f>
        <v>-0.21311475409836067</v>
      </c>
      <c r="G27" s="38">
        <f>_xlfn.IFERROR(G26/Inputs!G109-1,"n.a.")</f>
        <v>-2.67741935483871</v>
      </c>
      <c r="H27" s="44">
        <f t="shared" si="2"/>
        <v>0.18421052631578938</v>
      </c>
      <c r="I27" s="17"/>
    </row>
    <row r="28" ht="13.5" customHeight="1">
      <c r="A28" s="1"/>
      <c r="B28" s="43" t="s">
        <v>75</v>
      </c>
      <c r="C28" s="38">
        <f>_xlfn.IFERROR(C26/Inputs!G109-1,"n.a.")</f>
        <v>-2.225806451612903</v>
      </c>
      <c r="D28" s="39">
        <f t="shared" si="0"/>
        <v>-1.131578947368421</v>
      </c>
      <c r="E28" s="39" t="s">
        <v>38</v>
      </c>
      <c r="F28" s="39">
        <f t="shared" si="3"/>
        <v>-10.6</v>
      </c>
      <c r="G28" s="39">
        <f t="shared" si="0"/>
        <v>0.08333333333333326</v>
      </c>
      <c r="H28" s="44">
        <f t="shared" si="0"/>
        <v>-0.13461538461538458</v>
      </c>
      <c r="I28" s="17"/>
    </row>
    <row r="29" ht="13.5" customHeight="1">
      <c r="A29" s="1"/>
      <c r="B29" s="43" t="s">
        <v>76</v>
      </c>
      <c r="C29" s="39">
        <f t="shared" si="7" ref="C29:H29">_xlfn.IFERROR(C26/C31,"n.a.")</f>
        <v>0.0023268630212479333</v>
      </c>
      <c r="D29" s="39">
        <f t="shared" si="7"/>
        <v>-0.00025398760540485624</v>
      </c>
      <c r="E29" s="39">
        <f t="shared" si="7"/>
        <v>0.0009328496335233583</v>
      </c>
      <c r="F29" s="39">
        <f t="shared" si="7"/>
        <v>0.0030156436514418546</v>
      </c>
      <c r="G29" s="39">
        <f t="shared" si="7"/>
        <v>0.0030299498892902925</v>
      </c>
      <c r="H29" s="44">
        <f t="shared" si="7"/>
        <v>0.0026705260375418697</v>
      </c>
      <c r="I29" s="17"/>
    </row>
    <row r="30" ht="24.75" customHeight="1">
      <c r="A30" s="1"/>
      <c r="B30" s="32" t="s">
        <v>82</v>
      </c>
      <c r="C30" s="47">
        <f t="shared" si="8" ref="C30:G30">C41-(C10+C14+C18+C22+C26)</f>
        <v>1</v>
      </c>
      <c r="D30" s="47">
        <f t="shared" si="8"/>
        <v>0</v>
      </c>
      <c r="E30" s="47">
        <f t="shared" si="8"/>
        <v>0</v>
      </c>
      <c r="F30" s="47">
        <f t="shared" si="8"/>
        <v>-1</v>
      </c>
      <c r="G30" s="47">
        <f t="shared" si="8"/>
        <v>1</v>
      </c>
      <c r="H30" s="48">
        <v>0</v>
      </c>
      <c r="I30" s="32" t="s">
        <v>83</v>
      </c>
    </row>
    <row r="31" ht="13.5" customHeight="1">
      <c r="A31" s="1"/>
      <c r="B31" s="14" t="s">
        <v>84</v>
      </c>
      <c r="C31" s="49">
        <f t="shared" si="9" ref="C31:H31">C10+C14+C18+C22+C26+C30</f>
        <v>16331</v>
      </c>
      <c r="D31" s="49">
        <f t="shared" si="9"/>
        <v>19686</v>
      </c>
      <c r="E31" s="49">
        <f t="shared" si="9"/>
        <v>67535</v>
      </c>
      <c r="F31" s="49">
        <f t="shared" si="9"/>
        <v>15917</v>
      </c>
      <c r="G31" s="49">
        <f t="shared" si="9"/>
        <v>17162</v>
      </c>
      <c r="H31" s="50">
        <f t="shared" si="9"/>
        <v>16850.61271352404</v>
      </c>
      <c r="I31" s="17"/>
    </row>
    <row r="32" ht="13.5" customHeight="1">
      <c r="A32" s="1"/>
      <c r="B32" s="43" t="s">
        <v>74</v>
      </c>
      <c r="C32" s="38">
        <f>_xlfn.IFERROR(C31/Inputs!C104-1,"n.a.")</f>
        <v>0.09106092998396575</v>
      </c>
      <c r="D32" s="38">
        <f>_xlfn.IFERROR(D31/Inputs!D104-1,"n.a.")</f>
        <v>0.12151768928388318</v>
      </c>
      <c r="E32" s="38">
        <f>_xlfn.IFERROR(E31/Inputs!E104-1,"n.a.")</f>
        <v>0.07620352811817765</v>
      </c>
      <c r="F32" s="38">
        <f>_xlfn.IFERROR(F31/Inputs!F104-1,"n.a.")</f>
        <v>0.09462898012516341</v>
      </c>
      <c r="G32" s="38">
        <f>_xlfn.IFERROR(G31/Inputs!G104-1,"n.a.")</f>
        <v>0.010897096071155188</v>
      </c>
      <c r="H32" s="44">
        <f t="shared" si="2"/>
        <v>0.03181756864393104</v>
      </c>
      <c r="I32" s="17"/>
    </row>
    <row r="33" ht="13.5" customHeight="1">
      <c r="A33" s="1"/>
      <c r="B33" s="43" t="s">
        <v>75</v>
      </c>
      <c r="C33" s="38">
        <f>_xlfn.IFERROR(C31/Inputs!G104-1,"n.a.")</f>
        <v>-0.03805148141603343</v>
      </c>
      <c r="D33" s="39">
        <f t="shared" si="0"/>
        <v>0.2054375114812319</v>
      </c>
      <c r="E33" s="39" t="s">
        <v>38</v>
      </c>
      <c r="F33" s="39">
        <f t="shared" si="3"/>
        <v>-0.19145585695418066</v>
      </c>
      <c r="G33" s="39">
        <f t="shared" si="0"/>
        <v>0.07821825720927311</v>
      </c>
      <c r="H33" s="44">
        <f t="shared" si="0"/>
        <v>-0.018143997580466253</v>
      </c>
      <c r="I33" s="17"/>
    </row>
    <row r="34" ht="13.5" customHeight="1">
      <c r="A34" s="1"/>
      <c r="B34" s="43" t="s">
        <v>85</v>
      </c>
      <c r="C34" s="51">
        <f>IF(ISNUMBER(Inputs!G104),C31-Inputs!G104,"n.a.")</f>
        <v>-646</v>
      </c>
      <c r="D34" s="47">
        <f t="shared" si="10" ref="D34:H34">D31-C31</f>
        <v>3355</v>
      </c>
      <c r="E34" s="47" t="s">
        <v>38</v>
      </c>
      <c r="F34" s="47">
        <f>F31-D31</f>
        <v>-3769</v>
      </c>
      <c r="G34" s="47">
        <f t="shared" si="10"/>
        <v>1245</v>
      </c>
      <c r="H34" s="52">
        <f t="shared" si="10"/>
        <v>-311.38728647596145</v>
      </c>
      <c r="I34" s="17"/>
    </row>
    <row r="35" ht="24.75" customHeight="1">
      <c r="A35" s="1"/>
      <c r="B35" s="43" t="s">
        <v>86</v>
      </c>
      <c r="C35" s="53">
        <v>0.07</v>
      </c>
      <c r="D35" s="53">
        <v>0.09</v>
      </c>
      <c r="E35" s="53">
        <v>0.06</v>
      </c>
      <c r="F35" s="53">
        <v>0.06</v>
      </c>
      <c r="G35" s="53">
        <v>0.01</v>
      </c>
      <c r="H35" s="40">
        <f>(C10*(1+'Segment - Software'!H42)+C14*(1+'Segment - Consulting'!H28)+C18*(1+'Segment - Infrastructure'!H47)+C22*(1+'Segment - Financing'!H24)+H26)/C31-1</f>
        <v>0.043263152873020516</v>
      </c>
      <c r="I35" s="17"/>
    </row>
    <row r="36" ht="36" customHeight="1">
      <c r="A36" s="1"/>
      <c r="B36" s="43" t="s">
        <v>87</v>
      </c>
      <c r="C36" s="39">
        <f t="shared" si="11" ref="C36:G36">_xlfn.IFERROR((1+C32)/(1+C35)-1,"n.a.")</f>
        <v>0.01968311213454732</v>
      </c>
      <c r="D36" s="39">
        <f t="shared" si="11"/>
        <v>0.02891531126961744</v>
      </c>
      <c r="E36" s="39">
        <f t="shared" si="11"/>
        <v>0.015286347281299628</v>
      </c>
      <c r="F36" s="39">
        <f t="shared" si="11"/>
        <v>0.03266884917468249</v>
      </c>
      <c r="G36" s="39">
        <f t="shared" si="11"/>
        <v>0.000888213931836912</v>
      </c>
      <c r="H36" s="54">
        <v>-0.011</v>
      </c>
      <c r="I36" s="32" t="s">
        <v>88</v>
      </c>
    </row>
    <row r="37" ht="24.75" customHeight="1">
      <c r="A37" s="1"/>
      <c r="B37" s="43" t="s">
        <v>89</v>
      </c>
      <c r="C37" s="39" t="s">
        <v>38</v>
      </c>
      <c r="D37" s="39" t="s">
        <v>38</v>
      </c>
      <c r="E37" s="39" t="s">
        <v>38</v>
      </c>
      <c r="F37" s="39" t="s">
        <v>38</v>
      </c>
      <c r="G37" s="39" t="s">
        <v>38</v>
      </c>
      <c r="H37" s="40">
        <f>(1+H35)/((C10*(1+'Segment - Software'!H46)+C14*(1+'Segment - Consulting'!H31)+C18*(1+'Segment - Infrastructure'!H50)+C22*(1+'Segment - Financing'!H27)+H26)/C31)-1</f>
        <v>0.019201329786800114</v>
      </c>
      <c r="I37" s="17"/>
    </row>
    <row r="38" ht="13.5" customHeight="1">
      <c r="A38" s="1"/>
      <c r="B38" s="43" t="s">
        <v>90</v>
      </c>
      <c r="C38" s="39" t="str">
        <f t="shared" si="12" ref="C38:H38">IF(AND(ISNUMBER(C32),ISNUMBER(C37),ISNUMBER(C36)),(1+C32)/((1+C37)*(1+C36))-1,"n.a.")</f>
        <v>n.a.</v>
      </c>
      <c r="D38" s="39" t="str">
        <f t="shared" si="12"/>
        <v>n.a.</v>
      </c>
      <c r="E38" s="39" t="str">
        <f t="shared" si="12"/>
        <v>n.a.</v>
      </c>
      <c r="F38" s="39" t="str">
        <f t="shared" si="12"/>
        <v>n.a.</v>
      </c>
      <c r="G38" s="39" t="str">
        <f t="shared" si="12"/>
        <v>n.a.</v>
      </c>
      <c r="H38" s="44">
        <f t="shared" si="12"/>
        <v>0.023638578520210674</v>
      </c>
      <c r="I38" s="17"/>
    </row>
    <row r="39" ht="13.5" customHeight="1">
      <c r="A39" s="1"/>
      <c r="B39" s="17"/>
      <c r="C39" s="20"/>
      <c r="D39" s="20"/>
      <c r="E39" s="20"/>
      <c r="F39" s="20"/>
      <c r="G39" s="20"/>
      <c r="H39" s="55"/>
      <c r="I39" s="17"/>
    </row>
    <row r="40" ht="13.5" customHeight="1">
      <c r="A40" s="1"/>
      <c r="B40" s="14" t="s">
        <v>91</v>
      </c>
      <c r="C40" s="22"/>
      <c r="D40" s="22"/>
      <c r="E40" s="22"/>
      <c r="F40" s="22"/>
      <c r="G40" s="22"/>
      <c r="H40" s="42"/>
      <c r="I40" s="17"/>
    </row>
    <row r="41" ht="24.75" customHeight="1">
      <c r="A41" s="1"/>
      <c r="B41" s="17" t="s">
        <v>92</v>
      </c>
      <c r="C41" s="24">
        <f>Inputs!I87</f>
        <v>16331</v>
      </c>
      <c r="D41" s="24">
        <f>Inputs!I88</f>
        <v>19686</v>
      </c>
      <c r="E41" s="24">
        <f>SUM(Inputs!I85:I88)</f>
        <v>67535</v>
      </c>
      <c r="F41" s="24">
        <f>Inputs!I89</f>
        <v>15917</v>
      </c>
      <c r="G41" s="24">
        <f>Inputs!I90</f>
        <v>17162</v>
      </c>
      <c r="H41" s="56"/>
      <c r="I41" s="17"/>
    </row>
    <row r="42" ht="24.75" customHeight="1">
      <c r="A42" s="1"/>
      <c r="B42" s="17" t="s">
        <v>93</v>
      </c>
      <c r="C42" s="19" t="b">
        <f t="shared" si="13" ref="C42:G42">AND(ABS(C30)&lt;=1,ABS(C31-C41)&lt;0.001)</f>
        <v>1</v>
      </c>
      <c r="D42" s="19" t="b">
        <f t="shared" si="13"/>
        <v>1</v>
      </c>
      <c r="E42" s="19" t="b">
        <f t="shared" si="13"/>
        <v>1</v>
      </c>
      <c r="F42" s="19" t="b">
        <f t="shared" si="13"/>
        <v>1</v>
      </c>
      <c r="G42" s="19" t="b">
        <f t="shared" si="13"/>
        <v>1</v>
      </c>
      <c r="H42" s="57" t="b">
        <f>ABS(H31-SUM(H10,H14,H18,H22,H26))&lt;0.001</f>
        <v>1</v>
      </c>
      <c r="I42" s="32" t="s">
        <v>94</v>
      </c>
    </row>
    <row r="43" ht="24.75" customHeight="1">
      <c r="A43" s="1"/>
      <c r="B43" s="17" t="s">
        <v>95</v>
      </c>
      <c r="C43" s="19"/>
      <c r="D43" s="19"/>
      <c r="E43" s="30" t="b">
        <f>ABS(E31-SUM(Inputs!I85:I88))&lt;0.001</f>
        <v>1</v>
      </c>
      <c r="F43" s="19"/>
      <c r="G43" s="19"/>
      <c r="H43" s="57"/>
      <c r="I43" s="17"/>
    </row>
    <row r="44" ht="24.75" customHeight="1">
      <c r="A44" s="1"/>
      <c r="B44" s="17" t="s">
        <v>96</v>
      </c>
      <c r="C44" s="25"/>
      <c r="D44" s="25"/>
      <c r="E44" s="25"/>
      <c r="F44" s="25"/>
      <c r="G44" s="25"/>
      <c r="H44" s="23">
        <f>Inputs!C42</f>
        <v>16842.96</v>
      </c>
      <c r="I44" s="17"/>
    </row>
    <row r="45" ht="13.5" customHeight="1">
      <c r="A45" s="1"/>
      <c r="B45" s="58" t="s">
        <v>97</v>
      </c>
      <c r="C45" s="25"/>
      <c r="D45" s="25"/>
      <c r="E45" s="25"/>
      <c r="F45" s="25"/>
      <c r="G45" s="25"/>
      <c r="H45" s="56">
        <f>H31-H44</f>
        <v>7.652713524039427</v>
      </c>
      <c r="I45" s="17"/>
    </row>
    <row r="46" ht="24.75" customHeight="1">
      <c r="A46" s="1"/>
      <c r="B46" s="17" t="s">
        <v>98</v>
      </c>
      <c r="C46" s="19"/>
      <c r="D46" s="19"/>
      <c r="E46" s="19"/>
      <c r="F46" s="19"/>
      <c r="G46" s="19"/>
      <c r="H46" s="57"/>
      <c r="I46" s="17"/>
    </row>
    <row r="47" ht="13.5" customHeight="1">
      <c r="A47" s="1"/>
      <c r="B47" s="17"/>
      <c r="C47" s="20"/>
      <c r="D47" s="20"/>
      <c r="E47" s="20"/>
      <c r="F47" s="20"/>
      <c r="G47" s="20"/>
      <c r="H47" s="55"/>
      <c r="I47" s="17"/>
    </row>
    <row r="48" ht="24.75" customHeight="1">
      <c r="A48" s="1"/>
      <c r="B48" s="14" t="s">
        <v>99</v>
      </c>
      <c r="C48" s="22"/>
      <c r="D48" s="22"/>
      <c r="E48" s="22"/>
      <c r="F48" s="22"/>
      <c r="G48" s="22"/>
      <c r="H48" s="42"/>
      <c r="I48" s="17"/>
    </row>
    <row r="49" ht="13.5" customHeight="1">
      <c r="A49" s="1"/>
      <c r="B49" s="17" t="s">
        <v>100</v>
      </c>
      <c r="C49" s="24">
        <f>Inputs!G162</f>
        <v>66000</v>
      </c>
      <c r="D49" s="25">
        <f t="shared" si="14" ref="D49:H49">C51</f>
        <v>64000</v>
      </c>
      <c r="E49" s="25" t="s">
        <v>38</v>
      </c>
      <c r="F49" s="25">
        <f>D51</f>
        <v>71000</v>
      </c>
      <c r="G49" s="25">
        <f t="shared" si="14"/>
        <v>69000</v>
      </c>
      <c r="H49" s="56">
        <f t="shared" si="14"/>
        <v>68000</v>
      </c>
      <c r="I49" s="32" t="s">
        <v>101</v>
      </c>
    </row>
    <row r="50" ht="24.75" customHeight="1">
      <c r="A50" s="1"/>
      <c r="B50" s="58" t="s">
        <v>102</v>
      </c>
      <c r="C50" s="19" t="s">
        <v>38</v>
      </c>
      <c r="D50" s="19" t="s">
        <v>38</v>
      </c>
      <c r="E50" s="19" t="s">
        <v>38</v>
      </c>
      <c r="F50" s="19" t="s">
        <v>38</v>
      </c>
      <c r="G50" s="19" t="s">
        <v>38</v>
      </c>
      <c r="H50" s="57" t="s">
        <v>38</v>
      </c>
      <c r="I50" s="17"/>
    </row>
    <row r="51" ht="13.5" customHeight="1">
      <c r="A51" s="1"/>
      <c r="B51" s="14" t="s">
        <v>103</v>
      </c>
      <c r="C51" s="59">
        <v>64000</v>
      </c>
      <c r="D51" s="59">
        <v>71000</v>
      </c>
      <c r="E51" s="49">
        <f t="shared" si="17" ref="E51:E55">D51</f>
        <v>71000</v>
      </c>
      <c r="F51" s="59">
        <v>69000</v>
      </c>
      <c r="G51" s="59">
        <v>68000</v>
      </c>
      <c r="H51" s="50" t="s">
        <v>38</v>
      </c>
      <c r="I51" s="32" t="s">
        <v>104</v>
      </c>
    </row>
    <row r="52" ht="24.75" customHeight="1">
      <c r="A52" s="1"/>
      <c r="B52" s="43" t="s">
        <v>105</v>
      </c>
      <c r="C52" s="47" t="s">
        <v>38</v>
      </c>
      <c r="D52" s="47" t="s">
        <v>38</v>
      </c>
      <c r="E52" s="47" t="s">
        <v>38</v>
      </c>
      <c r="F52" s="47" t="s">
        <v>38</v>
      </c>
      <c r="G52" s="51">
        <f>G51-Inputs!G162</f>
        <v>2000</v>
      </c>
      <c r="H52" s="52" t="s">
        <v>38</v>
      </c>
      <c r="I52" s="32" t="s">
        <v>106</v>
      </c>
    </row>
    <row r="53" ht="13.5" customHeight="1">
      <c r="A53" s="1"/>
      <c r="B53" s="58" t="s">
        <v>107</v>
      </c>
      <c r="C53" s="25">
        <f t="shared" si="15" ref="C53:H53">_xlfn.IFERROR(C51-C49,"n.a.")</f>
        <v>-2000</v>
      </c>
      <c r="D53" s="25">
        <f t="shared" si="15"/>
        <v>7000</v>
      </c>
      <c r="E53" s="25" t="str">
        <f t="shared" si="15"/>
        <v>n.a.</v>
      </c>
      <c r="F53" s="25">
        <f t="shared" si="15"/>
        <v>-2000</v>
      </c>
      <c r="G53" s="25">
        <f t="shared" si="15"/>
        <v>-1000</v>
      </c>
      <c r="H53" s="56" t="str">
        <f t="shared" si="15"/>
        <v>n.a.</v>
      </c>
      <c r="I53" s="17"/>
    </row>
    <row r="54" ht="13.5" customHeight="1">
      <c r="A54" s="1"/>
      <c r="B54" s="58" t="s">
        <v>108</v>
      </c>
      <c r="C54" s="25">
        <f t="shared" si="16" ref="C54:H54">IF(AND(ISNUMBER(C51),ISNUMBER(C49)),AVERAGE(C51,C49),"n.a.")</f>
        <v>65000</v>
      </c>
      <c r="D54" s="25">
        <f t="shared" si="16"/>
        <v>67500</v>
      </c>
      <c r="E54" s="25" t="str">
        <f t="shared" si="16"/>
        <v>n.a.</v>
      </c>
      <c r="F54" s="25">
        <f t="shared" si="16"/>
        <v>70000</v>
      </c>
      <c r="G54" s="25">
        <f t="shared" si="16"/>
        <v>68500</v>
      </c>
      <c r="H54" s="56" t="str">
        <f t="shared" si="16"/>
        <v>n.a.</v>
      </c>
      <c r="I54" s="17"/>
    </row>
    <row r="55" ht="13.5" customHeight="1">
      <c r="A55" s="1"/>
      <c r="B55" s="43" t="s">
        <v>109</v>
      </c>
      <c r="C55" s="53">
        <v>0.68</v>
      </c>
      <c r="D55" s="53">
        <v>0.67</v>
      </c>
      <c r="E55" s="39">
        <f t="shared" si="17"/>
        <v>0.67</v>
      </c>
      <c r="F55" s="53">
        <v>0.69</v>
      </c>
      <c r="G55" s="53">
        <v>0.69</v>
      </c>
      <c r="H55" s="44" t="s">
        <v>38</v>
      </c>
      <c r="I55" s="17"/>
    </row>
    <row r="56" ht="13.5" customHeight="1">
      <c r="A56" s="1"/>
      <c r="B56" s="60" t="s">
        <v>110</v>
      </c>
      <c r="C56" s="61">
        <f>(C55-Inputs!G163)*10000</f>
        <v>-99.99999999999898</v>
      </c>
      <c r="D56" s="62">
        <f t="shared" si="18" ref="D56:G56">(D55-C55)*10000</f>
        <v>-100.00000000000009</v>
      </c>
      <c r="E56" s="62" t="s">
        <v>38</v>
      </c>
      <c r="F56" s="62">
        <f>(F55-D55)*10000</f>
        <v>199.99999999999906</v>
      </c>
      <c r="G56" s="62">
        <f t="shared" si="18"/>
        <v>0</v>
      </c>
      <c r="H56" s="63" t="s">
        <v>38</v>
      </c>
      <c r="I56" s="17"/>
    </row>
    <row r="57" ht="24.75" customHeight="1">
      <c r="A57" s="1"/>
      <c r="B57" s="60" t="s">
        <v>111</v>
      </c>
      <c r="C57" s="62" t="s">
        <v>38</v>
      </c>
      <c r="D57" s="62" t="s">
        <v>38</v>
      </c>
      <c r="E57" s="62" t="s">
        <v>38</v>
      </c>
      <c r="F57" s="62" t="s">
        <v>38</v>
      </c>
      <c r="G57" s="61">
        <f>(G55-Inputs!G163)*10000</f>
        <v>0</v>
      </c>
      <c r="H57" s="63" t="s">
        <v>38</v>
      </c>
      <c r="I57" s="32" t="s">
        <v>112</v>
      </c>
    </row>
    <row r="58" ht="13.5" customHeight="1">
      <c r="A58" s="1"/>
      <c r="B58" s="58" t="s">
        <v>113</v>
      </c>
      <c r="C58" s="25">
        <f t="shared" si="19" ref="C58:H58">_xlfn.IFERROR(C51*C55,"n.a.")</f>
        <v>43520</v>
      </c>
      <c r="D58" s="25">
        <f t="shared" si="19"/>
        <v>47570</v>
      </c>
      <c r="E58" s="25">
        <f t="shared" si="19"/>
        <v>47570</v>
      </c>
      <c r="F58" s="25">
        <f t="shared" si="19"/>
        <v>47609.99999999999</v>
      </c>
      <c r="G58" s="25">
        <f t="shared" si="19"/>
        <v>46920</v>
      </c>
      <c r="H58" s="56" t="str">
        <f t="shared" si="19"/>
        <v>n.a.</v>
      </c>
      <c r="I58" s="17"/>
    </row>
    <row r="59" ht="40.5" customHeight="1">
      <c r="A59" s="1"/>
      <c r="B59" s="58" t="s">
        <v>114</v>
      </c>
      <c r="C59" s="64">
        <f t="shared" si="20" ref="C59:H59">_xlfn.IFERROR(C51/C31,"n.a.")</f>
        <v>3.9189271936807297</v>
      </c>
      <c r="D59" s="64">
        <f t="shared" si="20"/>
        <v>3.606623996748959</v>
      </c>
      <c r="E59" s="64">
        <f t="shared" si="20"/>
        <v>1.0513067298437848</v>
      </c>
      <c r="F59" s="64">
        <f t="shared" si="20"/>
        <v>4.334987748947666</v>
      </c>
      <c r="G59" s="64">
        <f t="shared" si="20"/>
        <v>3.962242162918075</v>
      </c>
      <c r="H59" s="65" t="str">
        <f t="shared" si="20"/>
        <v>n.a.</v>
      </c>
      <c r="I59" s="32" t="s">
        <v>115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2298FFC-29B8-A94F-95AC-1D07D90EDCCE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60.00390625" customWidth="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</row>
    <row r="2" ht="13.5" customHeight="1">
      <c r="A2" s="1"/>
      <c r="B2" s="2" t="s">
        <v>0</v>
      </c>
      <c r="C2" s="1"/>
      <c r="D2" s="1"/>
      <c r="E2" s="1"/>
      <c r="F2" s="1"/>
      <c r="G2" s="1"/>
      <c r="H2" s="1"/>
      <c r="I2" s="1"/>
    </row>
    <row r="3" ht="13.5" customHeight="1">
      <c r="A3" s="1"/>
      <c r="B3" s="3" t="s">
        <v>116</v>
      </c>
      <c r="C3" s="1"/>
      <c r="D3" s="1"/>
      <c r="E3" s="1"/>
      <c r="F3" s="1"/>
      <c r="G3" s="1"/>
      <c r="H3" s="1"/>
      <c r="I3" s="1"/>
    </row>
    <row r="4" ht="13.5" customHeight="1">
      <c r="A4" s="1"/>
      <c r="B4" s="4" t="s">
        <v>2</v>
      </c>
      <c r="C4" s="1"/>
      <c r="D4" s="1"/>
      <c r="E4" s="1"/>
      <c r="F4" s="1"/>
      <c r="G4" s="1"/>
      <c r="H4" s="1"/>
      <c r="I4" s="1"/>
    </row>
    <row r="5" ht="13.5" customHeight="1">
      <c r="A5" s="1"/>
      <c r="B5" s="5" t="s">
        <v>62</v>
      </c>
      <c r="C5" s="6" t="s">
        <v>63</v>
      </c>
      <c r="D5" s="6" t="s">
        <v>64</v>
      </c>
      <c r="E5" s="6" t="s">
        <v>65</v>
      </c>
      <c r="F5" s="6" t="s">
        <v>66</v>
      </c>
      <c r="G5" s="6" t="s">
        <v>67</v>
      </c>
      <c r="H5" s="7" t="s">
        <v>68</v>
      </c>
      <c r="I5" s="5" t="s">
        <v>69</v>
      </c>
    </row>
    <row r="6" ht="13.5" customHeight="1">
      <c r="A6" s="1"/>
      <c r="B6" s="8" t="s">
        <v>70</v>
      </c>
      <c r="C6" s="9">
        <v>45930</v>
      </c>
      <c r="D6" s="9">
        <v>46022</v>
      </c>
      <c r="E6" s="9">
        <v>46022</v>
      </c>
      <c r="F6" s="9">
        <v>46112</v>
      </c>
      <c r="G6" s="9">
        <v>46203</v>
      </c>
      <c r="H6" s="10">
        <v>46295</v>
      </c>
      <c r="I6" s="8"/>
    </row>
    <row r="7" ht="13.5" customHeight="1">
      <c r="A7" s="1"/>
      <c r="B7" s="11" t="s">
        <v>71</v>
      </c>
      <c r="C7" s="12">
        <v>92</v>
      </c>
      <c r="D7" s="12">
        <v>92</v>
      </c>
      <c r="E7" s="12">
        <v>365</v>
      </c>
      <c r="F7" s="12">
        <v>90</v>
      </c>
      <c r="G7" s="12">
        <v>91</v>
      </c>
      <c r="H7" s="13">
        <v>92</v>
      </c>
      <c r="I7" s="11"/>
    </row>
    <row r="8" ht="13.5" customHeight="1">
      <c r="A8" s="1"/>
      <c r="B8" s="1"/>
      <c r="C8" s="1"/>
      <c r="D8" s="1"/>
      <c r="E8" s="1"/>
      <c r="F8" s="1"/>
      <c r="G8" s="1"/>
      <c r="H8" s="41"/>
      <c r="I8" s="1"/>
    </row>
    <row r="9" ht="24.75" customHeight="1">
      <c r="A9" s="1"/>
      <c r="B9" s="14" t="s">
        <v>117</v>
      </c>
      <c r="C9" s="22"/>
      <c r="D9" s="22"/>
      <c r="E9" s="22"/>
      <c r="F9" s="22"/>
      <c r="G9" s="22"/>
      <c r="H9" s="42"/>
      <c r="I9" s="17"/>
    </row>
    <row r="10" ht="13.5" customHeight="1">
      <c r="A10" s="1"/>
      <c r="B10" s="58" t="s">
        <v>118</v>
      </c>
      <c r="C10" s="45">
        <v>1886</v>
      </c>
      <c r="D10" s="24">
        <f>Inputs!E238</f>
        <v>1958</v>
      </c>
      <c r="E10" s="24">
        <f>Inputs!C238</f>
        <v>7327</v>
      </c>
      <c r="F10" s="45">
        <v>1905</v>
      </c>
      <c r="G10" s="45">
        <v>1998</v>
      </c>
      <c r="H10" s="56">
        <f t="shared" si="3" ref="H10:H31">C10*(1+H16)*(1+H15)*(1+H14)</f>
        <v>2033.1268600000003</v>
      </c>
      <c r="I10" s="17"/>
    </row>
    <row r="11" ht="13.5" customHeight="1">
      <c r="A11" s="1"/>
      <c r="B11" s="60" t="s">
        <v>74</v>
      </c>
      <c r="C11" s="38">
        <f>_xlfn.IFERROR(C10/Inputs!C110-1,"n.a.")</f>
        <v>0.13682941531042792</v>
      </c>
      <c r="D11" s="38">
        <f>_xlfn.IFERROR(D10/Inputs!D110-1,"n.a.")</f>
        <v>0.10372040586245768</v>
      </c>
      <c r="E11" s="38">
        <f>_xlfn.IFERROR(E10/Inputs!E110-1,"n.a.")</f>
        <v>0.12896764252696458</v>
      </c>
      <c r="F11" s="38">
        <f>_xlfn.IFERROR(F10/Inputs!F110-1,"n.a.")</f>
        <v>0.12922347362181386</v>
      </c>
      <c r="G11" s="38">
        <f>_xlfn.IFERROR(G10/Inputs!G110-1,"n.a.")</f>
        <v>0.11247216035634744</v>
      </c>
      <c r="H11" s="44">
        <f t="shared" si="4" ref="H11:H72">_xlfn.IFERROR(H10/C10-1,"n.a.")</f>
        <v>0.07801000000000013</v>
      </c>
      <c r="I11" s="17"/>
    </row>
    <row r="12" ht="13.5" customHeight="1">
      <c r="A12" s="1"/>
      <c r="B12" s="60" t="s">
        <v>85</v>
      </c>
      <c r="C12" s="51">
        <f>IF(ISNUMBER(Inputs!G110),C10-Inputs!G110,"n.a.")</f>
        <v>90</v>
      </c>
      <c r="D12" s="47">
        <f t="shared" si="0" ref="D12:H73">D10-C10</f>
        <v>72</v>
      </c>
      <c r="E12" s="47" t="s">
        <v>38</v>
      </c>
      <c r="F12" s="47">
        <f t="shared" si="5" ref="F12:F73">F10-D10</f>
        <v>-53</v>
      </c>
      <c r="G12" s="47">
        <f t="shared" si="0"/>
        <v>93</v>
      </c>
      <c r="H12" s="52">
        <f t="shared" si="0"/>
        <v>35.126860000000306</v>
      </c>
      <c r="I12" s="17"/>
    </row>
    <row r="13" ht="13.5" customHeight="1">
      <c r="A13" s="1"/>
      <c r="B13" s="60" t="s">
        <v>119</v>
      </c>
      <c r="C13" s="53">
        <v>0.12</v>
      </c>
      <c r="D13" s="53">
        <v>0.08</v>
      </c>
      <c r="E13" s="39" t="s">
        <v>38</v>
      </c>
      <c r="F13" s="53">
        <v>0.1</v>
      </c>
      <c r="G13" s="53">
        <v>0.11</v>
      </c>
      <c r="H13" s="44">
        <f t="shared" si="6" ref="H13:H34">(1+H16)*(1+H15)-1</f>
        <v>0.09000000000000008</v>
      </c>
      <c r="I13" s="17"/>
    </row>
    <row r="14" ht="13.5" customHeight="1">
      <c r="A14" s="1"/>
      <c r="B14" s="60" t="s">
        <v>120</v>
      </c>
      <c r="C14" s="39">
        <f t="shared" si="1" ref="C14:H43">_xlfn.IFERROR((1+C11)/(1+C13)-1,"n.a.")</f>
        <v>0.015026263670024909</v>
      </c>
      <c r="D14" s="39">
        <f t="shared" si="1"/>
        <v>0.02196333876153478</v>
      </c>
      <c r="E14" s="39" t="str">
        <f t="shared" si="1"/>
        <v>n.a.</v>
      </c>
      <c r="F14" s="39">
        <f t="shared" si="1"/>
        <v>0.02656679420164898</v>
      </c>
      <c r="G14" s="39">
        <f t="shared" si="1"/>
        <v>0.00222717149220486</v>
      </c>
      <c r="H14" s="40">
        <f>'Revenue summary'!H36</f>
        <v>-0.011</v>
      </c>
      <c r="I14" s="17"/>
    </row>
    <row r="15" ht="13.5" customHeight="1">
      <c r="A15" s="1"/>
      <c r="B15" s="60" t="s">
        <v>121</v>
      </c>
      <c r="C15" s="39" t="s">
        <v>38</v>
      </c>
      <c r="D15" s="39" t="s">
        <v>38</v>
      </c>
      <c r="E15" s="39" t="s">
        <v>38</v>
      </c>
      <c r="F15" s="39" t="s">
        <v>38</v>
      </c>
      <c r="G15" s="39" t="s">
        <v>38</v>
      </c>
      <c r="H15" s="54">
        <v>0</v>
      </c>
      <c r="I15" s="32" t="s">
        <v>122</v>
      </c>
    </row>
    <row r="16" ht="24.75" customHeight="1">
      <c r="A16" s="1"/>
      <c r="B16" s="60" t="s">
        <v>90</v>
      </c>
      <c r="C16" s="39" t="str">
        <f t="shared" si="2" ref="C16:G37">IF(AND(ISNUMBER(C11),ISNUMBER(C15),ISNUMBER(C14)),(1+C11)/((1+C15)*(1+C14))-1,"n.a.")</f>
        <v>n.a.</v>
      </c>
      <c r="D16" s="39" t="str">
        <f t="shared" si="2"/>
        <v>n.a.</v>
      </c>
      <c r="E16" s="39" t="str">
        <f t="shared" si="2"/>
        <v>n.a.</v>
      </c>
      <c r="F16" s="39" t="str">
        <f t="shared" si="2"/>
        <v>n.a.</v>
      </c>
      <c r="G16" s="39" t="str">
        <f t="shared" si="2"/>
        <v>n.a.</v>
      </c>
      <c r="H16" s="54">
        <v>0.09</v>
      </c>
      <c r="I16" s="32" t="s">
        <v>123</v>
      </c>
    </row>
    <row r="17" ht="13.5" customHeight="1">
      <c r="A17" s="1"/>
      <c r="B17" s="58" t="s">
        <v>124</v>
      </c>
      <c r="C17" s="45">
        <v>1934</v>
      </c>
      <c r="D17" s="24">
        <f>Inputs!E239</f>
        <v>2332</v>
      </c>
      <c r="E17" s="24">
        <f>Inputs!C239</f>
        <v>7733</v>
      </c>
      <c r="F17" s="45">
        <v>1741</v>
      </c>
      <c r="G17" s="45">
        <v>1951</v>
      </c>
      <c r="H17" s="56">
        <f t="shared" si="3"/>
        <v>1970.10778</v>
      </c>
      <c r="I17" s="17"/>
    </row>
    <row r="18" ht="13.5" customHeight="1">
      <c r="A18" s="1"/>
      <c r="B18" s="60" t="s">
        <v>74</v>
      </c>
      <c r="C18" s="38">
        <f>_xlfn.IFERROR(C17/Inputs!C111-1,"n.a.")</f>
        <v>0.23736404350607798</v>
      </c>
      <c r="D18" s="38">
        <f>_xlfn.IFERROR(D17/Inputs!D111-1,"n.a.")</f>
        <v>0.1754032258064515</v>
      </c>
      <c r="E18" s="38">
        <f>_xlfn.IFERROR(E17/Inputs!E111-1,"n.a.")</f>
        <v>0.17917047880451364</v>
      </c>
      <c r="F18" s="38">
        <f>_xlfn.IFERROR(F17/Inputs!F111-1,"n.a.")</f>
        <v>0.09911616161616155</v>
      </c>
      <c r="G18" s="38">
        <f>_xlfn.IFERROR(G17/Inputs!G111-1,"n.a.")</f>
        <v>0.036112586298459926</v>
      </c>
      <c r="H18" s="44">
        <f t="shared" si="4"/>
        <v>0.018669999999999964</v>
      </c>
      <c r="I18" s="17"/>
    </row>
    <row r="19" ht="13.5" customHeight="1">
      <c r="A19" s="1"/>
      <c r="B19" s="60" t="s">
        <v>85</v>
      </c>
      <c r="C19" s="51">
        <f>IF(ISNUMBER(Inputs!G111),C17-Inputs!G111,"n.a.")</f>
        <v>51</v>
      </c>
      <c r="D19" s="47">
        <f t="shared" si="0"/>
        <v>398</v>
      </c>
      <c r="E19" s="47" t="s">
        <v>38</v>
      </c>
      <c r="F19" s="47">
        <f t="shared" si="5"/>
        <v>-591</v>
      </c>
      <c r="G19" s="47">
        <f t="shared" si="0"/>
        <v>210</v>
      </c>
      <c r="H19" s="52">
        <f t="shared" si="0"/>
        <v>19.107780000000048</v>
      </c>
      <c r="I19" s="17"/>
    </row>
    <row r="20" ht="13.5" customHeight="1">
      <c r="A20" s="1"/>
      <c r="B20" s="60" t="s">
        <v>119</v>
      </c>
      <c r="C20" s="53">
        <v>0.22</v>
      </c>
      <c r="D20" s="53">
        <v>0.14</v>
      </c>
      <c r="E20" s="39" t="s">
        <v>38</v>
      </c>
      <c r="F20" s="53">
        <v>0.07</v>
      </c>
      <c r="G20" s="53">
        <v>0.03</v>
      </c>
      <c r="H20" s="44">
        <f t="shared" si="6"/>
        <v>0.030000000000000027</v>
      </c>
      <c r="I20" s="17"/>
    </row>
    <row r="21" ht="13.5" customHeight="1">
      <c r="A21" s="1"/>
      <c r="B21" s="60" t="s">
        <v>120</v>
      </c>
      <c r="C21" s="39">
        <f t="shared" si="1"/>
        <v>0.014232822545965584</v>
      </c>
      <c r="D21" s="39">
        <f t="shared" si="1"/>
        <v>0.031055461233729265</v>
      </c>
      <c r="E21" s="39" t="str">
        <f t="shared" si="1"/>
        <v>n.a.</v>
      </c>
      <c r="F21" s="39">
        <f t="shared" si="1"/>
        <v>0.027211365996412606</v>
      </c>
      <c r="G21" s="39">
        <f t="shared" si="1"/>
        <v>0.005934549804329947</v>
      </c>
      <c r="H21" s="40">
        <f>'Revenue summary'!H36</f>
        <v>-0.011</v>
      </c>
      <c r="I21" s="17"/>
    </row>
    <row r="22" ht="13.5" customHeight="1">
      <c r="A22" s="1"/>
      <c r="B22" s="60" t="s">
        <v>121</v>
      </c>
      <c r="C22" s="39" t="s">
        <v>38</v>
      </c>
      <c r="D22" s="39" t="s">
        <v>38</v>
      </c>
      <c r="E22" s="39" t="s">
        <v>38</v>
      </c>
      <c r="F22" s="39" t="s">
        <v>38</v>
      </c>
      <c r="G22" s="39" t="s">
        <v>38</v>
      </c>
      <c r="H22" s="54">
        <v>0</v>
      </c>
      <c r="I22" s="17"/>
    </row>
    <row r="23" ht="24.75" customHeight="1">
      <c r="A23" s="1"/>
      <c r="B23" s="60" t="s">
        <v>90</v>
      </c>
      <c r="C23" s="39" t="str">
        <f t="shared" si="2"/>
        <v>n.a.</v>
      </c>
      <c r="D23" s="39" t="str">
        <f t="shared" si="2"/>
        <v>n.a.</v>
      </c>
      <c r="E23" s="39" t="str">
        <f t="shared" si="2"/>
        <v>n.a.</v>
      </c>
      <c r="F23" s="39" t="str">
        <f t="shared" si="2"/>
        <v>n.a.</v>
      </c>
      <c r="G23" s="39" t="str">
        <f t="shared" si="2"/>
        <v>n.a.</v>
      </c>
      <c r="H23" s="54">
        <v>0.03</v>
      </c>
      <c r="I23" s="32" t="s">
        <v>125</v>
      </c>
    </row>
    <row r="24" ht="13.5" customHeight="1">
      <c r="A24" s="1"/>
      <c r="B24" s="58" t="s">
        <v>126</v>
      </c>
      <c r="C24" s="45">
        <v>1459</v>
      </c>
      <c r="D24" s="24">
        <f>Inputs!E240</f>
        <v>2105</v>
      </c>
      <c r="E24" s="24">
        <f>Inputs!C240</f>
        <v>6299</v>
      </c>
      <c r="F24" s="45">
        <v>1474</v>
      </c>
      <c r="G24" s="45">
        <v>1782</v>
      </c>
      <c r="H24" s="56">
        <f t="shared" si="3"/>
        <v>1760.40022</v>
      </c>
      <c r="I24" s="17"/>
    </row>
    <row r="25" ht="13.5" customHeight="1">
      <c r="A25" s="1"/>
      <c r="B25" s="60" t="s">
        <v>74</v>
      </c>
      <c r="C25" s="38">
        <f>_xlfn.IFERROR(C24/Inputs!C112-1,"n.a.")</f>
        <v>0.07914201183431957</v>
      </c>
      <c r="D25" s="38">
        <f>_xlfn.IFERROR(D24/Inputs!D112-1,"n.a.")</f>
        <v>0.21887666473653744</v>
      </c>
      <c r="E25" s="38">
        <f>_xlfn.IFERROR(E24/Inputs!E112-1,"n.a.")</f>
        <v>0.11902647006573108</v>
      </c>
      <c r="F25" s="38">
        <f>_xlfn.IFERROR(F24/Inputs!F112-1,"n.a.")</f>
        <v>0.1925566343042071</v>
      </c>
      <c r="G25" s="38">
        <f>_xlfn.IFERROR(G24/Inputs!G112-1,"n.a.")</f>
        <v>0.18879252835223492</v>
      </c>
      <c r="H25" s="44">
        <f t="shared" si="4"/>
        <v>0.20657999999999999</v>
      </c>
      <c r="I25" s="17"/>
    </row>
    <row r="26" ht="13.5" customHeight="1">
      <c r="A26" s="1"/>
      <c r="B26" s="60" t="s">
        <v>85</v>
      </c>
      <c r="C26" s="51">
        <f>IF(ISNUMBER(Inputs!G112),C24-Inputs!G112,"n.a.")</f>
        <v>-40</v>
      </c>
      <c r="D26" s="47">
        <f t="shared" si="0"/>
        <v>646</v>
      </c>
      <c r="E26" s="47" t="s">
        <v>38</v>
      </c>
      <c r="F26" s="47">
        <f t="shared" si="5"/>
        <v>-631</v>
      </c>
      <c r="G26" s="47">
        <f t="shared" si="0"/>
        <v>308</v>
      </c>
      <c r="H26" s="52">
        <f t="shared" si="0"/>
        <v>-21.59978000000001</v>
      </c>
      <c r="I26" s="17"/>
    </row>
    <row r="27" ht="13.5" customHeight="1">
      <c r="A27" s="1"/>
      <c r="B27" s="60" t="s">
        <v>119</v>
      </c>
      <c r="C27" s="53">
        <v>0.07</v>
      </c>
      <c r="D27" s="53">
        <v>0.19</v>
      </c>
      <c r="E27" s="39" t="s">
        <v>38</v>
      </c>
      <c r="F27" s="53">
        <v>0.16</v>
      </c>
      <c r="G27" s="53">
        <v>0.18</v>
      </c>
      <c r="H27" s="44">
        <f t="shared" si="6"/>
        <v>0.21999999999999997</v>
      </c>
      <c r="I27" s="17"/>
    </row>
    <row r="28" ht="13.5" customHeight="1">
      <c r="A28" s="1"/>
      <c r="B28" s="60" t="s">
        <v>120</v>
      </c>
      <c r="C28" s="39">
        <f t="shared" si="1"/>
        <v>0.008543936293756493</v>
      </c>
      <c r="D28" s="39">
        <f t="shared" si="1"/>
        <v>0.02426610482061964</v>
      </c>
      <c r="E28" s="39" t="str">
        <f t="shared" si="1"/>
        <v>n.a.</v>
      </c>
      <c r="F28" s="39">
        <f t="shared" si="1"/>
        <v>0.028066064055350948</v>
      </c>
      <c r="G28" s="39">
        <f t="shared" si="1"/>
        <v>0.007451295213758424</v>
      </c>
      <c r="H28" s="40">
        <f>'Revenue summary'!H36</f>
        <v>-0.011</v>
      </c>
      <c r="I28" s="17"/>
    </row>
    <row r="29" ht="24.75" customHeight="1">
      <c r="A29" s="1"/>
      <c r="B29" s="60" t="s">
        <v>121</v>
      </c>
      <c r="C29" s="39" t="s">
        <v>38</v>
      </c>
      <c r="D29" s="39" t="s">
        <v>38</v>
      </c>
      <c r="E29" s="39" t="s">
        <v>38</v>
      </c>
      <c r="F29" s="39" t="s">
        <v>38</v>
      </c>
      <c r="G29" s="39" t="s">
        <v>38</v>
      </c>
      <c r="H29" s="54">
        <v>0.22</v>
      </c>
      <c r="I29" s="32" t="s">
        <v>127</v>
      </c>
    </row>
    <row r="30" ht="24.75" customHeight="1">
      <c r="A30" s="1"/>
      <c r="B30" s="60" t="s">
        <v>90</v>
      </c>
      <c r="C30" s="39" t="str">
        <f t="shared" si="2"/>
        <v>n.a.</v>
      </c>
      <c r="D30" s="39" t="str">
        <f t="shared" si="2"/>
        <v>n.a.</v>
      </c>
      <c r="E30" s="39" t="str">
        <f t="shared" si="2"/>
        <v>n.a.</v>
      </c>
      <c r="F30" s="39" t="str">
        <f t="shared" si="2"/>
        <v>n.a.</v>
      </c>
      <c r="G30" s="39" t="str">
        <f t="shared" si="2"/>
        <v>n.a.</v>
      </c>
      <c r="H30" s="54">
        <v>0</v>
      </c>
      <c r="I30" s="32" t="s">
        <v>128</v>
      </c>
    </row>
    <row r="31" ht="13.5" customHeight="1">
      <c r="A31" s="1"/>
      <c r="B31" s="58" t="s">
        <v>129</v>
      </c>
      <c r="C31" s="45">
        <v>1930</v>
      </c>
      <c r="D31" s="24">
        <f>Inputs!E241</f>
        <v>2636</v>
      </c>
      <c r="E31" s="24">
        <f>Inputs!C241</f>
        <v>8603</v>
      </c>
      <c r="F31" s="45">
        <v>1932</v>
      </c>
      <c r="G31" s="45">
        <v>2030</v>
      </c>
      <c r="H31" s="56">
        <f t="shared" si="3"/>
        <v>1870.5946</v>
      </c>
      <c r="I31" s="17"/>
    </row>
    <row r="32" ht="13.5" customHeight="1">
      <c r="A32" s="1"/>
      <c r="B32" s="60" t="s">
        <v>74</v>
      </c>
      <c r="C32" s="38">
        <f>_xlfn.IFERROR(C31/Inputs!C113-1,"n.a.")</f>
        <v>-0.010763710917478186</v>
      </c>
      <c r="D32" s="38">
        <f>_xlfn.IFERROR(D31/Inputs!D113-1,"n.a.")</f>
        <v>0.08121410992616895</v>
      </c>
      <c r="E32" s="38">
        <f>_xlfn.IFERROR(E31/Inputs!E113-1,"n.a.")</f>
        <v>0.02319219790675553</v>
      </c>
      <c r="F32" s="38">
        <f>_xlfn.IFERROR(F31/Inputs!F113-1,"n.a.")</f>
        <v>0.05689277899343548</v>
      </c>
      <c r="G32" s="38">
        <f>_xlfn.IFERROR(G31/Inputs!G113-1,"n.a.")</f>
        <v>-0.08061594202898548</v>
      </c>
      <c r="H32" s="44">
        <f t="shared" si="4"/>
        <v>-0.03078000000000003</v>
      </c>
      <c r="I32" s="17"/>
    </row>
    <row r="33" ht="13.5" customHeight="1">
      <c r="A33" s="1"/>
      <c r="B33" s="60" t="s">
        <v>85</v>
      </c>
      <c r="C33" s="51">
        <f>IF(ISNUMBER(Inputs!G113),C31-Inputs!G113,"n.a.")</f>
        <v>-278</v>
      </c>
      <c r="D33" s="47">
        <f t="shared" si="0"/>
        <v>706</v>
      </c>
      <c r="E33" s="47" t="s">
        <v>38</v>
      </c>
      <c r="F33" s="47">
        <f t="shared" si="5"/>
        <v>-704</v>
      </c>
      <c r="G33" s="47">
        <f t="shared" si="0"/>
        <v>98</v>
      </c>
      <c r="H33" s="52">
        <f t="shared" si="0"/>
        <v>-159.4054000000001</v>
      </c>
      <c r="I33" s="17"/>
    </row>
    <row r="34" ht="13.5" customHeight="1">
      <c r="A34" s="1"/>
      <c r="B34" s="60" t="s">
        <v>119</v>
      </c>
      <c r="C34" s="53">
        <v>-0.03</v>
      </c>
      <c r="D34" s="53">
        <v>0.04</v>
      </c>
      <c r="E34" s="39" t="s">
        <v>38</v>
      </c>
      <c r="F34" s="53">
        <v>0.02</v>
      </c>
      <c r="G34" s="53">
        <v>-0.09</v>
      </c>
      <c r="H34" s="44">
        <f t="shared" si="6"/>
        <v>-0.020000000000000018</v>
      </c>
      <c r="I34" s="17"/>
    </row>
    <row r="35" ht="13.5" customHeight="1">
      <c r="A35" s="1"/>
      <c r="B35" s="60" t="s">
        <v>120</v>
      </c>
      <c r="C35" s="39">
        <f t="shared" si="1"/>
        <v>0.01983122585827002</v>
      </c>
      <c r="D35" s="39">
        <f t="shared" si="1"/>
        <v>0.03962895185208559</v>
      </c>
      <c r="E35" s="39" t="str">
        <f t="shared" si="1"/>
        <v>n.a.</v>
      </c>
      <c r="F35" s="39">
        <f t="shared" si="1"/>
        <v>0.036169391170034704</v>
      </c>
      <c r="G35" s="39">
        <f t="shared" si="1"/>
        <v>0.010312151616499454</v>
      </c>
      <c r="H35" s="40">
        <f>'Revenue summary'!H36</f>
        <v>-0.011</v>
      </c>
      <c r="I35" s="17"/>
    </row>
    <row r="36" ht="13.5" customHeight="1">
      <c r="A36" s="1"/>
      <c r="B36" s="60" t="s">
        <v>121</v>
      </c>
      <c r="C36" s="39" t="s">
        <v>38</v>
      </c>
      <c r="D36" s="39" t="s">
        <v>38</v>
      </c>
      <c r="E36" s="39" t="s">
        <v>38</v>
      </c>
      <c r="F36" s="39" t="s">
        <v>38</v>
      </c>
      <c r="G36" s="39" t="s">
        <v>38</v>
      </c>
      <c r="H36" s="54">
        <v>0</v>
      </c>
      <c r="I36" s="17"/>
    </row>
    <row r="37" ht="24.75" customHeight="1">
      <c r="A37" s="1"/>
      <c r="B37" s="60" t="s">
        <v>90</v>
      </c>
      <c r="C37" s="39" t="str">
        <f t="shared" si="2"/>
        <v>n.a.</v>
      </c>
      <c r="D37" s="39" t="str">
        <f t="shared" si="2"/>
        <v>n.a.</v>
      </c>
      <c r="E37" s="39" t="str">
        <f t="shared" si="2"/>
        <v>n.a.</v>
      </c>
      <c r="F37" s="39" t="str">
        <f t="shared" si="2"/>
        <v>n.a.</v>
      </c>
      <c r="G37" s="39" t="str">
        <f t="shared" si="2"/>
        <v>n.a.</v>
      </c>
      <c r="H37" s="54">
        <v>-0.02</v>
      </c>
      <c r="I37" s="32" t="s">
        <v>130</v>
      </c>
    </row>
    <row r="38" ht="24.75" customHeight="1">
      <c r="A38" s="1"/>
      <c r="B38" s="43" t="s">
        <v>131</v>
      </c>
      <c r="C38" s="47">
        <f t="shared" si="7" ref="C38:G38">C47-(C10+C17+C24+C31)</f>
        <v>0</v>
      </c>
      <c r="D38" s="47">
        <f t="shared" si="7"/>
        <v>0</v>
      </c>
      <c r="E38" s="47">
        <f t="shared" si="7"/>
        <v>0</v>
      </c>
      <c r="F38" s="47">
        <f t="shared" si="7"/>
        <v>0</v>
      </c>
      <c r="G38" s="47">
        <f t="shared" si="7"/>
        <v>0</v>
      </c>
      <c r="H38" s="48">
        <v>0</v>
      </c>
      <c r="I38" s="17"/>
    </row>
    <row r="39" ht="13.5" customHeight="1">
      <c r="A39" s="1"/>
      <c r="B39" s="14" t="s">
        <v>132</v>
      </c>
      <c r="C39" s="49">
        <f t="shared" si="8" ref="C39:H39">C10+C17+C24+C31+C38</f>
        <v>7209</v>
      </c>
      <c r="D39" s="49">
        <f t="shared" si="8"/>
        <v>9031</v>
      </c>
      <c r="E39" s="49">
        <f t="shared" si="8"/>
        <v>29962</v>
      </c>
      <c r="F39" s="49">
        <f t="shared" si="8"/>
        <v>7052</v>
      </c>
      <c r="G39" s="49">
        <f t="shared" si="8"/>
        <v>7761</v>
      </c>
      <c r="H39" s="50">
        <f t="shared" si="8"/>
        <v>7634.2294600000005</v>
      </c>
      <c r="I39" s="17"/>
    </row>
    <row r="40" ht="13.5" customHeight="1">
      <c r="A40" s="1"/>
      <c r="B40" s="43" t="s">
        <v>74</v>
      </c>
      <c r="C40" s="38">
        <f>_xlfn.IFERROR(C39/Inputs!C105-1,"n.a.")</f>
        <v>0.10499693439607594</v>
      </c>
      <c r="D40" s="38">
        <f>_xlfn.IFERROR(D39/Inputs!D105-1,"n.a.")</f>
        <v>0.1397021706208985</v>
      </c>
      <c r="E40" s="38">
        <f>_xlfn.IFERROR(E39/Inputs!E105-1,"n.a.")</f>
        <v>0.1062211556211925</v>
      </c>
      <c r="F40" s="38">
        <f>_xlfn.IFERROR(F39/Inputs!F105-1,"n.a.")</f>
        <v>0.11300505050505061</v>
      </c>
      <c r="G40" s="38">
        <f>_xlfn.IFERROR(G39/Inputs!G105-1,"n.a.")</f>
        <v>0.050629484229051114</v>
      </c>
      <c r="H40" s="44">
        <f t="shared" si="4"/>
        <v>0.058985914828686425</v>
      </c>
      <c r="I40" s="17"/>
    </row>
    <row r="41" ht="13.5" customHeight="1">
      <c r="A41" s="1"/>
      <c r="B41" s="43" t="s">
        <v>85</v>
      </c>
      <c r="C41" s="51">
        <f>IF(ISNUMBER(Inputs!G105),C39-Inputs!G105,"n.a.")</f>
        <v>-178</v>
      </c>
      <c r="D41" s="47">
        <f t="shared" si="0"/>
        <v>1822</v>
      </c>
      <c r="E41" s="47" t="s">
        <v>38</v>
      </c>
      <c r="F41" s="47">
        <f t="shared" si="5"/>
        <v>-1979</v>
      </c>
      <c r="G41" s="47">
        <f t="shared" si="0"/>
        <v>709</v>
      </c>
      <c r="H41" s="52">
        <f t="shared" si="0"/>
        <v>-126.77053999999953</v>
      </c>
      <c r="I41" s="17"/>
    </row>
    <row r="42" ht="13.5" customHeight="1">
      <c r="A42" s="1"/>
      <c r="B42" s="43" t="s">
        <v>119</v>
      </c>
      <c r="C42" s="53">
        <v>0.088</v>
      </c>
      <c r="D42" s="53">
        <v>0.107</v>
      </c>
      <c r="E42" s="53">
        <v>0.091</v>
      </c>
      <c r="F42" s="53">
        <v>0.079</v>
      </c>
      <c r="G42" s="53">
        <v>0.046</v>
      </c>
      <c r="H42" s="44">
        <f>(C10*(1+H13)+C17*(1+H20)+C24*(1+H27)+C31*(1+H34))/C39-1</f>
        <v>0.07076432237480912</v>
      </c>
      <c r="I42" s="17"/>
    </row>
    <row r="43" ht="13.5" customHeight="1">
      <c r="A43" s="1"/>
      <c r="B43" s="43" t="s">
        <v>120</v>
      </c>
      <c r="C43" s="39">
        <f t="shared" si="1"/>
        <v>0.015622182349334324</v>
      </c>
      <c r="D43" s="39">
        <f t="shared" si="1"/>
        <v>0.029541256206773836</v>
      </c>
      <c r="E43" s="39">
        <f t="shared" si="1"/>
        <v>0.013951563355813601</v>
      </c>
      <c r="F43" s="39">
        <f t="shared" si="1"/>
        <v>0.031515338744254606</v>
      </c>
      <c r="G43" s="39">
        <f t="shared" si="1"/>
        <v>0.004425893144408333</v>
      </c>
      <c r="H43" s="44">
        <f t="shared" si="1"/>
        <v>-0.010999999999999788</v>
      </c>
      <c r="I43" s="17"/>
    </row>
    <row r="44" ht="13.5" customHeight="1">
      <c r="A44" s="1"/>
      <c r="B44" s="43" t="s">
        <v>133</v>
      </c>
      <c r="C44" s="39" t="s">
        <v>38</v>
      </c>
      <c r="D44" s="39" t="s">
        <v>38</v>
      </c>
      <c r="E44" s="39" t="s">
        <v>38</v>
      </c>
      <c r="F44" s="39" t="s">
        <v>38</v>
      </c>
      <c r="G44" s="66">
        <v>0</v>
      </c>
      <c r="H44" s="44"/>
      <c r="I44" s="17"/>
    </row>
    <row r="45" ht="13.5" customHeight="1">
      <c r="A45" s="1"/>
      <c r="B45" s="43" t="s">
        <v>121</v>
      </c>
      <c r="C45" s="39" t="s">
        <v>38</v>
      </c>
      <c r="D45" s="39" t="s">
        <v>38</v>
      </c>
      <c r="E45" s="39" t="s">
        <v>38</v>
      </c>
      <c r="F45" s="39" t="s">
        <v>38</v>
      </c>
      <c r="G45" s="39">
        <f>(1+G42)/(1+G44)-1</f>
        <v>0.04600000000000004</v>
      </c>
      <c r="H45" s="44">
        <f>(1+H42)/((C10*(1+H16)+C17*(1+H23)+C24*(1+H30)+C31*(1+H37))/C39)-1</f>
        <v>0.043386463661234664</v>
      </c>
      <c r="I45" s="17"/>
    </row>
    <row r="46" ht="13.5" customHeight="1">
      <c r="A46" s="1"/>
      <c r="B46" s="43" t="s">
        <v>90</v>
      </c>
      <c r="C46" s="39" t="str">
        <f t="shared" si="9" ref="C46:H46">IF(AND(ISNUMBER(C40),ISNUMBER(C45),ISNUMBER(C43)),(1+C40)/((1+C45)*(1+C43))-1,"n.a.")</f>
        <v>n.a.</v>
      </c>
      <c r="D46" s="39" t="str">
        <f t="shared" si="9"/>
        <v>n.a.</v>
      </c>
      <c r="E46" s="39" t="str">
        <f t="shared" si="9"/>
        <v>n.a.</v>
      </c>
      <c r="F46" s="39" t="str">
        <f t="shared" si="9"/>
        <v>n.a.</v>
      </c>
      <c r="G46" s="39">
        <f t="shared" si="9"/>
        <v>0</v>
      </c>
      <c r="H46" s="44">
        <f t="shared" si="9"/>
        <v>0.026239422943542756</v>
      </c>
      <c r="I46" s="17"/>
    </row>
    <row r="47" ht="24.75" customHeight="1">
      <c r="A47" s="1"/>
      <c r="B47" s="43" t="s">
        <v>134</v>
      </c>
      <c r="C47" s="67">
        <v>7209</v>
      </c>
      <c r="D47" s="67">
        <v>9031</v>
      </c>
      <c r="E47" s="67">
        <v>29962</v>
      </c>
      <c r="F47" s="67">
        <v>7052</v>
      </c>
      <c r="G47" s="67">
        <v>7761</v>
      </c>
      <c r="H47" s="52"/>
      <c r="I47" s="17"/>
    </row>
    <row r="48" ht="24.75" customHeight="1">
      <c r="A48" s="1"/>
      <c r="B48" s="58" t="s">
        <v>135</v>
      </c>
      <c r="C48" s="19" t="b">
        <f t="shared" si="10" ref="C48:G48">ABS(C38)&lt;=1</f>
        <v>1</v>
      </c>
      <c r="D48" s="19" t="b">
        <f t="shared" si="10"/>
        <v>1</v>
      </c>
      <c r="E48" s="19" t="b">
        <f t="shared" si="10"/>
        <v>1</v>
      </c>
      <c r="F48" s="19" t="b">
        <f t="shared" si="10"/>
        <v>1</v>
      </c>
      <c r="G48" s="19" t="b">
        <f t="shared" si="10"/>
        <v>1</v>
      </c>
      <c r="H48" s="57"/>
      <c r="I48" s="17"/>
    </row>
    <row r="49" ht="13.5" customHeight="1">
      <c r="A49" s="1"/>
      <c r="B49" s="17"/>
      <c r="C49" s="20"/>
      <c r="D49" s="20"/>
      <c r="E49" s="20"/>
      <c r="F49" s="20"/>
      <c r="G49" s="20"/>
      <c r="H49" s="55"/>
      <c r="I49" s="17"/>
    </row>
    <row r="50" ht="24.75" customHeight="1">
      <c r="A50" s="1"/>
      <c r="B50" s="14" t="s">
        <v>136</v>
      </c>
      <c r="C50" s="22"/>
      <c r="D50" s="22"/>
      <c r="E50" s="22"/>
      <c r="F50" s="22"/>
      <c r="G50" s="22"/>
      <c r="H50" s="42"/>
      <c r="I50" s="17"/>
    </row>
    <row r="51" ht="24.75" customHeight="1">
      <c r="A51" s="1"/>
      <c r="B51" s="17" t="s">
        <v>137</v>
      </c>
      <c r="C51" s="25" t="s">
        <v>38</v>
      </c>
      <c r="D51" s="25">
        <f t="shared" si="11" ref="D51:H51">C54</f>
        <v>23200</v>
      </c>
      <c r="E51" s="25" t="s">
        <v>38</v>
      </c>
      <c r="F51" s="25">
        <f>D54</f>
        <v>23600</v>
      </c>
      <c r="G51" s="25">
        <f t="shared" si="11"/>
        <v>24600</v>
      </c>
      <c r="H51" s="56">
        <f t="shared" si="11"/>
        <v>24600</v>
      </c>
      <c r="I51" s="32" t="s">
        <v>138</v>
      </c>
    </row>
    <row r="52" ht="24.75" customHeight="1">
      <c r="A52" s="1"/>
      <c r="B52" s="58" t="s">
        <v>139</v>
      </c>
      <c r="C52" s="19" t="s">
        <v>38</v>
      </c>
      <c r="D52" s="19" t="s">
        <v>38</v>
      </c>
      <c r="E52" s="19" t="s">
        <v>38</v>
      </c>
      <c r="F52" s="19" t="s">
        <v>38</v>
      </c>
      <c r="G52" s="19" t="s">
        <v>38</v>
      </c>
      <c r="H52" s="57" t="s">
        <v>38</v>
      </c>
      <c r="I52" s="17"/>
    </row>
    <row r="53" ht="13.5" customHeight="1">
      <c r="A53" s="1"/>
      <c r="B53" s="58" t="s">
        <v>140</v>
      </c>
      <c r="C53" s="25" t="str">
        <f t="shared" si="12" ref="C53:H53">_xlfn.IFERROR(C54-C51,"n.a.")</f>
        <v>n.a.</v>
      </c>
      <c r="D53" s="25">
        <f t="shared" si="12"/>
        <v>400</v>
      </c>
      <c r="E53" s="25" t="str">
        <f t="shared" si="12"/>
        <v>n.a.</v>
      </c>
      <c r="F53" s="25">
        <f t="shared" si="12"/>
        <v>1000</v>
      </c>
      <c r="G53" s="25">
        <f t="shared" si="12"/>
        <v>0</v>
      </c>
      <c r="H53" s="56" t="str">
        <f t="shared" si="12"/>
        <v>n.a.</v>
      </c>
      <c r="I53" s="17"/>
    </row>
    <row r="54" ht="24.75" customHeight="1">
      <c r="A54" s="1"/>
      <c r="B54" s="14" t="s">
        <v>141</v>
      </c>
      <c r="C54" s="59">
        <v>23200</v>
      </c>
      <c r="D54" s="59">
        <v>23600</v>
      </c>
      <c r="E54" s="49">
        <f>D54</f>
        <v>23600</v>
      </c>
      <c r="F54" s="59">
        <v>24600</v>
      </c>
      <c r="G54" s="59">
        <v>24600</v>
      </c>
      <c r="H54" s="50" t="s">
        <v>38</v>
      </c>
      <c r="I54" s="32" t="s">
        <v>142</v>
      </c>
    </row>
    <row r="55" ht="13.5" customHeight="1">
      <c r="A55" s="1"/>
      <c r="B55" s="58" t="s">
        <v>143</v>
      </c>
      <c r="C55" s="25" t="str">
        <f t="shared" si="13" ref="C55:H55">IF(AND(ISNUMBER(C54),ISNUMBER(C51)),AVERAGE(C54,C51),"n.a.")</f>
        <v>n.a.</v>
      </c>
      <c r="D55" s="25">
        <f t="shared" si="13"/>
        <v>23400</v>
      </c>
      <c r="E55" s="25" t="str">
        <f t="shared" si="13"/>
        <v>n.a.</v>
      </c>
      <c r="F55" s="25">
        <f t="shared" si="13"/>
        <v>24100</v>
      </c>
      <c r="G55" s="25">
        <f t="shared" si="13"/>
        <v>24600</v>
      </c>
      <c r="H55" s="56" t="str">
        <f t="shared" si="13"/>
        <v>n.a.</v>
      </c>
      <c r="I55" s="17"/>
    </row>
    <row r="56" ht="13.5" customHeight="1">
      <c r="A56" s="1"/>
      <c r="B56" s="43" t="s">
        <v>144</v>
      </c>
      <c r="C56" s="53">
        <v>0.09</v>
      </c>
      <c r="D56" s="39" t="s">
        <v>38</v>
      </c>
      <c r="E56" s="39" t="s">
        <v>38</v>
      </c>
      <c r="F56" s="53">
        <v>0.1</v>
      </c>
      <c r="G56" s="53">
        <v>0.08</v>
      </c>
      <c r="H56" s="44" t="s">
        <v>38</v>
      </c>
      <c r="I56" s="17"/>
    </row>
    <row r="57" ht="13.5" customHeight="1">
      <c r="A57" s="1"/>
      <c r="B57" s="43" t="s">
        <v>145</v>
      </c>
      <c r="C57" s="47" t="s">
        <v>38</v>
      </c>
      <c r="D57" s="47">
        <f t="shared" si="14" ref="D57:H57">_xlfn.IFERROR(D54-C54,"n.a.")</f>
        <v>400</v>
      </c>
      <c r="E57" s="47" t="s">
        <v>38</v>
      </c>
      <c r="F57" s="47">
        <f>_xlfn.IFERROR(F54-D54,"n.a.")</f>
        <v>1000</v>
      </c>
      <c r="G57" s="47">
        <f t="shared" si="14"/>
        <v>0</v>
      </c>
      <c r="H57" s="52" t="str">
        <f t="shared" si="14"/>
        <v>n.a.</v>
      </c>
      <c r="I57" s="17"/>
    </row>
    <row r="58" ht="13.5" customHeight="1">
      <c r="A58" s="1"/>
      <c r="B58" s="58" t="s">
        <v>146</v>
      </c>
      <c r="C58" s="64">
        <f t="shared" si="15" ref="C58:H58">_xlfn.IFERROR(C54/(C39*365/C7),"n.a.")</f>
        <v>0.8111626068631865</v>
      </c>
      <c r="D58" s="64">
        <f t="shared" si="15"/>
        <v>0.658674914260318</v>
      </c>
      <c r="E58" s="64">
        <f t="shared" si="15"/>
        <v>0.7876643748748414</v>
      </c>
      <c r="F58" s="64">
        <f t="shared" si="15"/>
        <v>0.8601465434851864</v>
      </c>
      <c r="G58" s="64">
        <f t="shared" si="15"/>
        <v>0.7902526330281545</v>
      </c>
      <c r="H58" s="65" t="str">
        <f t="shared" si="15"/>
        <v>n.a.</v>
      </c>
      <c r="I58" s="17"/>
    </row>
    <row r="59" ht="24.75" customHeight="1">
      <c r="A59" s="1"/>
      <c r="B59" s="32" t="s">
        <v>147</v>
      </c>
      <c r="C59" s="39" t="s">
        <v>38</v>
      </c>
      <c r="D59" s="39" t="s">
        <v>38</v>
      </c>
      <c r="E59" s="39" t="s">
        <v>38</v>
      </c>
      <c r="F59" s="39" t="s">
        <v>38</v>
      </c>
      <c r="G59" s="53">
        <v>0.8</v>
      </c>
      <c r="H59" s="44" t="s">
        <v>38</v>
      </c>
      <c r="I59" s="17"/>
    </row>
    <row r="60" ht="13.5" customHeight="1">
      <c r="A60" s="1"/>
      <c r="B60" s="58" t="s">
        <v>148</v>
      </c>
      <c r="C60" s="25" t="str">
        <f t="shared" si="16" ref="C60:H60">_xlfn.IFERROR(C39*C59,"n.a.")</f>
        <v>n.a.</v>
      </c>
      <c r="D60" s="25" t="str">
        <f t="shared" si="16"/>
        <v>n.a.</v>
      </c>
      <c r="E60" s="25" t="str">
        <f t="shared" si="16"/>
        <v>n.a.</v>
      </c>
      <c r="F60" s="25" t="str">
        <f t="shared" si="16"/>
        <v>n.a.</v>
      </c>
      <c r="G60" s="25">
        <f t="shared" si="16"/>
        <v>6208.8</v>
      </c>
      <c r="H60" s="56" t="str">
        <f t="shared" si="16"/>
        <v>n.a.</v>
      </c>
      <c r="I60" s="17"/>
    </row>
    <row r="61" ht="24.75" customHeight="1">
      <c r="A61" s="1"/>
      <c r="B61" s="58" t="s">
        <v>149</v>
      </c>
      <c r="C61" s="25" t="str">
        <f t="shared" si="17" ref="C61:H61">_xlfn.IFERROR(C39-C60,"n.a.")</f>
        <v>n.a.</v>
      </c>
      <c r="D61" s="25" t="str">
        <f t="shared" si="17"/>
        <v>n.a.</v>
      </c>
      <c r="E61" s="25" t="str">
        <f t="shared" si="17"/>
        <v>n.a.</v>
      </c>
      <c r="F61" s="25" t="str">
        <f t="shared" si="17"/>
        <v>n.a.</v>
      </c>
      <c r="G61" s="25">
        <f t="shared" si="17"/>
        <v>1552.1999999999998</v>
      </c>
      <c r="H61" s="56" t="str">
        <f t="shared" si="17"/>
        <v>n.a.</v>
      </c>
      <c r="I61" s="17"/>
    </row>
    <row r="62" ht="13.5" customHeight="1">
      <c r="A62" s="1"/>
      <c r="B62" s="17" t="s">
        <v>150</v>
      </c>
      <c r="C62" s="25" t="s">
        <v>38</v>
      </c>
      <c r="D62" s="25" t="s">
        <v>38</v>
      </c>
      <c r="E62" s="25" t="s">
        <v>38</v>
      </c>
      <c r="F62" s="45">
        <v>2000</v>
      </c>
      <c r="G62" s="45">
        <v>2200</v>
      </c>
      <c r="H62" s="56" t="s">
        <v>38</v>
      </c>
      <c r="I62" s="17"/>
    </row>
    <row r="63" ht="13.5" customHeight="1">
      <c r="A63" s="1"/>
      <c r="B63" s="43" t="s">
        <v>85</v>
      </c>
      <c r="C63" s="47" t="s">
        <v>38</v>
      </c>
      <c r="D63" s="47" t="str">
        <f t="shared" si="18" ref="D63:H63">_xlfn.IFERROR(D62-C62,"n.a.")</f>
        <v>n.a.</v>
      </c>
      <c r="E63" s="47" t="s">
        <v>38</v>
      </c>
      <c r="F63" s="47" t="str">
        <f>_xlfn.IFERROR(F62-D62,"n.a.")</f>
        <v>n.a.</v>
      </c>
      <c r="G63" s="47">
        <f t="shared" si="18"/>
        <v>200</v>
      </c>
      <c r="H63" s="52" t="str">
        <f t="shared" si="18"/>
        <v>n.a.</v>
      </c>
      <c r="I63" s="17"/>
    </row>
    <row r="64" ht="13.5" customHeight="1">
      <c r="A64" s="1"/>
      <c r="B64" s="17"/>
      <c r="C64" s="20"/>
      <c r="D64" s="20"/>
      <c r="E64" s="20"/>
      <c r="F64" s="20"/>
      <c r="G64" s="20"/>
      <c r="H64" s="55"/>
      <c r="I64" s="17"/>
    </row>
    <row r="65" ht="13.5" customHeight="1">
      <c r="A65" s="1"/>
      <c r="B65" s="14" t="s">
        <v>151</v>
      </c>
      <c r="C65" s="22"/>
      <c r="D65" s="22"/>
      <c r="E65" s="22"/>
      <c r="F65" s="22"/>
      <c r="G65" s="22"/>
      <c r="H65" s="42"/>
      <c r="I65" s="17"/>
    </row>
    <row r="66" ht="13.5" customHeight="1">
      <c r="A66" s="1"/>
      <c r="B66" s="32" t="s">
        <v>152</v>
      </c>
      <c r="C66" s="53">
        <v>0.831</v>
      </c>
      <c r="D66" s="53">
        <v>0.834</v>
      </c>
      <c r="E66" s="53">
        <v>0.835</v>
      </c>
      <c r="F66" s="53">
        <v>0.828</v>
      </c>
      <c r="G66" s="53">
        <v>0.826</v>
      </c>
      <c r="H66" s="54">
        <v>0.826</v>
      </c>
      <c r="I66" s="32" t="s">
        <v>153</v>
      </c>
    </row>
    <row r="67" ht="13.5" customHeight="1">
      <c r="A67" s="1"/>
      <c r="B67" s="43" t="s">
        <v>111</v>
      </c>
      <c r="C67" s="61">
        <f>_xlfn.IFERROR((C66-Inputs!C121)*10000,"n.a.")</f>
        <v>-10.000000000000009</v>
      </c>
      <c r="D67" s="61">
        <f>_xlfn.IFERROR((D66-Inputs!D121)*10000,"n.a.")</f>
        <v>-160.00000000000014</v>
      </c>
      <c r="E67" s="61">
        <f>_xlfn.IFERROR((E66-Inputs!E121)*10000,"n.a.")</f>
        <v>-20.000000000000018</v>
      </c>
      <c r="F67" s="61">
        <f>_xlfn.IFERROR((F66-Inputs!F121)*10000,"n.a.")</f>
        <v>-80.00000000000007</v>
      </c>
      <c r="G67" s="61">
        <f>_xlfn.IFERROR((G66-Inputs!G121)*10000,"n.a.")</f>
        <v>-130.0000000000001</v>
      </c>
      <c r="H67" s="63">
        <f t="shared" si="22" ref="H67:H75">_xlfn.IFERROR((H66-C66)*10000,"n.a.")</f>
        <v>-50.00000000000004</v>
      </c>
      <c r="I67" s="17"/>
    </row>
    <row r="68" ht="13.5" customHeight="1">
      <c r="A68" s="1"/>
      <c r="B68" s="17" t="s">
        <v>154</v>
      </c>
      <c r="C68" s="25">
        <f t="shared" si="19" ref="C68:H68">C39*C66</f>
        <v>5990.679</v>
      </c>
      <c r="D68" s="25">
        <f t="shared" si="19"/>
        <v>7531.853999999999</v>
      </c>
      <c r="E68" s="25">
        <f t="shared" si="19"/>
        <v>25018.27</v>
      </c>
      <c r="F68" s="25">
        <f t="shared" si="19"/>
        <v>5839.056</v>
      </c>
      <c r="G68" s="25">
        <f t="shared" si="19"/>
        <v>6410.585999999999</v>
      </c>
      <c r="H68" s="56">
        <f t="shared" si="19"/>
        <v>6305.87353396</v>
      </c>
      <c r="I68" s="17"/>
    </row>
    <row r="69" ht="13.5" customHeight="1">
      <c r="A69" s="1"/>
      <c r="B69" s="43" t="s">
        <v>74</v>
      </c>
      <c r="C69" s="38">
        <f>_xlfn.IFERROR(C68/(Inputs!C105*Inputs!C121)-1,"n.a.")</f>
        <v>0.1036688130806962</v>
      </c>
      <c r="D69" s="38">
        <f>_xlfn.IFERROR(D68/(Inputs!D105*Inputs!D121)-1,"n.a.")</f>
        <v>0.11824895329156404</v>
      </c>
      <c r="E69" s="38">
        <f>_xlfn.IFERROR(E68/(Inputs!E105*Inputs!E121)-1,"n.a.")</f>
        <v>0.10357785536881225</v>
      </c>
      <c r="F69" s="38">
        <f>_xlfn.IFERROR(F68/(Inputs!F105*Inputs!F121)-1,"n.a.")</f>
        <v>0.1023542844715093</v>
      </c>
      <c r="G69" s="38">
        <f>_xlfn.IFERROR(G68/(Inputs!G105*Inputs!G121)-1,"n.a.")</f>
        <v>0.03435036230416699</v>
      </c>
      <c r="H69" s="44">
        <f t="shared" si="4"/>
        <v>0.05261415842177475</v>
      </c>
      <c r="I69" s="17"/>
    </row>
    <row r="70" ht="13.5" customHeight="1">
      <c r="A70" s="1"/>
      <c r="B70" s="43" t="s">
        <v>85</v>
      </c>
      <c r="C70" s="51">
        <f>_xlfn.IFERROR(C68-Inputs!G105*Inputs!G121,"n.a.")</f>
        <v>-207.01400000000012</v>
      </c>
      <c r="D70" s="47">
        <f t="shared" si="20" ref="D70:H70">_xlfn.IFERROR(D68-C68,"n.a.")</f>
        <v>1541.1749999999993</v>
      </c>
      <c r="E70" s="47" t="s">
        <v>38</v>
      </c>
      <c r="F70" s="47">
        <f>_xlfn.IFERROR(F68-D68,"n.a.")</f>
        <v>-1692.7979999999998</v>
      </c>
      <c r="G70" s="47">
        <f t="shared" si="20"/>
        <v>571.5299999999997</v>
      </c>
      <c r="H70" s="52">
        <f t="shared" si="20"/>
        <v>-104.71246603999953</v>
      </c>
      <c r="I70" s="17"/>
    </row>
    <row r="71" ht="13.5" customHeight="1">
      <c r="A71" s="1"/>
      <c r="B71" s="14" t="s">
        <v>155</v>
      </c>
      <c r="C71" s="59">
        <v>2374</v>
      </c>
      <c r="D71" s="59">
        <v>3403</v>
      </c>
      <c r="E71" s="59">
        <v>9920</v>
      </c>
      <c r="F71" s="59">
        <v>2099</v>
      </c>
      <c r="G71" s="59">
        <v>2502</v>
      </c>
      <c r="H71" s="50">
        <f>H39*H74</f>
        <v>2557.4668691</v>
      </c>
      <c r="I71" s="17"/>
    </row>
    <row r="72" ht="13.5" customHeight="1">
      <c r="A72" s="1"/>
      <c r="B72" s="43" t="s">
        <v>74</v>
      </c>
      <c r="C72" s="38">
        <f>_xlfn.IFERROR(C71/Inputs!C125-1,"n.a.")</f>
        <v>0.20568816658202138</v>
      </c>
      <c r="D72" s="38">
        <f>_xlfn.IFERROR(D71/Inputs!D125-1,"n.a.")</f>
        <v>0.09703417150225668</v>
      </c>
      <c r="E72" s="38">
        <f>_xlfn.IFERROR(E71/Inputs!E125-1,"n.a.")</f>
        <v>0.1423307231690465</v>
      </c>
      <c r="F72" s="38">
        <f>_xlfn.IFERROR(F71/Inputs!F125-1,"n.a.")</f>
        <v>0.13643746616134278</v>
      </c>
      <c r="G72" s="38">
        <f>_xlfn.IFERROR(G71/Inputs!G125-1,"n.a.")</f>
        <v>0.08972125435540068</v>
      </c>
      <c r="H72" s="44">
        <f t="shared" si="4"/>
        <v>0.07728174772535801</v>
      </c>
      <c r="I72" s="17"/>
    </row>
    <row r="73" ht="13.5" customHeight="1">
      <c r="A73" s="1"/>
      <c r="B73" s="43" t="s">
        <v>85</v>
      </c>
      <c r="C73" s="51">
        <f>IF(ISNUMBER(Inputs!G125),C71-Inputs!G125,"n.a.")</f>
        <v>78</v>
      </c>
      <c r="D73" s="47">
        <f t="shared" si="0"/>
        <v>1029</v>
      </c>
      <c r="E73" s="47" t="s">
        <v>38</v>
      </c>
      <c r="F73" s="47">
        <f t="shared" si="5"/>
        <v>-1304</v>
      </c>
      <c r="G73" s="47">
        <f t="shared" si="0"/>
        <v>403</v>
      </c>
      <c r="H73" s="52">
        <f t="shared" si="0"/>
        <v>55.46686910000017</v>
      </c>
      <c r="I73" s="17"/>
    </row>
    <row r="74" ht="13.5" customHeight="1">
      <c r="A74" s="1"/>
      <c r="B74" s="32" t="s">
        <v>156</v>
      </c>
      <c r="C74" s="39">
        <f t="shared" si="21" ref="C74:G74">C71/C39</f>
        <v>0.32931058399223195</v>
      </c>
      <c r="D74" s="39">
        <f t="shared" si="21"/>
        <v>0.3768131989812867</v>
      </c>
      <c r="E74" s="39">
        <f t="shared" si="21"/>
        <v>0.33108604232027233</v>
      </c>
      <c r="F74" s="39">
        <f t="shared" si="21"/>
        <v>0.2976460578559274</v>
      </c>
      <c r="G74" s="39">
        <f t="shared" si="21"/>
        <v>0.3223811364514882</v>
      </c>
      <c r="H74" s="54">
        <v>0.335</v>
      </c>
      <c r="I74" s="32" t="s">
        <v>157</v>
      </c>
    </row>
    <row r="75" ht="13.5" customHeight="1">
      <c r="A75" s="1"/>
      <c r="B75" s="43" t="s">
        <v>111</v>
      </c>
      <c r="C75" s="61">
        <f>_xlfn.IFERROR((C74-Inputs!C125/Inputs!C105)*10000,"n.a.")</f>
        <v>275.01877677087896</v>
      </c>
      <c r="D75" s="61">
        <f>_xlfn.IFERROR((D74-Inputs!D125/Inputs!D105)*10000,"n.a.")</f>
        <v>-146.55756091908668</v>
      </c>
      <c r="E75" s="61">
        <f>_xlfn.IFERROR((E74-Inputs!E125/Inputs!E105)*10000,"n.a.")</f>
        <v>104.65772798396777</v>
      </c>
      <c r="F75" s="61">
        <f>_xlfn.IFERROR((F74-Inputs!F125/Inputs!F105)*10000,"n.a.")</f>
        <v>61.372194720890064</v>
      </c>
      <c r="G75" s="61">
        <f>_xlfn.IFERROR((G74-Inputs!G125/Inputs!G105)*10000,"n.a.")</f>
        <v>115.64837548009133</v>
      </c>
      <c r="H75" s="63">
        <f t="shared" si="22"/>
        <v>56.89416007768067</v>
      </c>
      <c r="I75" s="17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7F8EED8-5568-2DA8-8878-8656F22E4C9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60.00390625" customWidth="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</row>
    <row r="2" ht="13.5" customHeight="1">
      <c r="A2" s="1"/>
      <c r="B2" s="2" t="s">
        <v>0</v>
      </c>
      <c r="C2" s="1"/>
      <c r="D2" s="1"/>
      <c r="E2" s="1"/>
      <c r="F2" s="1"/>
      <c r="G2" s="1"/>
      <c r="H2" s="1"/>
      <c r="I2" s="1"/>
    </row>
    <row r="3" ht="13.5" customHeight="1">
      <c r="A3" s="1"/>
      <c r="B3" s="3" t="s">
        <v>158</v>
      </c>
      <c r="C3" s="1"/>
      <c r="D3" s="1"/>
      <c r="E3" s="1"/>
      <c r="F3" s="1"/>
      <c r="G3" s="1"/>
      <c r="H3" s="1"/>
      <c r="I3" s="1"/>
    </row>
    <row r="4" ht="13.5" customHeight="1">
      <c r="A4" s="1"/>
      <c r="B4" s="4" t="s">
        <v>2</v>
      </c>
      <c r="C4" s="1"/>
      <c r="D4" s="1"/>
      <c r="E4" s="1"/>
      <c r="F4" s="1"/>
      <c r="G4" s="1"/>
      <c r="H4" s="1"/>
      <c r="I4" s="1"/>
    </row>
    <row r="5" ht="13.5" customHeight="1">
      <c r="A5" s="1"/>
      <c r="B5" s="5" t="s">
        <v>62</v>
      </c>
      <c r="C5" s="6" t="s">
        <v>63</v>
      </c>
      <c r="D5" s="6" t="s">
        <v>64</v>
      </c>
      <c r="E5" s="6" t="s">
        <v>65</v>
      </c>
      <c r="F5" s="6" t="s">
        <v>66</v>
      </c>
      <c r="G5" s="6" t="s">
        <v>67</v>
      </c>
      <c r="H5" s="7" t="s">
        <v>68</v>
      </c>
      <c r="I5" s="5" t="s">
        <v>69</v>
      </c>
    </row>
    <row r="6" ht="13.5" customHeight="1">
      <c r="A6" s="1"/>
      <c r="B6" s="8" t="s">
        <v>70</v>
      </c>
      <c r="C6" s="9">
        <v>45930</v>
      </c>
      <c r="D6" s="9">
        <v>46022</v>
      </c>
      <c r="E6" s="9">
        <v>46022</v>
      </c>
      <c r="F6" s="9">
        <v>46112</v>
      </c>
      <c r="G6" s="9">
        <v>46203</v>
      </c>
      <c r="H6" s="10">
        <v>46295</v>
      </c>
      <c r="I6" s="8"/>
    </row>
    <row r="7" ht="13.5" customHeight="1">
      <c r="A7" s="1"/>
      <c r="B7" s="11" t="s">
        <v>71</v>
      </c>
      <c r="C7" s="12">
        <v>92</v>
      </c>
      <c r="D7" s="12">
        <v>92</v>
      </c>
      <c r="E7" s="12">
        <v>365</v>
      </c>
      <c r="F7" s="12">
        <v>90</v>
      </c>
      <c r="G7" s="12">
        <v>91</v>
      </c>
      <c r="H7" s="13">
        <v>92</v>
      </c>
      <c r="I7" s="11"/>
    </row>
    <row r="8" ht="13.5" customHeight="1">
      <c r="A8" s="1"/>
      <c r="B8" s="1"/>
      <c r="C8" s="1"/>
      <c r="D8" s="1"/>
      <c r="E8" s="1"/>
      <c r="F8" s="1"/>
      <c r="G8" s="1"/>
      <c r="H8" s="41"/>
      <c r="I8" s="1"/>
    </row>
    <row r="9" ht="24.75" customHeight="1">
      <c r="A9" s="1"/>
      <c r="B9" s="14" t="s">
        <v>159</v>
      </c>
      <c r="C9" s="22"/>
      <c r="D9" s="22"/>
      <c r="E9" s="22"/>
      <c r="F9" s="22"/>
      <c r="G9" s="22"/>
      <c r="H9" s="42"/>
      <c r="I9" s="17"/>
    </row>
    <row r="10" ht="13.5" customHeight="1">
      <c r="A10" s="1"/>
      <c r="B10" s="58" t="s">
        <v>160</v>
      </c>
      <c r="C10" s="45">
        <v>2905</v>
      </c>
      <c r="D10" s="24">
        <f>Inputs!E242</f>
        <v>2930</v>
      </c>
      <c r="E10" s="24">
        <f>Inputs!C242</f>
        <v>11537</v>
      </c>
      <c r="F10" s="45">
        <v>2896</v>
      </c>
      <c r="G10" s="45">
        <v>2933</v>
      </c>
      <c r="H10" s="56">
        <f t="shared" si="3" ref="H10:H17">C10*(1+H16)*(1+H15)*(1+H14)</f>
        <v>2930.5058999999997</v>
      </c>
      <c r="I10" s="17"/>
    </row>
    <row r="11" ht="13.5" customHeight="1">
      <c r="A11" s="1"/>
      <c r="B11" s="60" t="s">
        <v>74</v>
      </c>
      <c r="C11" s="38">
        <f>_xlfn.IFERROR(C10/Inputs!C114-1,"n.a.")</f>
        <v>0.017156862745097978</v>
      </c>
      <c r="D11" s="38">
        <f>_xlfn.IFERROR(D10/Inputs!D114-1,"n.a.")</f>
        <v>0.019130434782608674</v>
      </c>
      <c r="E11" s="38">
        <f>_xlfn.IFERROR(E10/Inputs!E114-1,"n.a.")</f>
        <v>0.004265320334261746</v>
      </c>
      <c r="F11" s="38">
        <f>_xlfn.IFERROR(F10/Inputs!F114-1,"n.a.")</f>
        <v>0.040977713874910116</v>
      </c>
      <c r="G11" s="38">
        <f>_xlfn.IFERROR(G10/Inputs!G114-1,"n.a.")</f>
        <v>0.004452054794520599</v>
      </c>
      <c r="H11" s="44">
        <f t="shared" si="4" ref="H11:H57">_xlfn.IFERROR(H10/C10-1,"n.a.")</f>
        <v>0.008779999999999788</v>
      </c>
      <c r="I11" s="17"/>
    </row>
    <row r="12" ht="13.5" customHeight="1">
      <c r="A12" s="1"/>
      <c r="B12" s="60" t="s">
        <v>85</v>
      </c>
      <c r="C12" s="51">
        <f>IF(ISNUMBER(Inputs!G114),C10-Inputs!G114,"n.a.")</f>
        <v>-15</v>
      </c>
      <c r="D12" s="47">
        <f t="shared" si="0" ref="D12:H58">D10-C10</f>
        <v>25</v>
      </c>
      <c r="E12" s="47" t="s">
        <v>38</v>
      </c>
      <c r="F12" s="47">
        <f t="shared" si="5" ref="F12:F58">F10-D10</f>
        <v>-34</v>
      </c>
      <c r="G12" s="47">
        <f t="shared" si="0"/>
        <v>37</v>
      </c>
      <c r="H12" s="52">
        <f t="shared" si="0"/>
        <v>-2.494100000000344</v>
      </c>
      <c r="I12" s="17"/>
    </row>
    <row r="13" ht="13.5" customHeight="1">
      <c r="A13" s="1"/>
      <c r="B13" s="60" t="s">
        <v>119</v>
      </c>
      <c r="C13" s="66">
        <v>0</v>
      </c>
      <c r="D13" s="66">
        <v>0</v>
      </c>
      <c r="E13" s="39" t="s">
        <v>38</v>
      </c>
      <c r="F13" s="53">
        <v>0.01</v>
      </c>
      <c r="G13" s="53">
        <v>0.01</v>
      </c>
      <c r="H13" s="44">
        <f t="shared" si="6" ref="H13:H20">(1+H16)*(1+H15)-1</f>
        <v>0.020000000000000018</v>
      </c>
      <c r="I13" s="17"/>
    </row>
    <row r="14" ht="13.5" customHeight="1">
      <c r="A14" s="1"/>
      <c r="B14" s="60" t="s">
        <v>120</v>
      </c>
      <c r="C14" s="39">
        <f t="shared" si="1" ref="C14:H29">_xlfn.IFERROR((1+C11)/(1+C13)-1,"n.a.")</f>
        <v>0.017156862745097978</v>
      </c>
      <c r="D14" s="39">
        <f t="shared" si="1"/>
        <v>0.019130434782608674</v>
      </c>
      <c r="E14" s="39" t="str">
        <f t="shared" si="1"/>
        <v>n.a.</v>
      </c>
      <c r="F14" s="39">
        <f t="shared" si="1"/>
        <v>0.030671003836544752</v>
      </c>
      <c r="G14" s="39">
        <f t="shared" si="1"/>
        <v>-0.0054930150549301615</v>
      </c>
      <c r="H14" s="40">
        <f>'Revenue summary'!H36</f>
        <v>-0.011</v>
      </c>
      <c r="I14" s="17"/>
    </row>
    <row r="15" ht="13.5" customHeight="1">
      <c r="A15" s="1"/>
      <c r="B15" s="60" t="s">
        <v>121</v>
      </c>
      <c r="C15" s="39" t="s">
        <v>38</v>
      </c>
      <c r="D15" s="39" t="s">
        <v>38</v>
      </c>
      <c r="E15" s="39" t="s">
        <v>38</v>
      </c>
      <c r="F15" s="39" t="s">
        <v>38</v>
      </c>
      <c r="G15" s="39" t="s">
        <v>38</v>
      </c>
      <c r="H15" s="54">
        <v>0</v>
      </c>
      <c r="I15" s="17"/>
    </row>
    <row r="16" ht="24.75" customHeight="1">
      <c r="A16" s="1"/>
      <c r="B16" s="60" t="s">
        <v>90</v>
      </c>
      <c r="C16" s="39" t="str">
        <f t="shared" si="2" ref="C16:H31">IF(AND(ISNUMBER(C11),ISNUMBER(C15),ISNUMBER(C14)),(1+C11)/((1+C15)*(1+C14))-1,"n.a.")</f>
        <v>n.a.</v>
      </c>
      <c r="D16" s="39" t="str">
        <f t="shared" si="2"/>
        <v>n.a.</v>
      </c>
      <c r="E16" s="39" t="str">
        <f t="shared" si="2"/>
        <v>n.a.</v>
      </c>
      <c r="F16" s="39" t="str">
        <f t="shared" si="2"/>
        <v>n.a.</v>
      </c>
      <c r="G16" s="39" t="str">
        <f t="shared" si="2"/>
        <v>n.a.</v>
      </c>
      <c r="H16" s="54">
        <v>0.02</v>
      </c>
      <c r="I16" s="32" t="s">
        <v>161</v>
      </c>
    </row>
    <row r="17" ht="13.5" customHeight="1">
      <c r="A17" s="1"/>
      <c r="B17" s="58" t="s">
        <v>162</v>
      </c>
      <c r="C17" s="45">
        <v>2419</v>
      </c>
      <c r="D17" s="24">
        <f>Inputs!E243</f>
        <v>2418</v>
      </c>
      <c r="E17" s="24">
        <f>Inputs!C243</f>
        <v>9518</v>
      </c>
      <c r="F17" s="45">
        <v>2376</v>
      </c>
      <c r="G17" s="45">
        <v>2394</v>
      </c>
      <c r="H17" s="56">
        <f t="shared" si="3"/>
        <v>2464.16273</v>
      </c>
      <c r="I17" s="17"/>
    </row>
    <row r="18" ht="13.5" customHeight="1">
      <c r="A18" s="1"/>
      <c r="B18" s="60" t="s">
        <v>74</v>
      </c>
      <c r="C18" s="38">
        <f>_xlfn.IFERROR(C17/Inputs!C115-1,"n.a.")</f>
        <v>0.05311275576839347</v>
      </c>
      <c r="D18" s="38">
        <f>_xlfn.IFERROR(D17/Inputs!D115-1,"n.a.")</f>
        <v>0.05130434782608706</v>
      </c>
      <c r="E18" s="38">
        <f>_xlfn.IFERROR(E17/Inputs!E115-1,"n.a.")</f>
        <v>0.03411560191221219</v>
      </c>
      <c r="F18" s="38">
        <f>_xlfn.IFERROR(F17/Inputs!F115-1,"n.a.")</f>
        <v>0.03937007874015741</v>
      </c>
      <c r="G18" s="38">
        <f>_xlfn.IFERROR(G17/Inputs!G115-1,"n.a.")</f>
        <v>-0.00041753653444676075</v>
      </c>
      <c r="H18" s="44">
        <f t="shared" si="4"/>
        <v>0.018669999999999964</v>
      </c>
      <c r="I18" s="17"/>
    </row>
    <row r="19" ht="13.5" customHeight="1">
      <c r="A19" s="1"/>
      <c r="B19" s="60" t="s">
        <v>85</v>
      </c>
      <c r="C19" s="51">
        <f>IF(ISNUMBER(Inputs!G115),C17-Inputs!G115,"n.a.")</f>
        <v>24</v>
      </c>
      <c r="D19" s="47">
        <f t="shared" si="0"/>
        <v>-1</v>
      </c>
      <c r="E19" s="47" t="s">
        <v>38</v>
      </c>
      <c r="F19" s="47">
        <f t="shared" si="5"/>
        <v>-42</v>
      </c>
      <c r="G19" s="47">
        <f t="shared" si="0"/>
        <v>18</v>
      </c>
      <c r="H19" s="52">
        <f t="shared" si="0"/>
        <v>70.16273000000001</v>
      </c>
      <c r="I19" s="17"/>
    </row>
    <row r="20" ht="13.5" customHeight="1">
      <c r="A20" s="1"/>
      <c r="B20" s="60" t="s">
        <v>119</v>
      </c>
      <c r="C20" s="53">
        <v>0.04</v>
      </c>
      <c r="D20" s="53">
        <v>0.03</v>
      </c>
      <c r="E20" s="39" t="s">
        <v>38</v>
      </c>
      <c r="F20" s="53">
        <v>0.01</v>
      </c>
      <c r="G20" s="53">
        <v>0.01</v>
      </c>
      <c r="H20" s="44">
        <f t="shared" si="6"/>
        <v>0.030000000000000027</v>
      </c>
      <c r="I20" s="17"/>
    </row>
    <row r="21" ht="13.5" customHeight="1">
      <c r="A21" s="1"/>
      <c r="B21" s="60" t="s">
        <v>120</v>
      </c>
      <c r="C21" s="39">
        <f t="shared" si="1"/>
        <v>0.012608419008070637</v>
      </c>
      <c r="D21" s="39">
        <f t="shared" si="1"/>
        <v>0.02068383284086117</v>
      </c>
      <c r="E21" s="39" t="str">
        <f t="shared" si="1"/>
        <v>n.a.</v>
      </c>
      <c r="F21" s="39">
        <f t="shared" si="1"/>
        <v>0.029079285881344008</v>
      </c>
      <c r="G21" s="39">
        <f t="shared" si="1"/>
        <v>-0.010314392608363088</v>
      </c>
      <c r="H21" s="40">
        <f>'Revenue summary'!H36</f>
        <v>-0.011</v>
      </c>
      <c r="I21" s="17"/>
    </row>
    <row r="22" ht="13.5" customHeight="1">
      <c r="A22" s="1"/>
      <c r="B22" s="60" t="s">
        <v>121</v>
      </c>
      <c r="C22" s="39" t="s">
        <v>38</v>
      </c>
      <c r="D22" s="39" t="s">
        <v>38</v>
      </c>
      <c r="E22" s="39" t="s">
        <v>38</v>
      </c>
      <c r="F22" s="39" t="s">
        <v>38</v>
      </c>
      <c r="G22" s="39" t="s">
        <v>38</v>
      </c>
      <c r="H22" s="54">
        <v>0</v>
      </c>
      <c r="I22" s="17"/>
    </row>
    <row r="23" ht="24.75" customHeight="1">
      <c r="A23" s="1"/>
      <c r="B23" s="60" t="s">
        <v>90</v>
      </c>
      <c r="C23" s="39" t="str">
        <f t="shared" si="2"/>
        <v>n.a.</v>
      </c>
      <c r="D23" s="39" t="str">
        <f t="shared" si="2"/>
        <v>n.a.</v>
      </c>
      <c r="E23" s="39" t="str">
        <f t="shared" si="2"/>
        <v>n.a.</v>
      </c>
      <c r="F23" s="39" t="str">
        <f t="shared" si="2"/>
        <v>n.a.</v>
      </c>
      <c r="G23" s="39" t="str">
        <f t="shared" si="2"/>
        <v>n.a.</v>
      </c>
      <c r="H23" s="54">
        <v>0.03</v>
      </c>
      <c r="I23" s="32" t="s">
        <v>163</v>
      </c>
    </row>
    <row r="24" ht="24.75" customHeight="1">
      <c r="A24" s="1"/>
      <c r="B24" s="43" t="s">
        <v>131</v>
      </c>
      <c r="C24" s="47">
        <f t="shared" si="7" ref="C24:G24">C32-(C10+C17)</f>
        <v>0</v>
      </c>
      <c r="D24" s="47">
        <f t="shared" si="7"/>
        <v>1</v>
      </c>
      <c r="E24" s="47">
        <f t="shared" si="7"/>
        <v>0</v>
      </c>
      <c r="F24" s="47">
        <f t="shared" si="7"/>
        <v>0</v>
      </c>
      <c r="G24" s="47">
        <f t="shared" si="7"/>
        <v>0</v>
      </c>
      <c r="H24" s="48">
        <v>0</v>
      </c>
      <c r="I24" s="17"/>
    </row>
    <row r="25" ht="13.5" customHeight="1">
      <c r="A25" s="1"/>
      <c r="B25" s="14" t="s">
        <v>164</v>
      </c>
      <c r="C25" s="49">
        <f t="shared" si="8" ref="C25:H25">C10+C17+C24</f>
        <v>5324</v>
      </c>
      <c r="D25" s="49">
        <f t="shared" si="8"/>
        <v>5349</v>
      </c>
      <c r="E25" s="49">
        <f t="shared" si="8"/>
        <v>21055</v>
      </c>
      <c r="F25" s="49">
        <f t="shared" si="8"/>
        <v>5272</v>
      </c>
      <c r="G25" s="49">
        <f t="shared" si="8"/>
        <v>5327</v>
      </c>
      <c r="H25" s="50">
        <f t="shared" si="8"/>
        <v>5394.66863</v>
      </c>
      <c r="I25" s="17"/>
    </row>
    <row r="26" ht="13.5" customHeight="1">
      <c r="A26" s="1"/>
      <c r="B26" s="43" t="s">
        <v>74</v>
      </c>
      <c r="C26" s="38">
        <f>_xlfn.IFERROR(C25/Inputs!C106-1,"n.a.")</f>
        <v>0.033385093167701774</v>
      </c>
      <c r="D26" s="38">
        <f>_xlfn.IFERROR(D25/Inputs!D106-1,"n.a.")</f>
        <v>0.033623188405797144</v>
      </c>
      <c r="E26" s="38">
        <f>_xlfn.IFERROR(E25/Inputs!E106-1,"n.a.")</f>
        <v>0.0175430117919968</v>
      </c>
      <c r="F26" s="38">
        <f>_xlfn.IFERROR(F25/Inputs!F106-1,"n.a.")</f>
        <v>0.04025256511444364</v>
      </c>
      <c r="G26" s="38">
        <f>_xlfn.IFERROR(G25/Inputs!G106-1,"n.a.")</f>
        <v>0.00244636808430565</v>
      </c>
      <c r="H26" s="44">
        <f t="shared" si="4"/>
        <v>0.013273596919609387</v>
      </c>
      <c r="I26" s="17"/>
    </row>
    <row r="27" ht="13.5" customHeight="1">
      <c r="A27" s="1"/>
      <c r="B27" s="43" t="s">
        <v>85</v>
      </c>
      <c r="C27" s="51">
        <f>IF(ISNUMBER(Inputs!G106),C25-Inputs!G106,"n.a.")</f>
        <v>10</v>
      </c>
      <c r="D27" s="47">
        <f t="shared" si="0"/>
        <v>25</v>
      </c>
      <c r="E27" s="47" t="s">
        <v>38</v>
      </c>
      <c r="F27" s="47">
        <f t="shared" si="5"/>
        <v>-77</v>
      </c>
      <c r="G27" s="47">
        <f t="shared" si="0"/>
        <v>55</v>
      </c>
      <c r="H27" s="52">
        <f t="shared" si="0"/>
        <v>67.66863000000012</v>
      </c>
      <c r="I27" s="17"/>
    </row>
    <row r="28" ht="13.5" customHeight="1">
      <c r="A28" s="1"/>
      <c r="B28" s="43" t="s">
        <v>119</v>
      </c>
      <c r="C28" s="53">
        <v>0.015</v>
      </c>
      <c r="D28" s="53">
        <v>0.01</v>
      </c>
      <c r="E28" s="53">
        <v>0.004</v>
      </c>
      <c r="F28" s="53">
        <v>0.009</v>
      </c>
      <c r="G28" s="53">
        <v>0.011</v>
      </c>
      <c r="H28" s="44">
        <f>(C10*(1+H13)+C17*(1+H20))/C25-1</f>
        <v>0.02454357625845227</v>
      </c>
      <c r="I28" s="17"/>
    </row>
    <row r="29" ht="13.5" customHeight="1">
      <c r="A29" s="1"/>
      <c r="B29" s="43" t="s">
        <v>120</v>
      </c>
      <c r="C29" s="39">
        <f t="shared" si="1"/>
        <v>0.018113392283450214</v>
      </c>
      <c r="D29" s="39">
        <f t="shared" si="1"/>
        <v>0.02338929545128421</v>
      </c>
      <c r="E29" s="39">
        <f t="shared" si="1"/>
        <v>0.013489055569718023</v>
      </c>
      <c r="F29" s="39">
        <f t="shared" si="1"/>
        <v>0.030973800906287208</v>
      </c>
      <c r="G29" s="39">
        <f t="shared" si="1"/>
        <v>-0.00846056569307052</v>
      </c>
      <c r="H29" s="44">
        <f t="shared" si="1"/>
        <v>-0.010999999999999899</v>
      </c>
      <c r="I29" s="17"/>
    </row>
    <row r="30" ht="13.5" customHeight="1">
      <c r="A30" s="1"/>
      <c r="B30" s="43" t="s">
        <v>121</v>
      </c>
      <c r="C30" s="39" t="s">
        <v>38</v>
      </c>
      <c r="D30" s="39" t="s">
        <v>38</v>
      </c>
      <c r="E30" s="39" t="s">
        <v>38</v>
      </c>
      <c r="F30" s="39" t="s">
        <v>38</v>
      </c>
      <c r="G30" s="39" t="s">
        <v>38</v>
      </c>
      <c r="H30" s="44">
        <f>(1+H28)/((C10*(1+H16)+C17*(1+H23))/C25)-1</f>
        <v>0</v>
      </c>
      <c r="I30" s="17"/>
    </row>
    <row r="31" ht="13.5" customHeight="1">
      <c r="A31" s="1"/>
      <c r="B31" s="43" t="s">
        <v>90</v>
      </c>
      <c r="C31" s="39" t="str">
        <f t="shared" si="2"/>
        <v>n.a.</v>
      </c>
      <c r="D31" s="39" t="str">
        <f t="shared" si="2"/>
        <v>n.a.</v>
      </c>
      <c r="E31" s="39" t="str">
        <f t="shared" si="2"/>
        <v>n.a.</v>
      </c>
      <c r="F31" s="39" t="str">
        <f t="shared" si="2"/>
        <v>n.a.</v>
      </c>
      <c r="G31" s="39" t="str">
        <f t="shared" si="2"/>
        <v>n.a.</v>
      </c>
      <c r="H31" s="44">
        <f t="shared" si="2"/>
        <v>0.02454357625845227</v>
      </c>
      <c r="I31" s="17"/>
    </row>
    <row r="32" ht="24.75" customHeight="1">
      <c r="A32" s="1"/>
      <c r="B32" s="43" t="s">
        <v>134</v>
      </c>
      <c r="C32" s="67">
        <v>5324</v>
      </c>
      <c r="D32" s="67">
        <v>5349</v>
      </c>
      <c r="E32" s="67">
        <v>21055</v>
      </c>
      <c r="F32" s="67">
        <v>5272</v>
      </c>
      <c r="G32" s="67">
        <v>5327</v>
      </c>
      <c r="H32" s="52"/>
      <c r="I32" s="17"/>
    </row>
    <row r="33" ht="24.75" customHeight="1">
      <c r="A33" s="1"/>
      <c r="B33" s="58" t="s">
        <v>135</v>
      </c>
      <c r="C33" s="19" t="b">
        <f t="shared" si="9" ref="C33:G33">ABS(C24)&lt;=1</f>
        <v>1</v>
      </c>
      <c r="D33" s="19" t="b">
        <f t="shared" si="9"/>
        <v>1</v>
      </c>
      <c r="E33" s="19" t="b">
        <f t="shared" si="9"/>
        <v>1</v>
      </c>
      <c r="F33" s="19" t="b">
        <f t="shared" si="9"/>
        <v>1</v>
      </c>
      <c r="G33" s="19" t="b">
        <f t="shared" si="9"/>
        <v>1</v>
      </c>
      <c r="H33" s="57"/>
      <c r="I33" s="17"/>
    </row>
    <row r="34" ht="13.5" customHeight="1">
      <c r="A34" s="1"/>
      <c r="B34" s="17"/>
      <c r="C34" s="20"/>
      <c r="D34" s="20"/>
      <c r="E34" s="20"/>
      <c r="F34" s="20"/>
      <c r="G34" s="20"/>
      <c r="H34" s="55"/>
      <c r="I34" s="17"/>
    </row>
    <row r="35" ht="24.75" customHeight="1">
      <c r="A35" s="1"/>
      <c r="B35" s="14" t="s">
        <v>165</v>
      </c>
      <c r="C35" s="22"/>
      <c r="D35" s="22"/>
      <c r="E35" s="22"/>
      <c r="F35" s="22"/>
      <c r="G35" s="22"/>
      <c r="H35" s="42"/>
      <c r="I35" s="17"/>
    </row>
    <row r="36" ht="24.75" customHeight="1">
      <c r="A36" s="1"/>
      <c r="B36" s="17" t="s">
        <v>166</v>
      </c>
      <c r="C36" s="25" t="s">
        <v>38</v>
      </c>
      <c r="D36" s="25" t="s">
        <v>38</v>
      </c>
      <c r="E36" s="25" t="s">
        <v>38</v>
      </c>
      <c r="F36" s="25">
        <f>D43</f>
        <v>32000</v>
      </c>
      <c r="G36" s="25" t="s">
        <v>38</v>
      </c>
      <c r="H36" s="56" t="s">
        <v>38</v>
      </c>
      <c r="I36" s="32" t="s">
        <v>167</v>
      </c>
    </row>
    <row r="37" ht="13.5" customHeight="1">
      <c r="A37" s="1"/>
      <c r="B37" s="58" t="s">
        <v>168</v>
      </c>
      <c r="C37" s="45">
        <v>5200</v>
      </c>
      <c r="D37" s="45">
        <v>6800</v>
      </c>
      <c r="E37" s="45">
        <v>21800</v>
      </c>
      <c r="F37" s="45">
        <v>5400</v>
      </c>
      <c r="G37" s="45">
        <v>5000</v>
      </c>
      <c r="H37" s="56" t="s">
        <v>38</v>
      </c>
      <c r="I37" s="17"/>
    </row>
    <row r="38" ht="13.5" customHeight="1">
      <c r="A38" s="1"/>
      <c r="B38" s="60" t="s">
        <v>169</v>
      </c>
      <c r="C38" s="53">
        <v>-0.05</v>
      </c>
      <c r="D38" s="53">
        <v>-0.22</v>
      </c>
      <c r="E38" s="53">
        <v>-0.15</v>
      </c>
      <c r="F38" s="53">
        <v>0.06</v>
      </c>
      <c r="G38" s="53">
        <v>0.06</v>
      </c>
      <c r="H38" s="44" t="s">
        <v>38</v>
      </c>
      <c r="I38" s="17"/>
    </row>
    <row r="39" ht="13.5" customHeight="1">
      <c r="A39" s="1"/>
      <c r="B39" s="60" t="s">
        <v>170</v>
      </c>
      <c r="C39" s="47" t="s">
        <v>38</v>
      </c>
      <c r="D39" s="47">
        <f t="shared" si="10" ref="D39:H55">_xlfn.IFERROR(D37-C37,"n.a.")</f>
        <v>1600</v>
      </c>
      <c r="E39" s="47" t="s">
        <v>38</v>
      </c>
      <c r="F39" s="47">
        <f t="shared" si="18" ref="F39:F55">_xlfn.IFERROR(F37-D37,"n.a.")</f>
        <v>-1400</v>
      </c>
      <c r="G39" s="47">
        <f t="shared" si="10"/>
        <v>-400</v>
      </c>
      <c r="H39" s="52" t="str">
        <f t="shared" si="10"/>
        <v>n.a.</v>
      </c>
      <c r="I39" s="17"/>
    </row>
    <row r="40" ht="24.75" customHeight="1">
      <c r="A40" s="1"/>
      <c r="B40" s="58" t="s">
        <v>171</v>
      </c>
      <c r="C40" s="25">
        <f t="shared" si="11" ref="C40:H40">-C25</f>
        <v>-5324</v>
      </c>
      <c r="D40" s="25">
        <f t="shared" si="11"/>
        <v>-5349</v>
      </c>
      <c r="E40" s="25">
        <f t="shared" si="11"/>
        <v>-21055</v>
      </c>
      <c r="F40" s="25">
        <f t="shared" si="11"/>
        <v>-5272</v>
      </c>
      <c r="G40" s="25">
        <f t="shared" si="11"/>
        <v>-5327</v>
      </c>
      <c r="H40" s="56">
        <f t="shared" si="11"/>
        <v>-5394.66863</v>
      </c>
      <c r="I40" s="17"/>
    </row>
    <row r="41" ht="24.75" customHeight="1">
      <c r="A41" s="1"/>
      <c r="B41" s="58" t="s">
        <v>172</v>
      </c>
      <c r="C41" s="19" t="s">
        <v>38</v>
      </c>
      <c r="D41" s="19" t="s">
        <v>38</v>
      </c>
      <c r="E41" s="19" t="s">
        <v>38</v>
      </c>
      <c r="F41" s="19" t="s">
        <v>38</v>
      </c>
      <c r="G41" s="19" t="s">
        <v>38</v>
      </c>
      <c r="H41" s="57" t="s">
        <v>38</v>
      </c>
      <c r="I41" s="17"/>
    </row>
    <row r="42" ht="24.75" customHeight="1">
      <c r="A42" s="1"/>
      <c r="B42" s="58" t="s">
        <v>173</v>
      </c>
      <c r="C42" s="25">
        <f t="shared" si="12" ref="C42:H42">_xlfn.IFERROR(C37+C40,"n.a.")</f>
        <v>-124</v>
      </c>
      <c r="D42" s="25">
        <f t="shared" si="12"/>
        <v>1451</v>
      </c>
      <c r="E42" s="25">
        <f t="shared" si="12"/>
        <v>745</v>
      </c>
      <c r="F42" s="25">
        <f t="shared" si="12"/>
        <v>128</v>
      </c>
      <c r="G42" s="25">
        <f t="shared" si="12"/>
        <v>-327</v>
      </c>
      <c r="H42" s="56" t="str">
        <f t="shared" si="12"/>
        <v>n.a.</v>
      </c>
      <c r="I42" s="17"/>
    </row>
    <row r="43" ht="13.5" customHeight="1">
      <c r="A43" s="1"/>
      <c r="B43" s="14" t="s">
        <v>174</v>
      </c>
      <c r="C43" s="49" t="s">
        <v>38</v>
      </c>
      <c r="D43" s="59">
        <v>32000</v>
      </c>
      <c r="E43" s="49">
        <f t="shared" si="14" ref="E43:E45">D43</f>
        <v>32000</v>
      </c>
      <c r="F43" s="49" t="s">
        <v>38</v>
      </c>
      <c r="G43" s="49" t="s">
        <v>38</v>
      </c>
      <c r="H43" s="50" t="s">
        <v>38</v>
      </c>
      <c r="I43" s="17"/>
    </row>
    <row r="44" ht="13.5" customHeight="1">
      <c r="A44" s="1"/>
      <c r="B44" s="58" t="s">
        <v>175</v>
      </c>
      <c r="C44" s="25" t="str">
        <f t="shared" si="13" ref="C44:H44">IF(AND(ISNUMBER(C43),ISNUMBER(C36)),AVERAGE(C43,C36),"n.a.")</f>
        <v>n.a.</v>
      </c>
      <c r="D44" s="25" t="str">
        <f t="shared" si="13"/>
        <v>n.a.</v>
      </c>
      <c r="E44" s="25" t="str">
        <f t="shared" si="13"/>
        <v>n.a.</v>
      </c>
      <c r="F44" s="25" t="str">
        <f t="shared" si="13"/>
        <v>n.a.</v>
      </c>
      <c r="G44" s="25" t="str">
        <f t="shared" si="13"/>
        <v>n.a.</v>
      </c>
      <c r="H44" s="56" t="str">
        <f t="shared" si="13"/>
        <v>n.a.</v>
      </c>
      <c r="I44" s="17"/>
    </row>
    <row r="45" ht="24.75" customHeight="1">
      <c r="A45" s="1"/>
      <c r="B45" s="17" t="s">
        <v>176</v>
      </c>
      <c r="C45" s="68">
        <v>1.12</v>
      </c>
      <c r="D45" s="68">
        <v>1.03</v>
      </c>
      <c r="E45" s="64">
        <f t="shared" si="14"/>
        <v>1.03</v>
      </c>
      <c r="F45" s="68">
        <v>1.04</v>
      </c>
      <c r="G45" s="68">
        <v>1.05</v>
      </c>
      <c r="H45" s="65" t="s">
        <v>38</v>
      </c>
      <c r="I45" s="17"/>
    </row>
    <row r="46" ht="13.5" customHeight="1">
      <c r="A46" s="1"/>
      <c r="B46" s="58" t="s">
        <v>177</v>
      </c>
      <c r="C46" s="64">
        <f t="shared" si="15" ref="C46:H46">_xlfn.IFERROR(C37/C25,"n.a.")</f>
        <v>0.976709241172051</v>
      </c>
      <c r="D46" s="64">
        <f t="shared" si="15"/>
        <v>1.2712656571321743</v>
      </c>
      <c r="E46" s="64">
        <f t="shared" si="15"/>
        <v>1.0353835193540726</v>
      </c>
      <c r="F46" s="64">
        <f t="shared" si="15"/>
        <v>1.024279210925645</v>
      </c>
      <c r="G46" s="64">
        <f t="shared" si="15"/>
        <v>0.9386146048432513</v>
      </c>
      <c r="H46" s="65" t="str">
        <f t="shared" si="15"/>
        <v>n.a.</v>
      </c>
      <c r="I46" s="17"/>
    </row>
    <row r="47" ht="24.75" customHeight="1">
      <c r="A47" s="1"/>
      <c r="B47" s="32" t="s">
        <v>178</v>
      </c>
      <c r="C47" s="39" t="s">
        <v>38</v>
      </c>
      <c r="D47" s="39" t="s">
        <v>38</v>
      </c>
      <c r="E47" s="39" t="s">
        <v>38</v>
      </c>
      <c r="F47" s="39" t="s">
        <v>38</v>
      </c>
      <c r="G47" s="53">
        <v>0.5</v>
      </c>
      <c r="H47" s="44" t="s">
        <v>38</v>
      </c>
      <c r="I47" s="17"/>
    </row>
    <row r="48" ht="13.5" customHeight="1">
      <c r="A48" s="1"/>
      <c r="B48" s="58" t="s">
        <v>179</v>
      </c>
      <c r="C48" s="25" t="str">
        <f t="shared" si="16" ref="C48:H48">_xlfn.IFERROR(C37*C47,"n.a.")</f>
        <v>n.a.</v>
      </c>
      <c r="D48" s="25" t="str">
        <f t="shared" si="16"/>
        <v>n.a.</v>
      </c>
      <c r="E48" s="25" t="str">
        <f t="shared" si="16"/>
        <v>n.a.</v>
      </c>
      <c r="F48" s="25" t="str">
        <f t="shared" si="16"/>
        <v>n.a.</v>
      </c>
      <c r="G48" s="25">
        <f t="shared" si="16"/>
        <v>2500</v>
      </c>
      <c r="H48" s="56" t="str">
        <f t="shared" si="16"/>
        <v>n.a.</v>
      </c>
      <c r="I48" s="17"/>
    </row>
    <row r="49" ht="13.5" customHeight="1">
      <c r="A49" s="1"/>
      <c r="B49" s="17"/>
      <c r="C49" s="20"/>
      <c r="D49" s="20"/>
      <c r="E49" s="20"/>
      <c r="F49" s="20"/>
      <c r="G49" s="20"/>
      <c r="H49" s="55"/>
      <c r="I49" s="17"/>
    </row>
    <row r="50" ht="13.5" customHeight="1">
      <c r="A50" s="1"/>
      <c r="B50" s="14" t="s">
        <v>180</v>
      </c>
      <c r="C50" s="22"/>
      <c r="D50" s="22"/>
      <c r="E50" s="22"/>
      <c r="F50" s="22"/>
      <c r="G50" s="22"/>
      <c r="H50" s="42"/>
      <c r="I50" s="17"/>
    </row>
    <row r="51" ht="13.5" customHeight="1">
      <c r="A51" s="1"/>
      <c r="B51" s="32" t="s">
        <v>152</v>
      </c>
      <c r="C51" s="53">
        <v>0.293</v>
      </c>
      <c r="D51" s="53">
        <v>0.284</v>
      </c>
      <c r="E51" s="53">
        <v>0.281</v>
      </c>
      <c r="F51" s="53">
        <v>0.275</v>
      </c>
      <c r="G51" s="53">
        <v>0.289</v>
      </c>
      <c r="H51" s="54">
        <v>0.298</v>
      </c>
      <c r="I51" s="32" t="s">
        <v>181</v>
      </c>
    </row>
    <row r="52" ht="13.5" customHeight="1">
      <c r="A52" s="1"/>
      <c r="B52" s="43" t="s">
        <v>111</v>
      </c>
      <c r="C52" s="61">
        <f>_xlfn.IFERROR((C51-Inputs!C122)*10000,"n.a.")</f>
        <v>90.00000000000009</v>
      </c>
      <c r="D52" s="61">
        <f>_xlfn.IFERROR((D51-Inputs!D122)*10000,"n.a.")</f>
        <v>39.99999999999948</v>
      </c>
      <c r="E52" s="61">
        <f>_xlfn.IFERROR((E51-Inputs!E122)*10000,"n.a.")</f>
        <v>110.0000000000001</v>
      </c>
      <c r="F52" s="61">
        <f>_xlfn.IFERROR((F51-Inputs!F122)*10000,"n.a.")</f>
        <v>20.000000000000018</v>
      </c>
      <c r="G52" s="61">
        <f>_xlfn.IFERROR((G51-Inputs!G122)*10000,"n.a.")</f>
        <v>139.99999999999957</v>
      </c>
      <c r="H52" s="63">
        <f t="shared" si="20" ref="H52:H60">_xlfn.IFERROR((H51-C51)*10000,"n.a.")</f>
        <v>50.00000000000004</v>
      </c>
      <c r="I52" s="17"/>
    </row>
    <row r="53" ht="13.5" customHeight="1">
      <c r="A53" s="1"/>
      <c r="B53" s="17" t="s">
        <v>154</v>
      </c>
      <c r="C53" s="25">
        <f t="shared" si="17" ref="C53:H53">C25*C51</f>
        <v>1559.932</v>
      </c>
      <c r="D53" s="25">
        <f t="shared" si="17"/>
        <v>1519.1159999999998</v>
      </c>
      <c r="E53" s="25">
        <f t="shared" si="17"/>
        <v>5916.455000000001</v>
      </c>
      <c r="F53" s="25">
        <f t="shared" si="17"/>
        <v>1449.8000000000002</v>
      </c>
      <c r="G53" s="25">
        <f t="shared" si="17"/>
        <v>1539.503</v>
      </c>
      <c r="H53" s="56">
        <f t="shared" si="17"/>
        <v>1607.61125174</v>
      </c>
      <c r="I53" s="17"/>
    </row>
    <row r="54" ht="13.5" customHeight="1">
      <c r="A54" s="1"/>
      <c r="B54" s="43" t="s">
        <v>74</v>
      </c>
      <c r="C54" s="38">
        <f>_xlfn.IFERROR(C53/(Inputs!C106*Inputs!C122)-1,"n.a.")</f>
        <v>0.06613321231738256</v>
      </c>
      <c r="D54" s="38">
        <f>_xlfn.IFERROR(D53/(Inputs!D106*Inputs!D122)-1,"n.a.")</f>
        <v>0.04838923395445094</v>
      </c>
      <c r="E54" s="38">
        <f>_xlfn.IFERROR(E53/(Inputs!E106*Inputs!E122)-1,"n.a.")</f>
        <v>0.05899846782796736</v>
      </c>
      <c r="F54" s="38">
        <f>_xlfn.IFERROR(F53/(Inputs!F106*Inputs!F122)-1,"n.a.")</f>
        <v>0.047873463027370056</v>
      </c>
      <c r="G54" s="38">
        <f>_xlfn.IFERROR(G53/(Inputs!G106*Inputs!G122)-1,"n.a.")</f>
        <v>0.05348000136859743</v>
      </c>
      <c r="H54" s="44">
        <f t="shared" si="4"/>
        <v>0.030564955228817636</v>
      </c>
      <c r="I54" s="17"/>
    </row>
    <row r="55" ht="13.5" customHeight="1">
      <c r="A55" s="1"/>
      <c r="B55" s="43" t="s">
        <v>85</v>
      </c>
      <c r="C55" s="51">
        <f>_xlfn.IFERROR(C53-Inputs!G106*Inputs!G122,"n.a.")</f>
        <v>98.58199999999988</v>
      </c>
      <c r="D55" s="47">
        <f t="shared" si="10"/>
        <v>-40.81600000000026</v>
      </c>
      <c r="E55" s="47" t="s">
        <v>38</v>
      </c>
      <c r="F55" s="47">
        <f t="shared" si="18"/>
        <v>-69.31599999999958</v>
      </c>
      <c r="G55" s="47">
        <f t="shared" si="10"/>
        <v>89.70299999999975</v>
      </c>
      <c r="H55" s="52">
        <f t="shared" si="10"/>
        <v>68.10825174000001</v>
      </c>
      <c r="I55" s="17"/>
    </row>
    <row r="56" ht="13.5" customHeight="1">
      <c r="A56" s="1"/>
      <c r="B56" s="14" t="s">
        <v>155</v>
      </c>
      <c r="C56" s="59">
        <v>686</v>
      </c>
      <c r="D56" s="59">
        <v>658</v>
      </c>
      <c r="E56" s="59">
        <v>2464</v>
      </c>
      <c r="F56" s="59">
        <v>558</v>
      </c>
      <c r="G56" s="59">
        <v>647</v>
      </c>
      <c r="H56" s="50">
        <f>H25*H59</f>
        <v>728.28026505</v>
      </c>
      <c r="I56" s="17"/>
    </row>
    <row r="57" ht="13.5" customHeight="1">
      <c r="A57" s="1"/>
      <c r="B57" s="43" t="s">
        <v>74</v>
      </c>
      <c r="C57" s="38">
        <f>_xlfn.IFERROR(C56/Inputs!C126-1,"n.a.")</f>
        <v>0.2271914132379249</v>
      </c>
      <c r="D57" s="38">
        <f>_xlfn.IFERROR(D56/Inputs!D126-1,"n.a.")</f>
        <v>0.08580858085808574</v>
      </c>
      <c r="E57" s="38">
        <f>_xlfn.IFERROR(E56/Inputs!E126-1,"n.a.")</f>
        <v>0.19961051606621227</v>
      </c>
      <c r="F57" s="38">
        <f>_xlfn.IFERROR(F56/Inputs!F126-1,"n.a.")</f>
        <v>0</v>
      </c>
      <c r="G57" s="38">
        <f>_xlfn.IFERROR(G56/Inputs!G126-1,"n.a.")</f>
        <v>0.1512455516014235</v>
      </c>
      <c r="H57" s="44">
        <f t="shared" si="4"/>
        <v>0.06163303943148701</v>
      </c>
      <c r="I57" s="17"/>
    </row>
    <row r="58" ht="13.5" customHeight="1">
      <c r="A58" s="1"/>
      <c r="B58" s="43" t="s">
        <v>85</v>
      </c>
      <c r="C58" s="51">
        <f>IF(ISNUMBER(Inputs!G126),C56-Inputs!G126,"n.a.")</f>
        <v>124</v>
      </c>
      <c r="D58" s="47">
        <f t="shared" si="0"/>
        <v>-28</v>
      </c>
      <c r="E58" s="47" t="s">
        <v>38</v>
      </c>
      <c r="F58" s="47">
        <f t="shared" si="5"/>
        <v>-100</v>
      </c>
      <c r="G58" s="47">
        <f t="shared" si="0"/>
        <v>89</v>
      </c>
      <c r="H58" s="52">
        <f t="shared" si="0"/>
        <v>81.28026505000003</v>
      </c>
      <c r="I58" s="17"/>
    </row>
    <row r="59" ht="13.5" customHeight="1">
      <c r="A59" s="1"/>
      <c r="B59" s="32" t="s">
        <v>156</v>
      </c>
      <c r="C59" s="39">
        <f t="shared" si="19" ref="C59:G59">C56/C25</f>
        <v>0.1288504883546206</v>
      </c>
      <c r="D59" s="39">
        <f t="shared" si="19"/>
        <v>0.12301364741073098</v>
      </c>
      <c r="E59" s="39">
        <f t="shared" si="19"/>
        <v>0.11702683448112088</v>
      </c>
      <c r="F59" s="39">
        <f t="shared" si="19"/>
        <v>0.1058421851289833</v>
      </c>
      <c r="G59" s="39">
        <f t="shared" si="19"/>
        <v>0.12145672986671673</v>
      </c>
      <c r="H59" s="54">
        <v>0.135</v>
      </c>
      <c r="I59" s="32" t="s">
        <v>182</v>
      </c>
    </row>
    <row r="60" ht="13.5" customHeight="1">
      <c r="A60" s="1"/>
      <c r="B60" s="43" t="s">
        <v>111</v>
      </c>
      <c r="C60" s="61">
        <f>_xlfn.IFERROR((C59-Inputs!C126/Inputs!C106)*10000,"n.a.")</f>
        <v>203.4893555958954</v>
      </c>
      <c r="D60" s="61">
        <f>_xlfn.IFERROR((D59-Inputs!D126/Inputs!D106)*10000,"n.a.")</f>
        <v>59.12198135368668</v>
      </c>
      <c r="E60" s="61">
        <f>_xlfn.IFERROR((E59-Inputs!E126/Inputs!E106)*10000,"n.a.")</f>
        <v>177.6141789500063</v>
      </c>
      <c r="F60" s="61">
        <f>_xlfn.IFERROR((F59-Inputs!F126/Inputs!F106)*10000,"n.a.")</f>
        <v>-42.60419448759392</v>
      </c>
      <c r="G60" s="61">
        <f>_xlfn.IFERROR((G59-Inputs!G126/Inputs!G106)*10000,"n.a.")</f>
        <v>156.98355760581984</v>
      </c>
      <c r="H60" s="63">
        <f t="shared" si="20"/>
        <v>61.49511645379413</v>
      </c>
      <c r="I60" s="17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45508B8-CD77-3B25-3D7A-FEAFC5B8A6A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60.00390625" customWidth="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</row>
    <row r="2" ht="13.5" customHeight="1">
      <c r="A2" s="1"/>
      <c r="B2" s="2" t="s">
        <v>0</v>
      </c>
      <c r="C2" s="1"/>
      <c r="D2" s="1"/>
      <c r="E2" s="1"/>
      <c r="F2" s="1"/>
      <c r="G2" s="1"/>
      <c r="H2" s="1"/>
      <c r="I2" s="1"/>
    </row>
    <row r="3" ht="13.5" customHeight="1">
      <c r="A3" s="1"/>
      <c r="B3" s="3" t="s">
        <v>183</v>
      </c>
      <c r="C3" s="1"/>
      <c r="D3" s="1"/>
      <c r="E3" s="1"/>
      <c r="F3" s="1"/>
      <c r="G3" s="1"/>
      <c r="H3" s="1"/>
      <c r="I3" s="1"/>
    </row>
    <row r="4" ht="13.5" customHeight="1">
      <c r="A4" s="1"/>
      <c r="B4" s="4" t="s">
        <v>2</v>
      </c>
      <c r="C4" s="1"/>
      <c r="D4" s="1"/>
      <c r="E4" s="1"/>
      <c r="F4" s="1"/>
      <c r="G4" s="1"/>
      <c r="H4" s="1"/>
      <c r="I4" s="1"/>
    </row>
    <row r="5" ht="13.5" customHeight="1">
      <c r="A5" s="1"/>
      <c r="B5" s="5" t="s">
        <v>62</v>
      </c>
      <c r="C5" s="6" t="s">
        <v>63</v>
      </c>
      <c r="D5" s="6" t="s">
        <v>64</v>
      </c>
      <c r="E5" s="6" t="s">
        <v>65</v>
      </c>
      <c r="F5" s="6" t="s">
        <v>66</v>
      </c>
      <c r="G5" s="6" t="s">
        <v>67</v>
      </c>
      <c r="H5" s="7" t="s">
        <v>68</v>
      </c>
      <c r="I5" s="5" t="s">
        <v>69</v>
      </c>
    </row>
    <row r="6" ht="13.5" customHeight="1">
      <c r="A6" s="1"/>
      <c r="B6" s="8" t="s">
        <v>70</v>
      </c>
      <c r="C6" s="9">
        <v>45930</v>
      </c>
      <c r="D6" s="9">
        <v>46022</v>
      </c>
      <c r="E6" s="9">
        <v>46022</v>
      </c>
      <c r="F6" s="9">
        <v>46112</v>
      </c>
      <c r="G6" s="9">
        <v>46203</v>
      </c>
      <c r="H6" s="10">
        <v>46295</v>
      </c>
      <c r="I6" s="8"/>
    </row>
    <row r="7" ht="13.5" customHeight="1">
      <c r="A7" s="1"/>
      <c r="B7" s="11" t="s">
        <v>71</v>
      </c>
      <c r="C7" s="12">
        <v>92</v>
      </c>
      <c r="D7" s="12">
        <v>92</v>
      </c>
      <c r="E7" s="12">
        <v>365</v>
      </c>
      <c r="F7" s="12">
        <v>90</v>
      </c>
      <c r="G7" s="12">
        <v>91</v>
      </c>
      <c r="H7" s="13">
        <v>92</v>
      </c>
      <c r="I7" s="11"/>
    </row>
    <row r="8" ht="13.5" customHeight="1">
      <c r="A8" s="1"/>
      <c r="B8" s="1"/>
      <c r="C8" s="1"/>
      <c r="D8" s="1"/>
      <c r="E8" s="1"/>
      <c r="F8" s="1"/>
      <c r="G8" s="1"/>
      <c r="H8" s="41"/>
      <c r="I8" s="1"/>
    </row>
    <row r="9" ht="24.75" customHeight="1">
      <c r="A9" s="1"/>
      <c r="B9" s="14" t="s">
        <v>159</v>
      </c>
      <c r="C9" s="22"/>
      <c r="D9" s="22"/>
      <c r="E9" s="22"/>
      <c r="F9" s="22"/>
      <c r="G9" s="22"/>
      <c r="H9" s="42"/>
      <c r="I9" s="17"/>
    </row>
    <row r="10" ht="13.5" customHeight="1">
      <c r="A10" s="1"/>
      <c r="B10" s="58" t="s">
        <v>184</v>
      </c>
      <c r="C10" s="45">
        <v>2263</v>
      </c>
      <c r="D10" s="24">
        <f>Inputs!E244</f>
        <v>3843</v>
      </c>
      <c r="E10" s="24">
        <f>Inputs!C244</f>
        <v>10618</v>
      </c>
      <c r="F10" s="45">
        <v>2108</v>
      </c>
      <c r="G10" s="45">
        <v>2570</v>
      </c>
      <c r="H10" s="56">
        <f>H24+H29</f>
        <v>2318.807460784314</v>
      </c>
      <c r="I10" s="17"/>
    </row>
    <row r="11" ht="13.5" customHeight="1">
      <c r="A11" s="1"/>
      <c r="B11" s="60" t="s">
        <v>74</v>
      </c>
      <c r="C11" s="38">
        <f>_xlfn.IFERROR(C10/Inputs!C116-1,"n.a.")</f>
        <v>0.28215297450424925</v>
      </c>
      <c r="D11" s="38">
        <f>_xlfn.IFERROR(D10/Inputs!D116-1,"n.a.")</f>
        <v>0.2874371859296483</v>
      </c>
      <c r="E11" s="38">
        <f>_xlfn.IFERROR(E10/Inputs!E116-1,"n.a.")</f>
        <v>0.1912936160664198</v>
      </c>
      <c r="F11" s="38">
        <f>_xlfn.IFERROR(F10/Inputs!F116-1,"n.a.")</f>
        <v>0.28068043742405835</v>
      </c>
      <c r="G11" s="38">
        <f>_xlfn.IFERROR(G10/Inputs!G116-1,"n.a.")</f>
        <v>-0.10327983251919048</v>
      </c>
      <c r="H11" s="44">
        <f t="shared" si="13" ref="H11:H67">_xlfn.IFERROR(H10/C10-1,"n.a.")</f>
        <v>0.02466083110221562</v>
      </c>
      <c r="I11" s="17"/>
    </row>
    <row r="12" ht="13.5" customHeight="1">
      <c r="A12" s="1"/>
      <c r="B12" s="60" t="s">
        <v>85</v>
      </c>
      <c r="C12" s="51">
        <f>IF(ISNUMBER(Inputs!G116),C10-Inputs!G116,"n.a.")</f>
        <v>-603</v>
      </c>
      <c r="D12" s="47">
        <f t="shared" si="0" ref="D12:H68">D10-C10</f>
        <v>1580</v>
      </c>
      <c r="E12" s="47" t="s">
        <v>38</v>
      </c>
      <c r="F12" s="47">
        <f t="shared" si="14" ref="F12:F68">F10-D10</f>
        <v>-1735</v>
      </c>
      <c r="G12" s="47">
        <f t="shared" si="0"/>
        <v>462</v>
      </c>
      <c r="H12" s="52">
        <f t="shared" si="0"/>
        <v>-251.19253921568588</v>
      </c>
      <c r="I12" s="17"/>
    </row>
    <row r="13" ht="13.5" customHeight="1">
      <c r="A13" s="1"/>
      <c r="B13" s="60" t="s">
        <v>119</v>
      </c>
      <c r="C13" s="53">
        <v>0.26</v>
      </c>
      <c r="D13" s="53">
        <v>0.24</v>
      </c>
      <c r="E13" s="39" t="s">
        <v>38</v>
      </c>
      <c r="F13" s="53">
        <v>0.25</v>
      </c>
      <c r="G13" s="53">
        <v>-0.1</v>
      </c>
      <c r="H13" s="44">
        <f>(C24*(1+H19)+C29*(1+H21))/C10-1</f>
        <v>0.036057463197386896</v>
      </c>
      <c r="I13" s="17"/>
    </row>
    <row r="14" ht="13.5" customHeight="1">
      <c r="A14" s="1"/>
      <c r="B14" s="60" t="s">
        <v>120</v>
      </c>
      <c r="C14" s="39">
        <f t="shared" si="1" ref="C14:H48">_xlfn.IFERROR((1+C11)/(1+C13)-1,"n.a.")</f>
        <v>0.017581725797023218</v>
      </c>
      <c r="D14" s="39">
        <f t="shared" si="1"/>
        <v>0.03825579510455501</v>
      </c>
      <c r="E14" s="39" t="str">
        <f t="shared" si="1"/>
        <v>n.a.</v>
      </c>
      <c r="F14" s="39">
        <f t="shared" si="1"/>
        <v>0.02454434993924659</v>
      </c>
      <c r="G14" s="39">
        <f t="shared" si="1"/>
        <v>-0.0036442583546560936</v>
      </c>
      <c r="H14" s="40">
        <f>'Revenue summary'!H36</f>
        <v>-0.011</v>
      </c>
      <c r="I14" s="17"/>
    </row>
    <row r="15" ht="13.5" customHeight="1">
      <c r="A15" s="1"/>
      <c r="B15" s="60" t="s">
        <v>121</v>
      </c>
      <c r="C15" s="39" t="s">
        <v>38</v>
      </c>
      <c r="D15" s="39" t="s">
        <v>38</v>
      </c>
      <c r="E15" s="39" t="s">
        <v>38</v>
      </c>
      <c r="F15" s="39" t="s">
        <v>38</v>
      </c>
      <c r="G15" s="39" t="s">
        <v>38</v>
      </c>
      <c r="H15" s="54">
        <v>0</v>
      </c>
      <c r="I15" s="17"/>
    </row>
    <row r="16" ht="13.5" customHeight="1">
      <c r="A16" s="1"/>
      <c r="B16" s="60" t="s">
        <v>90</v>
      </c>
      <c r="C16" s="39" t="str">
        <f t="shared" si="2" ref="C16:H50">IF(AND(ISNUMBER(C11),ISNUMBER(C15),ISNUMBER(C14)),(1+C11)/((1+C15)*(1+C14))-1,"n.a.")</f>
        <v>n.a.</v>
      </c>
      <c r="D16" s="39" t="str">
        <f t="shared" si="2"/>
        <v>n.a.</v>
      </c>
      <c r="E16" s="39" t="str">
        <f t="shared" si="2"/>
        <v>n.a.</v>
      </c>
      <c r="F16" s="39" t="str">
        <f t="shared" si="2"/>
        <v>n.a.</v>
      </c>
      <c r="G16" s="39" t="str">
        <f t="shared" si="2"/>
        <v>n.a.</v>
      </c>
      <c r="H16" s="44">
        <f>(1+H11)/((1+H15)*(1+H14))-1</f>
        <v>0.036057463197386896</v>
      </c>
      <c r="I16" s="17"/>
    </row>
    <row r="17" ht="36" customHeight="1">
      <c r="A17" s="1"/>
      <c r="B17" s="43" t="s">
        <v>185</v>
      </c>
      <c r="C17" s="69"/>
      <c r="D17" s="69"/>
      <c r="E17" s="69"/>
      <c r="F17" s="69"/>
      <c r="G17" s="69"/>
      <c r="H17" s="70"/>
      <c r="I17" s="17"/>
    </row>
    <row r="18" ht="13.5" customHeight="1">
      <c r="A18" s="1"/>
      <c r="B18" s="60" t="s">
        <v>186</v>
      </c>
      <c r="C18" s="53">
        <v>0.61</v>
      </c>
      <c r="D18" s="53">
        <v>0.67</v>
      </c>
      <c r="E18" s="39" t="s">
        <v>38</v>
      </c>
      <c r="F18" s="53">
        <v>0.51</v>
      </c>
      <c r="G18" s="53">
        <v>-0.42</v>
      </c>
      <c r="H18" s="44">
        <f>H24/C24-1</f>
        <v>-0.35714999999999997</v>
      </c>
      <c r="I18" s="17"/>
    </row>
    <row r="19" ht="36" customHeight="1">
      <c r="A19" s="1"/>
      <c r="B19" s="60" t="s">
        <v>187</v>
      </c>
      <c r="C19" s="53">
        <v>0.59</v>
      </c>
      <c r="D19" s="53">
        <v>0.61</v>
      </c>
      <c r="E19" s="39" t="s">
        <v>38</v>
      </c>
      <c r="F19" s="53">
        <v>0.48</v>
      </c>
      <c r="G19" s="53">
        <v>-0.42</v>
      </c>
      <c r="H19" s="54">
        <v>-0.35</v>
      </c>
      <c r="I19" s="32" t="s">
        <v>188</v>
      </c>
    </row>
    <row r="20" ht="24.75" customHeight="1">
      <c r="A20" s="1"/>
      <c r="B20" s="60" t="s">
        <v>189</v>
      </c>
      <c r="C20" s="53">
        <v>0.1</v>
      </c>
      <c r="D20" s="53">
        <v>0.03</v>
      </c>
      <c r="E20" s="39" t="s">
        <v>38</v>
      </c>
      <c r="F20" s="53">
        <v>0.17</v>
      </c>
      <c r="G20" s="53">
        <v>0.37</v>
      </c>
      <c r="H20" s="44">
        <f>H29/C29-1</f>
        <v>0.33515000000000006</v>
      </c>
      <c r="I20" s="17"/>
    </row>
    <row r="21" ht="24.75" customHeight="1">
      <c r="A21" s="1"/>
      <c r="B21" s="60" t="s">
        <v>190</v>
      </c>
      <c r="C21" s="53">
        <v>0.08</v>
      </c>
      <c r="D21" s="66">
        <v>0</v>
      </c>
      <c r="E21" s="39" t="s">
        <v>38</v>
      </c>
      <c r="F21" s="53">
        <v>0.13</v>
      </c>
      <c r="G21" s="53">
        <v>0.37</v>
      </c>
      <c r="H21" s="54">
        <v>0.35</v>
      </c>
      <c r="I21" s="32" t="s">
        <v>191</v>
      </c>
    </row>
    <row r="22" ht="13.5" customHeight="1">
      <c r="A22" s="1"/>
      <c r="B22" s="71" t="s">
        <v>192</v>
      </c>
      <c r="C22" s="24">
        <f>Inputs!C116</f>
        <v>1765</v>
      </c>
      <c r="D22" s="24">
        <f>Inputs!D116</f>
        <v>2985</v>
      </c>
      <c r="E22" s="24">
        <f>Inputs!E116</f>
        <v>8913</v>
      </c>
      <c r="F22" s="24">
        <f>Inputs!F116</f>
        <v>1646</v>
      </c>
      <c r="G22" s="24">
        <f>Inputs!G116</f>
        <v>2866</v>
      </c>
      <c r="H22" s="56">
        <f>C10</f>
        <v>2263</v>
      </c>
      <c r="I22" s="17"/>
    </row>
    <row r="23" ht="24.75" customHeight="1">
      <c r="A23" s="1"/>
      <c r="B23" s="60" t="s">
        <v>193</v>
      </c>
      <c r="C23" s="39">
        <f t="shared" si="3" ref="C23:G23">_xlfn.IFERROR((C11-C20)/(C18-C20),"n.a.")</f>
        <v>0.35716269510637105</v>
      </c>
      <c r="D23" s="39">
        <f t="shared" si="3"/>
        <v>0.4022456030150754</v>
      </c>
      <c r="E23" s="39" t="str">
        <f t="shared" si="3"/>
        <v>n.a.</v>
      </c>
      <c r="F23" s="39">
        <f t="shared" si="3"/>
        <v>0.32553069830605397</v>
      </c>
      <c r="G23" s="39">
        <f t="shared" si="3"/>
        <v>0.599088395593912</v>
      </c>
      <c r="H23" s="44">
        <f>C34</f>
        <v>0.44848933828944726</v>
      </c>
      <c r="I23" s="17"/>
    </row>
    <row r="24" ht="13.5" customHeight="1">
      <c r="A24" s="1"/>
      <c r="B24" s="71" t="s">
        <v>194</v>
      </c>
      <c r="C24" s="25">
        <f t="shared" si="4" ref="C24:G24">_xlfn.IFERROR(C22*C23*(1+C18),"n.a.")</f>
        <v>1014.9313725490191</v>
      </c>
      <c r="D24" s="25">
        <f t="shared" si="4"/>
        <v>2005.17421875</v>
      </c>
      <c r="E24" s="25" t="str">
        <f t="shared" si="4"/>
        <v>n.a.</v>
      </c>
      <c r="F24" s="25">
        <f t="shared" si="4"/>
        <v>809.093529411765</v>
      </c>
      <c r="G24" s="25">
        <f t="shared" si="4"/>
        <v>995.8526582278482</v>
      </c>
      <c r="H24" s="56">
        <f>C24*(1+H19)*(1+H26)</f>
        <v>652.4486328431369</v>
      </c>
      <c r="I24" s="17"/>
    </row>
    <row r="25" ht="13.5" customHeight="1">
      <c r="A25" s="1"/>
      <c r="B25" s="72" t="s">
        <v>85</v>
      </c>
      <c r="C25" s="47" t="s">
        <v>38</v>
      </c>
      <c r="D25" s="47">
        <f t="shared" si="5" ref="D25:H30">_xlfn.IFERROR(D24-C24,"n.a.")</f>
        <v>990.2428462009808</v>
      </c>
      <c r="E25" s="47" t="s">
        <v>38</v>
      </c>
      <c r="F25" s="47">
        <f t="shared" si="9" ref="F25:F30">_xlfn.IFERROR(F24-D24,"n.a.")</f>
        <v>-1196.080689338235</v>
      </c>
      <c r="G25" s="47">
        <f t="shared" si="5"/>
        <v>186.75912881608326</v>
      </c>
      <c r="H25" s="52">
        <f t="shared" si="5"/>
        <v>-343.4040253847113</v>
      </c>
      <c r="I25" s="17"/>
    </row>
    <row r="26" ht="13.5" customHeight="1">
      <c r="A26" s="1"/>
      <c r="B26" s="72" t="s">
        <v>120</v>
      </c>
      <c r="C26" s="39">
        <f t="shared" si="6" ref="C26:G26">_xlfn.IFERROR((1+C18)/(1+C19)-1,"n.a.")</f>
        <v>0.012578616352201255</v>
      </c>
      <c r="D26" s="39">
        <f t="shared" si="6"/>
        <v>0.037267080745341685</v>
      </c>
      <c r="E26" s="39" t="str">
        <f t="shared" si="6"/>
        <v>n.a.</v>
      </c>
      <c r="F26" s="39">
        <f t="shared" si="6"/>
        <v>0.020270270270270396</v>
      </c>
      <c r="G26" s="39">
        <f t="shared" si="6"/>
        <v>0</v>
      </c>
      <c r="H26" s="40">
        <f>'Revenue summary'!H36</f>
        <v>-0.011</v>
      </c>
      <c r="I26" s="17"/>
    </row>
    <row r="27" ht="13.5" customHeight="1">
      <c r="A27" s="1"/>
      <c r="B27" s="72" t="s">
        <v>121</v>
      </c>
      <c r="C27" s="39" t="s">
        <v>38</v>
      </c>
      <c r="D27" s="39" t="s">
        <v>38</v>
      </c>
      <c r="E27" s="39" t="s">
        <v>38</v>
      </c>
      <c r="F27" s="39" t="s">
        <v>38</v>
      </c>
      <c r="G27" s="39" t="s">
        <v>38</v>
      </c>
      <c r="H27" s="54">
        <v>0</v>
      </c>
      <c r="I27" s="17"/>
    </row>
    <row r="28" ht="13.5" customHeight="1">
      <c r="A28" s="1"/>
      <c r="B28" s="72" t="s">
        <v>90</v>
      </c>
      <c r="C28" s="39" t="str">
        <f t="shared" si="7" ref="C28:H28">IF(AND(ISNUMBER(C18),ISNUMBER(C27),ISNUMBER(C26)),(1+C18)/((1+C27)*(1+C26))-1,"n.a.")</f>
        <v>n.a.</v>
      </c>
      <c r="D28" s="39" t="str">
        <f t="shared" si="7"/>
        <v>n.a.</v>
      </c>
      <c r="E28" s="39" t="str">
        <f t="shared" si="7"/>
        <v>n.a.</v>
      </c>
      <c r="F28" s="39" t="str">
        <f t="shared" si="7"/>
        <v>n.a.</v>
      </c>
      <c r="G28" s="39" t="str">
        <f t="shared" si="7"/>
        <v>n.a.</v>
      </c>
      <c r="H28" s="44">
        <f t="shared" si="7"/>
        <v>-0.35</v>
      </c>
      <c r="I28" s="17"/>
    </row>
    <row r="29" ht="24.75" customHeight="1">
      <c r="A29" s="1"/>
      <c r="B29" s="71" t="s">
        <v>195</v>
      </c>
      <c r="C29" s="25">
        <f t="shared" si="8" ref="C29:G29">_xlfn.IFERROR(C10-C24,"n.a.")</f>
        <v>1248.0686274509808</v>
      </c>
      <c r="D29" s="25">
        <f t="shared" si="8"/>
        <v>1837.82578125</v>
      </c>
      <c r="E29" s="25" t="str">
        <f t="shared" si="8"/>
        <v>n.a.</v>
      </c>
      <c r="F29" s="25">
        <f t="shared" si="8"/>
        <v>1298.9064705882352</v>
      </c>
      <c r="G29" s="25">
        <f t="shared" si="8"/>
        <v>1574.1473417721518</v>
      </c>
      <c r="H29" s="56">
        <f>C29*(1+H21)*(1+H31)</f>
        <v>1666.3588279411772</v>
      </c>
      <c r="I29" s="17"/>
    </row>
    <row r="30" ht="13.5" customHeight="1">
      <c r="A30" s="1"/>
      <c r="B30" s="72" t="s">
        <v>85</v>
      </c>
      <c r="C30" s="47" t="s">
        <v>38</v>
      </c>
      <c r="D30" s="47">
        <f t="shared" si="5"/>
        <v>589.7571537990193</v>
      </c>
      <c r="E30" s="47" t="s">
        <v>38</v>
      </c>
      <c r="F30" s="47">
        <f t="shared" si="9"/>
        <v>-538.9193106617649</v>
      </c>
      <c r="G30" s="47">
        <f t="shared" si="5"/>
        <v>275.2408711839166</v>
      </c>
      <c r="H30" s="52">
        <f t="shared" si="5"/>
        <v>92.21148616902542</v>
      </c>
      <c r="I30" s="17"/>
    </row>
    <row r="31" ht="13.5" customHeight="1">
      <c r="A31" s="1"/>
      <c r="B31" s="72" t="s">
        <v>120</v>
      </c>
      <c r="C31" s="39">
        <f t="shared" si="10" ref="C31:G31">_xlfn.IFERROR((1+C20)/(1+C21)-1,"n.a.")</f>
        <v>0.0185185185185186</v>
      </c>
      <c r="D31" s="39">
        <f t="shared" si="10"/>
        <v>0.030000000000000027</v>
      </c>
      <c r="E31" s="39" t="str">
        <f t="shared" si="10"/>
        <v>n.a.</v>
      </c>
      <c r="F31" s="39">
        <f t="shared" si="10"/>
        <v>0.03539823008849563</v>
      </c>
      <c r="G31" s="39">
        <f t="shared" si="10"/>
        <v>0</v>
      </c>
      <c r="H31" s="40">
        <f>'Revenue summary'!H36</f>
        <v>-0.011</v>
      </c>
      <c r="I31" s="17"/>
    </row>
    <row r="32" ht="13.5" customHeight="1">
      <c r="A32" s="1"/>
      <c r="B32" s="72" t="s">
        <v>121</v>
      </c>
      <c r="C32" s="39" t="s">
        <v>38</v>
      </c>
      <c r="D32" s="39" t="s">
        <v>38</v>
      </c>
      <c r="E32" s="39" t="s">
        <v>38</v>
      </c>
      <c r="F32" s="39" t="s">
        <v>38</v>
      </c>
      <c r="G32" s="39" t="s">
        <v>38</v>
      </c>
      <c r="H32" s="54">
        <v>0</v>
      </c>
      <c r="I32" s="17"/>
    </row>
    <row r="33" ht="13.5" customHeight="1">
      <c r="A33" s="1"/>
      <c r="B33" s="72" t="s">
        <v>90</v>
      </c>
      <c r="C33" s="39" t="str">
        <f t="shared" si="11" ref="C33:H33">IF(AND(ISNUMBER(C20),ISNUMBER(C32),ISNUMBER(C31)),(1+C20)/((1+C32)*(1+C31))-1,"n.a.")</f>
        <v>n.a.</v>
      </c>
      <c r="D33" s="39" t="str">
        <f t="shared" si="11"/>
        <v>n.a.</v>
      </c>
      <c r="E33" s="39" t="str">
        <f t="shared" si="11"/>
        <v>n.a.</v>
      </c>
      <c r="F33" s="39" t="str">
        <f t="shared" si="11"/>
        <v>n.a.</v>
      </c>
      <c r="G33" s="39" t="str">
        <f t="shared" si="11"/>
        <v>n.a.</v>
      </c>
      <c r="H33" s="44">
        <f t="shared" si="11"/>
        <v>0.3500000000000001</v>
      </c>
      <c r="I33" s="17"/>
    </row>
    <row r="34" ht="24.75" customHeight="1">
      <c r="A34" s="1"/>
      <c r="B34" s="60" t="s">
        <v>196</v>
      </c>
      <c r="C34" s="39">
        <f t="shared" si="12" ref="C34:H34">_xlfn.IFERROR(C24/C10,"n.a.")</f>
        <v>0.44848933828944726</v>
      </c>
      <c r="D34" s="39">
        <f t="shared" si="12"/>
        <v>0.5217731508587041</v>
      </c>
      <c r="E34" s="39" t="str">
        <f t="shared" si="12"/>
        <v>n.a.</v>
      </c>
      <c r="F34" s="39">
        <f t="shared" si="12"/>
        <v>0.38382045987275376</v>
      </c>
      <c r="G34" s="39">
        <f t="shared" si="12"/>
        <v>0.3874913067034429</v>
      </c>
      <c r="H34" s="44">
        <f t="shared" si="12"/>
        <v>0.281372491626559</v>
      </c>
      <c r="I34" s="17"/>
    </row>
    <row r="35" ht="13.5" customHeight="1">
      <c r="A35" s="1"/>
      <c r="B35" s="72" t="s">
        <v>111</v>
      </c>
      <c r="C35" s="62" t="s">
        <v>38</v>
      </c>
      <c r="D35" s="62" t="s">
        <v>38</v>
      </c>
      <c r="E35" s="62" t="s">
        <v>38</v>
      </c>
      <c r="F35" s="62" t="s">
        <v>38</v>
      </c>
      <c r="G35" s="62" t="s">
        <v>38</v>
      </c>
      <c r="H35" s="63">
        <f>(H34-C34)*10000</f>
        <v>-1671.168466628883</v>
      </c>
      <c r="I35" s="17"/>
    </row>
    <row r="36" ht="13.5" customHeight="1">
      <c r="A36" s="1"/>
      <c r="B36" s="58" t="s">
        <v>197</v>
      </c>
      <c r="C36" s="45">
        <v>1296</v>
      </c>
      <c r="D36" s="24">
        <f>Inputs!E245</f>
        <v>1289</v>
      </c>
      <c r="E36" s="24">
        <f>Inputs!C245</f>
        <v>5100</v>
      </c>
      <c r="F36" s="45">
        <v>1218</v>
      </c>
      <c r="G36" s="45">
        <v>1265</v>
      </c>
      <c r="H36" s="56">
        <f>C36*(1+H42)*(1+H41)*(1+H40)</f>
        <v>1268.9265599999999</v>
      </c>
      <c r="I36" s="17"/>
    </row>
    <row r="37" ht="13.5" customHeight="1">
      <c r="A37" s="1"/>
      <c r="B37" s="60" t="s">
        <v>74</v>
      </c>
      <c r="C37" s="38">
        <f>_xlfn.IFERROR(C36/Inputs!C117-1,"n.a.")</f>
        <v>0.014878621769772948</v>
      </c>
      <c r="D37" s="38">
        <f>_xlfn.IFERROR(D36/Inputs!D117-1,"n.a.")</f>
        <v>0.013364779874213806</v>
      </c>
      <c r="E37" s="38">
        <f>_xlfn.IFERROR(E36/Inputs!E117-1,"n.a.")</f>
        <v>-0.0013706677109849297</v>
      </c>
      <c r="F37" s="38">
        <f>_xlfn.IFERROR(F36/Inputs!F117-1,"n.a.")</f>
        <v>-0.01774193548387093</v>
      </c>
      <c r="G37" s="38">
        <f>_xlfn.IFERROR(G36/Inputs!G117-1,"n.a.")</f>
        <v>-0.007843137254901933</v>
      </c>
      <c r="H37" s="44">
        <f t="shared" si="13"/>
        <v>-0.020890000000000075</v>
      </c>
      <c r="I37" s="17"/>
    </row>
    <row r="38" ht="13.5" customHeight="1">
      <c r="A38" s="1"/>
      <c r="B38" s="60" t="s">
        <v>85</v>
      </c>
      <c r="C38" s="51">
        <f>IF(ISNUMBER(Inputs!G117),C36-Inputs!G117,"n.a.")</f>
        <v>21</v>
      </c>
      <c r="D38" s="47">
        <f t="shared" si="0"/>
        <v>-7</v>
      </c>
      <c r="E38" s="47" t="s">
        <v>38</v>
      </c>
      <c r="F38" s="47">
        <f t="shared" si="14"/>
        <v>-71</v>
      </c>
      <c r="G38" s="47">
        <f t="shared" si="0"/>
        <v>47</v>
      </c>
      <c r="H38" s="52">
        <f t="shared" si="0"/>
        <v>3.9265599999998813</v>
      </c>
      <c r="I38" s="17"/>
    </row>
    <row r="39" ht="13.5" customHeight="1">
      <c r="A39" s="1"/>
      <c r="B39" s="60" t="s">
        <v>119</v>
      </c>
      <c r="C39" s="66">
        <v>0</v>
      </c>
      <c r="D39" s="53">
        <v>-0.02</v>
      </c>
      <c r="E39" s="39" t="s">
        <v>38</v>
      </c>
      <c r="F39" s="53">
        <v>-0.06</v>
      </c>
      <c r="G39" s="53">
        <v>-0.01</v>
      </c>
      <c r="H39" s="44">
        <f>(1+H42)*(1+H41)-1</f>
        <v>-0.010000000000000009</v>
      </c>
      <c r="I39" s="17"/>
    </row>
    <row r="40" ht="13.5" customHeight="1">
      <c r="A40" s="1"/>
      <c r="B40" s="60" t="s">
        <v>120</v>
      </c>
      <c r="C40" s="39">
        <f t="shared" si="1"/>
        <v>0.014878621769772948</v>
      </c>
      <c r="D40" s="39">
        <f t="shared" si="1"/>
        <v>0.03404569374919775</v>
      </c>
      <c r="E40" s="39" t="str">
        <f t="shared" si="1"/>
        <v>n.a.</v>
      </c>
      <c r="F40" s="39">
        <f t="shared" si="1"/>
        <v>0.04495538778311614</v>
      </c>
      <c r="G40" s="39">
        <f t="shared" si="1"/>
        <v>0.002178649237472907</v>
      </c>
      <c r="H40" s="40">
        <f>'Revenue summary'!H36</f>
        <v>-0.011</v>
      </c>
      <c r="I40" s="17"/>
    </row>
    <row r="41" ht="13.5" customHeight="1">
      <c r="A41" s="1"/>
      <c r="B41" s="60" t="s">
        <v>121</v>
      </c>
      <c r="C41" s="39" t="s">
        <v>38</v>
      </c>
      <c r="D41" s="39" t="s">
        <v>38</v>
      </c>
      <c r="E41" s="39" t="s">
        <v>38</v>
      </c>
      <c r="F41" s="39" t="s">
        <v>38</v>
      </c>
      <c r="G41" s="39" t="s">
        <v>38</v>
      </c>
      <c r="H41" s="54">
        <v>0</v>
      </c>
      <c r="I41" s="17"/>
    </row>
    <row r="42" ht="13.5" customHeight="1">
      <c r="A42" s="1"/>
      <c r="B42" s="60" t="s">
        <v>90</v>
      </c>
      <c r="C42" s="39" t="str">
        <f t="shared" si="2"/>
        <v>n.a.</v>
      </c>
      <c r="D42" s="39" t="str">
        <f t="shared" si="2"/>
        <v>n.a.</v>
      </c>
      <c r="E42" s="39" t="str">
        <f t="shared" si="2"/>
        <v>n.a.</v>
      </c>
      <c r="F42" s="39" t="str">
        <f t="shared" si="2"/>
        <v>n.a.</v>
      </c>
      <c r="G42" s="39" t="str">
        <f t="shared" si="2"/>
        <v>n.a.</v>
      </c>
      <c r="H42" s="54">
        <v>-0.01</v>
      </c>
      <c r="I42" s="32" t="s">
        <v>198</v>
      </c>
    </row>
    <row r="43" ht="24.75" customHeight="1">
      <c r="A43" s="1"/>
      <c r="B43" s="43" t="s">
        <v>131</v>
      </c>
      <c r="C43" s="47">
        <f t="shared" si="15" ref="C43:G43">C51-(C10+C36)</f>
        <v>0</v>
      </c>
      <c r="D43" s="47">
        <f t="shared" si="15"/>
        <v>0</v>
      </c>
      <c r="E43" s="47">
        <f t="shared" si="15"/>
        <v>0</v>
      </c>
      <c r="F43" s="47">
        <f t="shared" si="15"/>
        <v>0</v>
      </c>
      <c r="G43" s="47">
        <f t="shared" si="15"/>
        <v>0</v>
      </c>
      <c r="H43" s="48">
        <v>0</v>
      </c>
      <c r="I43" s="17"/>
    </row>
    <row r="44" ht="13.5" customHeight="1">
      <c r="A44" s="1"/>
      <c r="B44" s="14" t="s">
        <v>199</v>
      </c>
      <c r="C44" s="49">
        <f t="shared" si="16" ref="C44:H44">C10+C36+C43</f>
        <v>3559</v>
      </c>
      <c r="D44" s="49">
        <f t="shared" si="16"/>
        <v>5132</v>
      </c>
      <c r="E44" s="49">
        <f t="shared" si="16"/>
        <v>15718</v>
      </c>
      <c r="F44" s="49">
        <f t="shared" si="16"/>
        <v>3326</v>
      </c>
      <c r="G44" s="49">
        <f t="shared" si="16"/>
        <v>3835</v>
      </c>
      <c r="H44" s="50">
        <f t="shared" si="16"/>
        <v>3587.734020784314</v>
      </c>
      <c r="I44" s="17"/>
    </row>
    <row r="45" ht="13.5" customHeight="1">
      <c r="A45" s="1"/>
      <c r="B45" s="43" t="s">
        <v>74</v>
      </c>
      <c r="C45" s="38">
        <f>_xlfn.IFERROR(C44/Inputs!C107-1,"n.a.")</f>
        <v>0.16995397764628528</v>
      </c>
      <c r="D45" s="38">
        <f>_xlfn.IFERROR(D44/Inputs!D107-1,"n.a.")</f>
        <v>0.20582706766917291</v>
      </c>
      <c r="E45" s="38">
        <f>_xlfn.IFERROR(E44/Inputs!E107-1,"n.a.")</f>
        <v>0.12111269614835951</v>
      </c>
      <c r="F45" s="38">
        <f>_xlfn.IFERROR(F44/Inputs!F107-1,"n.a.")</f>
        <v>0.15246015246015254</v>
      </c>
      <c r="G45" s="38">
        <f>_xlfn.IFERROR(G44/Inputs!G107-1,"n.a.")</f>
        <v>-0.07411878319652343</v>
      </c>
      <c r="H45" s="44">
        <f t="shared" si="13"/>
        <v>0.008073622024252325</v>
      </c>
      <c r="I45" s="17"/>
    </row>
    <row r="46" ht="13.5" customHeight="1">
      <c r="A46" s="1"/>
      <c r="B46" s="43" t="s">
        <v>85</v>
      </c>
      <c r="C46" s="51">
        <f>IF(ISNUMBER(Inputs!G107),C44-Inputs!G107,"n.a.")</f>
        <v>-583</v>
      </c>
      <c r="D46" s="47">
        <f t="shared" si="0"/>
        <v>1573</v>
      </c>
      <c r="E46" s="47" t="s">
        <v>38</v>
      </c>
      <c r="F46" s="47">
        <f t="shared" si="14"/>
        <v>-1806</v>
      </c>
      <c r="G46" s="47">
        <f t="shared" si="0"/>
        <v>509</v>
      </c>
      <c r="H46" s="52">
        <f t="shared" si="0"/>
        <v>-247.265979215686</v>
      </c>
      <c r="I46" s="17"/>
    </row>
    <row r="47" ht="13.5" customHeight="1">
      <c r="A47" s="1"/>
      <c r="B47" s="43" t="s">
        <v>119</v>
      </c>
      <c r="C47" s="53">
        <v>0.151</v>
      </c>
      <c r="D47" s="53">
        <v>0.166</v>
      </c>
      <c r="E47" s="53">
        <v>0.104</v>
      </c>
      <c r="F47" s="53">
        <v>0.117</v>
      </c>
      <c r="G47" s="53">
        <v>-0.074</v>
      </c>
      <c r="H47" s="44">
        <f>(C10*(1+H13)+C36*(1+H39))/C44-1</f>
        <v>0.019285765444137848</v>
      </c>
      <c r="I47" s="17"/>
    </row>
    <row r="48" ht="13.5" customHeight="1">
      <c r="A48" s="1"/>
      <c r="B48" s="43" t="s">
        <v>120</v>
      </c>
      <c r="C48" s="39">
        <f t="shared" si="1"/>
        <v>0.01646740021397508</v>
      </c>
      <c r="D48" s="39">
        <f t="shared" si="1"/>
        <v>0.03415700486206941</v>
      </c>
      <c r="E48" s="39">
        <f t="shared" si="1"/>
        <v>0.015500630569166063</v>
      </c>
      <c r="F48" s="39">
        <f t="shared" si="1"/>
        <v>0.031745884028784754</v>
      </c>
      <c r="G48" s="39">
        <f t="shared" si="1"/>
        <v>-0.00012827559019812362</v>
      </c>
      <c r="H48" s="44">
        <f t="shared" si="1"/>
        <v>-0.01100000000000001</v>
      </c>
      <c r="I48" s="17"/>
    </row>
    <row r="49" ht="13.5" customHeight="1">
      <c r="A49" s="1"/>
      <c r="B49" s="43" t="s">
        <v>121</v>
      </c>
      <c r="C49" s="39" t="s">
        <v>38</v>
      </c>
      <c r="D49" s="39" t="s">
        <v>38</v>
      </c>
      <c r="E49" s="39" t="s">
        <v>38</v>
      </c>
      <c r="F49" s="39" t="s">
        <v>38</v>
      </c>
      <c r="G49" s="39" t="s">
        <v>38</v>
      </c>
      <c r="H49" s="44">
        <f>(1+H47)/((C10*(1+H16)+C36*(1+H42))/C44)-1</f>
        <v>0</v>
      </c>
      <c r="I49" s="17"/>
    </row>
    <row r="50" ht="13.5" customHeight="1">
      <c r="A50" s="1"/>
      <c r="B50" s="43" t="s">
        <v>90</v>
      </c>
      <c r="C50" s="39" t="str">
        <f t="shared" si="2"/>
        <v>n.a.</v>
      </c>
      <c r="D50" s="39" t="str">
        <f t="shared" si="2"/>
        <v>n.a.</v>
      </c>
      <c r="E50" s="39" t="str">
        <f t="shared" si="2"/>
        <v>n.a.</v>
      </c>
      <c r="F50" s="39" t="str">
        <f t="shared" si="2"/>
        <v>n.a.</v>
      </c>
      <c r="G50" s="39" t="str">
        <f t="shared" si="2"/>
        <v>n.a.</v>
      </c>
      <c r="H50" s="44">
        <f t="shared" si="2"/>
        <v>0.019285765444137848</v>
      </c>
      <c r="I50" s="17"/>
    </row>
    <row r="51" ht="24.75" customHeight="1">
      <c r="A51" s="1"/>
      <c r="B51" s="43" t="s">
        <v>134</v>
      </c>
      <c r="C51" s="67">
        <v>3559</v>
      </c>
      <c r="D51" s="67">
        <v>5132</v>
      </c>
      <c r="E51" s="67">
        <v>15718</v>
      </c>
      <c r="F51" s="67">
        <v>3326</v>
      </c>
      <c r="G51" s="67">
        <v>3835</v>
      </c>
      <c r="H51" s="52"/>
      <c r="I51" s="17"/>
    </row>
    <row r="52" ht="24.75" customHeight="1">
      <c r="A52" s="1"/>
      <c r="B52" s="58" t="s">
        <v>135</v>
      </c>
      <c r="C52" s="19" t="b">
        <f t="shared" si="17" ref="C52:G52">ABS(C43)&lt;=1</f>
        <v>1</v>
      </c>
      <c r="D52" s="19" t="b">
        <f t="shared" si="17"/>
        <v>1</v>
      </c>
      <c r="E52" s="19" t="b">
        <f t="shared" si="17"/>
        <v>1</v>
      </c>
      <c r="F52" s="19" t="b">
        <f t="shared" si="17"/>
        <v>1</v>
      </c>
      <c r="G52" s="19" t="b">
        <f t="shared" si="17"/>
        <v>1</v>
      </c>
      <c r="H52" s="57"/>
      <c r="I52" s="17"/>
    </row>
    <row r="53" ht="13.5" customHeight="1">
      <c r="A53" s="1"/>
      <c r="B53" s="17"/>
      <c r="C53" s="20"/>
      <c r="D53" s="20"/>
      <c r="E53" s="20"/>
      <c r="F53" s="20"/>
      <c r="G53" s="20"/>
      <c r="H53" s="55"/>
      <c r="I53" s="17"/>
    </row>
    <row r="54" ht="24.75" customHeight="1">
      <c r="A54" s="1"/>
      <c r="B54" s="14" t="s">
        <v>200</v>
      </c>
      <c r="C54" s="22"/>
      <c r="D54" s="22"/>
      <c r="E54" s="22"/>
      <c r="F54" s="22"/>
      <c r="G54" s="22"/>
      <c r="H54" s="42"/>
      <c r="I54" s="17"/>
    </row>
    <row r="55" ht="24.75" customHeight="1">
      <c r="A55" s="1"/>
      <c r="B55" s="17" t="s">
        <v>201</v>
      </c>
      <c r="C55" s="19" t="s">
        <v>38</v>
      </c>
      <c r="D55" s="19" t="s">
        <v>38</v>
      </c>
      <c r="E55" s="19" t="s">
        <v>38</v>
      </c>
      <c r="F55" s="19" t="s">
        <v>38</v>
      </c>
      <c r="G55" s="19"/>
      <c r="H55" s="57" t="s">
        <v>38</v>
      </c>
      <c r="I55" s="32" t="s">
        <v>202</v>
      </c>
    </row>
    <row r="56" ht="24.75" customHeight="1">
      <c r="A56" s="1"/>
      <c r="B56" s="17" t="s">
        <v>203</v>
      </c>
      <c r="C56" s="25" t="s">
        <v>38</v>
      </c>
      <c r="D56" s="25" t="s">
        <v>38</v>
      </c>
      <c r="E56" s="25" t="s">
        <v>38</v>
      </c>
      <c r="F56" s="25" t="s">
        <v>38</v>
      </c>
      <c r="G56" s="45">
        <v>500</v>
      </c>
      <c r="H56" s="56" t="s">
        <v>38</v>
      </c>
      <c r="I56" s="17"/>
    </row>
    <row r="57" ht="24.75" customHeight="1">
      <c r="A57" s="1"/>
      <c r="B57" s="58" t="s">
        <v>204</v>
      </c>
      <c r="C57" s="64" t="str">
        <f t="shared" si="18" ref="C57:H57">_xlfn.IFERROR(C56/C29,"n.a.")</f>
        <v>n.a.</v>
      </c>
      <c r="D57" s="64" t="str">
        <f t="shared" si="18"/>
        <v>n.a.</v>
      </c>
      <c r="E57" s="64" t="str">
        <f t="shared" si="18"/>
        <v>n.a.</v>
      </c>
      <c r="F57" s="64" t="str">
        <f t="shared" si="18"/>
        <v>n.a.</v>
      </c>
      <c r="G57" s="64">
        <f t="shared" si="18"/>
        <v>0.3176322741409374</v>
      </c>
      <c r="H57" s="65" t="str">
        <f t="shared" si="18"/>
        <v>n.a.</v>
      </c>
      <c r="I57" s="17"/>
    </row>
    <row r="58" ht="24.75" customHeight="1">
      <c r="A58" s="1"/>
      <c r="B58" s="17" t="s">
        <v>205</v>
      </c>
      <c r="C58" s="64" t="s">
        <v>38</v>
      </c>
      <c r="D58" s="64" t="s">
        <v>38</v>
      </c>
      <c r="E58" s="64" t="s">
        <v>38</v>
      </c>
      <c r="F58" s="64" t="s">
        <v>38</v>
      </c>
      <c r="G58" s="68">
        <v>1.3</v>
      </c>
      <c r="H58" s="65" t="s">
        <v>38</v>
      </c>
      <c r="I58" s="17"/>
    </row>
    <row r="59" ht="13.5" customHeight="1">
      <c r="A59" s="1"/>
      <c r="B59" s="17"/>
      <c r="C59" s="20"/>
      <c r="D59" s="20"/>
      <c r="E59" s="20"/>
      <c r="F59" s="20"/>
      <c r="G59" s="20"/>
      <c r="H59" s="55"/>
      <c r="I59" s="17"/>
    </row>
    <row r="60" ht="13.5" customHeight="1">
      <c r="A60" s="1"/>
      <c r="B60" s="14" t="s">
        <v>206</v>
      </c>
      <c r="C60" s="22"/>
      <c r="D60" s="22"/>
      <c r="E60" s="22"/>
      <c r="F60" s="22"/>
      <c r="G60" s="22"/>
      <c r="H60" s="42"/>
      <c r="I60" s="17"/>
    </row>
    <row r="61" ht="24.75" customHeight="1">
      <c r="A61" s="1"/>
      <c r="B61" s="32" t="s">
        <v>152</v>
      </c>
      <c r="C61" s="53">
        <v>0.572</v>
      </c>
      <c r="D61" s="53">
        <v>0.606</v>
      </c>
      <c r="E61" s="53">
        <v>0.586</v>
      </c>
      <c r="F61" s="53">
        <v>0.569</v>
      </c>
      <c r="G61" s="53">
        <v>0.584</v>
      </c>
      <c r="H61" s="54">
        <v>0.55</v>
      </c>
      <c r="I61" s="32" t="s">
        <v>207</v>
      </c>
    </row>
    <row r="62" ht="13.5" customHeight="1">
      <c r="A62" s="1"/>
      <c r="B62" s="43" t="s">
        <v>111</v>
      </c>
      <c r="C62" s="61">
        <f>_xlfn.IFERROR((C61-Inputs!C123)*10000,"n.a.")</f>
        <v>219.9999999999991</v>
      </c>
      <c r="D62" s="61">
        <f>_xlfn.IFERROR((D61-Inputs!D123)*10000,"n.a.")</f>
        <v>370.00000000000034</v>
      </c>
      <c r="E62" s="61">
        <f>_xlfn.IFERROR((E61-Inputs!E123)*10000,"n.a.")</f>
        <v>279.99999999999915</v>
      </c>
      <c r="F62" s="61">
        <f>_xlfn.IFERROR((F61-Inputs!F123)*10000,"n.a.")</f>
        <v>409.99999999999926</v>
      </c>
      <c r="G62" s="61">
        <f>_xlfn.IFERROR((G61-Inputs!G123)*10000,"n.a.")</f>
        <v>-310.0000000000003</v>
      </c>
      <c r="H62" s="63">
        <f t="shared" si="22" ref="H62:H70">_xlfn.IFERROR((H61-C61)*10000,"n.a.")</f>
        <v>-219.9999999999991</v>
      </c>
      <c r="I62" s="17"/>
    </row>
    <row r="63" ht="13.5" customHeight="1">
      <c r="A63" s="1"/>
      <c r="B63" s="17" t="s">
        <v>154</v>
      </c>
      <c r="C63" s="25">
        <f t="shared" si="19" ref="C63:H63">C44*C61</f>
        <v>2035.7479999999998</v>
      </c>
      <c r="D63" s="25">
        <f t="shared" si="19"/>
        <v>3109.9919999999997</v>
      </c>
      <c r="E63" s="25">
        <f t="shared" si="19"/>
        <v>9210.748</v>
      </c>
      <c r="F63" s="25">
        <f t="shared" si="19"/>
        <v>1892.494</v>
      </c>
      <c r="G63" s="25">
        <f t="shared" si="19"/>
        <v>2239.64</v>
      </c>
      <c r="H63" s="56">
        <f t="shared" si="19"/>
        <v>1973.253711431373</v>
      </c>
      <c r="I63" s="17"/>
    </row>
    <row r="64" ht="13.5" customHeight="1">
      <c r="A64" s="1"/>
      <c r="B64" s="43" t="s">
        <v>74</v>
      </c>
      <c r="C64" s="38">
        <f>_xlfn.IFERROR(C63/(Inputs!C107*Inputs!C123)-1,"n.a.")</f>
        <v>0.21675213675213656</v>
      </c>
      <c r="D64" s="38">
        <f>_xlfn.IFERROR(D63/(Inputs!D107*Inputs!D123)-1,"n.a.")</f>
        <v>0.2842376151274495</v>
      </c>
      <c r="E64" s="38">
        <f>_xlfn.IFERROR(E63/(Inputs!E107*Inputs!E123)-1,"n.a.")</f>
        <v>0.17736924720956737</v>
      </c>
      <c r="F64" s="38">
        <f>_xlfn.IFERROR(F63/(Inputs!F107*Inputs!F123)-1,"n.a.")</f>
        <v>0.24195042945042933</v>
      </c>
      <c r="G64" s="38">
        <f>_xlfn.IFERROR(G63/(Inputs!G107*Inputs!G123)-1,"n.a.")</f>
        <v>-0.12078921851507263</v>
      </c>
      <c r="H64" s="44">
        <f t="shared" si="13"/>
        <v>-0.030698440361295654</v>
      </c>
      <c r="I64" s="17"/>
    </row>
    <row r="65" ht="13.5" customHeight="1">
      <c r="A65" s="1"/>
      <c r="B65" s="43" t="s">
        <v>85</v>
      </c>
      <c r="C65" s="51">
        <f>_xlfn.IFERROR(C63-Inputs!G107*Inputs!G123,"n.a.")</f>
        <v>-511.5820000000001</v>
      </c>
      <c r="D65" s="47">
        <f t="shared" si="20" ref="D65:H65">_xlfn.IFERROR(D63-C63,"n.a.")</f>
        <v>1074.244</v>
      </c>
      <c r="E65" s="47" t="s">
        <v>38</v>
      </c>
      <c r="F65" s="47">
        <f>_xlfn.IFERROR(F63-D63,"n.a.")</f>
        <v>-1217.4979999999998</v>
      </c>
      <c r="G65" s="47">
        <f t="shared" si="20"/>
        <v>347.14599999999996</v>
      </c>
      <c r="H65" s="52">
        <f t="shared" si="20"/>
        <v>-266.3862885686269</v>
      </c>
      <c r="I65" s="17"/>
    </row>
    <row r="66" ht="13.5" customHeight="1">
      <c r="A66" s="1"/>
      <c r="B66" s="14" t="s">
        <v>155</v>
      </c>
      <c r="C66" s="59">
        <v>644</v>
      </c>
      <c r="D66" s="59">
        <v>1601</v>
      </c>
      <c r="E66" s="59">
        <v>3458</v>
      </c>
      <c r="F66" s="59">
        <v>524</v>
      </c>
      <c r="G66" s="59">
        <v>835</v>
      </c>
      <c r="H66" s="50">
        <f>H44*H69</f>
        <v>520.2214330137255</v>
      </c>
      <c r="I66" s="17"/>
    </row>
    <row r="67" ht="13.5" customHeight="1">
      <c r="A67" s="1"/>
      <c r="B67" s="43" t="s">
        <v>74</v>
      </c>
      <c r="C67" s="38">
        <f>_xlfn.IFERROR(C66/Inputs!C127-1,"n.a.")</f>
        <v>0.5260663507109005</v>
      </c>
      <c r="D67" s="38">
        <f>_xlfn.IFERROR(D66/Inputs!D127-1,"n.a.")</f>
        <v>0.5061147695202257</v>
      </c>
      <c r="E67" s="38">
        <f>_xlfn.IFERROR(E66/Inputs!E127-1,"n.a.")</f>
        <v>0.4114285714285715</v>
      </c>
      <c r="F67" s="38">
        <f>_xlfn.IFERROR(F66/Inputs!F127-1,"n.a.")</f>
        <v>1.1129032258064515</v>
      </c>
      <c r="G67" s="38">
        <f>_xlfn.IFERROR(G66/Inputs!G127-1,"n.a.")</f>
        <v>-0.13471502590673579</v>
      </c>
      <c r="H67" s="44">
        <f t="shared" si="13"/>
        <v>-0.192202743767507</v>
      </c>
      <c r="I67" s="17"/>
    </row>
    <row r="68" ht="13.5" customHeight="1">
      <c r="A68" s="1"/>
      <c r="B68" s="43" t="s">
        <v>85</v>
      </c>
      <c r="C68" s="51">
        <f>IF(ISNUMBER(Inputs!G127),C66-Inputs!G127,"n.a.")</f>
        <v>-321</v>
      </c>
      <c r="D68" s="47">
        <f t="shared" si="0"/>
        <v>957</v>
      </c>
      <c r="E68" s="47" t="s">
        <v>38</v>
      </c>
      <c r="F68" s="47">
        <f t="shared" si="14"/>
        <v>-1077</v>
      </c>
      <c r="G68" s="47">
        <f t="shared" si="0"/>
        <v>311</v>
      </c>
      <c r="H68" s="52">
        <f t="shared" si="0"/>
        <v>-314.77856698627454</v>
      </c>
      <c r="I68" s="17"/>
    </row>
    <row r="69" ht="13.5" customHeight="1">
      <c r="A69" s="1"/>
      <c r="B69" s="32" t="s">
        <v>156</v>
      </c>
      <c r="C69" s="39">
        <f t="shared" si="21" ref="C69:G69">C66/C44</f>
        <v>0.18094970497330712</v>
      </c>
      <c r="D69" s="39">
        <f t="shared" si="21"/>
        <v>0.3119641465315666</v>
      </c>
      <c r="E69" s="39">
        <f t="shared" si="21"/>
        <v>0.22000254485303475</v>
      </c>
      <c r="F69" s="39">
        <f t="shared" si="21"/>
        <v>0.15754660252555622</v>
      </c>
      <c r="G69" s="39">
        <f t="shared" si="21"/>
        <v>0.21773142112125163</v>
      </c>
      <c r="H69" s="54">
        <v>0.145</v>
      </c>
      <c r="I69" s="32" t="s">
        <v>208</v>
      </c>
    </row>
    <row r="70" ht="13.5" customHeight="1">
      <c r="A70" s="1"/>
      <c r="B70" s="43" t="s">
        <v>111</v>
      </c>
      <c r="C70" s="61">
        <f>_xlfn.IFERROR((C69-Inputs!C127/Inputs!C107)*10000,"n.a.")</f>
        <v>422.25181633399166</v>
      </c>
      <c r="D70" s="61">
        <f>_xlfn.IFERROR((D69-Inputs!D127/Inputs!D107)*10000,"n.a.")</f>
        <v>621.9910893758165</v>
      </c>
      <c r="E70" s="61">
        <f>_xlfn.IFERROR((E69-Inputs!E127/Inputs!E107)*10000,"n.a.")</f>
        <v>452.5218821965388</v>
      </c>
      <c r="F70" s="61">
        <f>_xlfn.IFERROR((F69-Inputs!F127/Inputs!F107)*10000,"n.a.")</f>
        <v>716.1451659347028</v>
      </c>
      <c r="G70" s="61">
        <f>_xlfn.IFERROR((G69-Inputs!G127/Inputs!G107)*10000,"n.a.")</f>
        <v>-152.4781596228289</v>
      </c>
      <c r="H70" s="63">
        <f t="shared" si="22"/>
        <v>-359.49704973307126</v>
      </c>
      <c r="I70" s="17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C9E3A18-B0BE-A7D8-33AA-922465495DA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60.00390625" customWidth="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</row>
    <row r="2" ht="13.5" customHeight="1">
      <c r="A2" s="1"/>
      <c r="B2" s="2" t="s">
        <v>0</v>
      </c>
      <c r="C2" s="1"/>
      <c r="D2" s="1"/>
      <c r="E2" s="1"/>
      <c r="F2" s="1"/>
      <c r="G2" s="1"/>
      <c r="H2" s="1"/>
      <c r="I2" s="1"/>
    </row>
    <row r="3" ht="13.5" customHeight="1">
      <c r="A3" s="1"/>
      <c r="B3" s="3" t="s">
        <v>209</v>
      </c>
      <c r="C3" s="1"/>
      <c r="D3" s="1"/>
      <c r="E3" s="1"/>
      <c r="F3" s="1"/>
      <c r="G3" s="1"/>
      <c r="H3" s="1"/>
      <c r="I3" s="1"/>
    </row>
    <row r="4" ht="13.5" customHeight="1">
      <c r="A4" s="1"/>
      <c r="B4" s="4" t="s">
        <v>2</v>
      </c>
      <c r="C4" s="1"/>
      <c r="D4" s="1"/>
      <c r="E4" s="1"/>
      <c r="F4" s="1"/>
      <c r="G4" s="1"/>
      <c r="H4" s="1"/>
      <c r="I4" s="1"/>
    </row>
    <row r="5" ht="13.5" customHeight="1">
      <c r="A5" s="1"/>
      <c r="B5" s="5" t="s">
        <v>62</v>
      </c>
      <c r="C5" s="6" t="s">
        <v>63</v>
      </c>
      <c r="D5" s="6" t="s">
        <v>64</v>
      </c>
      <c r="E5" s="6" t="s">
        <v>65</v>
      </c>
      <c r="F5" s="6" t="s">
        <v>66</v>
      </c>
      <c r="G5" s="6" t="s">
        <v>67</v>
      </c>
      <c r="H5" s="7" t="s">
        <v>68</v>
      </c>
      <c r="I5" s="5" t="s">
        <v>69</v>
      </c>
    </row>
    <row r="6" ht="13.5" customHeight="1">
      <c r="A6" s="1"/>
      <c r="B6" s="8" t="s">
        <v>70</v>
      </c>
      <c r="C6" s="9">
        <v>45930</v>
      </c>
      <c r="D6" s="9">
        <v>46022</v>
      </c>
      <c r="E6" s="9">
        <v>46022</v>
      </c>
      <c r="F6" s="9">
        <v>46112</v>
      </c>
      <c r="G6" s="9">
        <v>46203</v>
      </c>
      <c r="H6" s="10">
        <v>46295</v>
      </c>
      <c r="I6" s="8"/>
    </row>
    <row r="7" ht="13.5" customHeight="1">
      <c r="A7" s="1"/>
      <c r="B7" s="11" t="s">
        <v>71</v>
      </c>
      <c r="C7" s="12">
        <v>92</v>
      </c>
      <c r="D7" s="12">
        <v>92</v>
      </c>
      <c r="E7" s="12">
        <v>365</v>
      </c>
      <c r="F7" s="12">
        <v>90</v>
      </c>
      <c r="G7" s="12">
        <v>91</v>
      </c>
      <c r="H7" s="13">
        <v>92</v>
      </c>
      <c r="I7" s="11"/>
    </row>
    <row r="8" ht="13.5" customHeight="1">
      <c r="A8" s="1"/>
      <c r="B8" s="1"/>
      <c r="C8" s="1"/>
      <c r="D8" s="1"/>
      <c r="E8" s="1"/>
      <c r="F8" s="1"/>
      <c r="G8" s="1"/>
      <c r="H8" s="41"/>
      <c r="I8" s="1"/>
    </row>
    <row r="9" ht="36" customHeight="1">
      <c r="A9" s="1"/>
      <c r="B9" s="14" t="s">
        <v>210</v>
      </c>
      <c r="C9" s="22"/>
      <c r="D9" s="22"/>
      <c r="E9" s="22"/>
      <c r="F9" s="22"/>
      <c r="G9" s="22"/>
      <c r="H9" s="42"/>
      <c r="I9" s="17"/>
    </row>
    <row r="10" ht="13.5" customHeight="1">
      <c r="A10" s="1"/>
      <c r="B10" s="17" t="s">
        <v>211</v>
      </c>
      <c r="C10" s="24">
        <f>Inputs!C178</f>
        <v>12503</v>
      </c>
      <c r="D10" s="25">
        <f t="shared" si="0" ref="D10:H10">C12</f>
        <v>12159</v>
      </c>
      <c r="E10" s="24">
        <f>Inputs!E178</f>
        <v>12512</v>
      </c>
      <c r="F10" s="25">
        <f>D12</f>
        <v>16183</v>
      </c>
      <c r="G10" s="25">
        <f t="shared" si="0"/>
        <v>13524</v>
      </c>
      <c r="H10" s="56">
        <f t="shared" si="0"/>
        <v>13782</v>
      </c>
      <c r="I10" s="17"/>
    </row>
    <row r="11" ht="24.75" customHeight="1">
      <c r="A11" s="1"/>
      <c r="B11" s="58" t="s">
        <v>212</v>
      </c>
      <c r="C11" s="19" t="s">
        <v>38</v>
      </c>
      <c r="D11" s="19" t="s">
        <v>38</v>
      </c>
      <c r="E11" s="19" t="s">
        <v>38</v>
      </c>
      <c r="F11" s="19" t="s">
        <v>38</v>
      </c>
      <c r="G11" s="19" t="s">
        <v>38</v>
      </c>
      <c r="H11" s="57" t="s">
        <v>38</v>
      </c>
      <c r="I11" s="17"/>
    </row>
    <row r="12" ht="13.5" customHeight="1">
      <c r="A12" s="1"/>
      <c r="B12" s="14" t="s">
        <v>213</v>
      </c>
      <c r="C12" s="73">
        <f>'Balance Sheet'!C109</f>
        <v>12159</v>
      </c>
      <c r="D12" s="73">
        <f>'Balance Sheet'!D109</f>
        <v>16183</v>
      </c>
      <c r="E12" s="73">
        <f>'Balance Sheet'!E109</f>
        <v>16183</v>
      </c>
      <c r="F12" s="73">
        <f>'Balance Sheet'!F109</f>
        <v>13524</v>
      </c>
      <c r="G12" s="73">
        <f>'Balance Sheet'!G109</f>
        <v>13782</v>
      </c>
      <c r="H12" s="74">
        <f>'Balance Sheet'!H109</f>
        <v>13482</v>
      </c>
      <c r="I12" s="17"/>
    </row>
    <row r="13" ht="13.5" customHeight="1">
      <c r="A13" s="1"/>
      <c r="B13" s="58" t="s">
        <v>214</v>
      </c>
      <c r="C13" s="25">
        <f t="shared" si="1" ref="C13:H13">_xlfn.IFERROR(C12-C10,"n.a.")</f>
        <v>-344</v>
      </c>
      <c r="D13" s="25">
        <f t="shared" si="1"/>
        <v>4024</v>
      </c>
      <c r="E13" s="25">
        <f t="shared" si="1"/>
        <v>3671</v>
      </c>
      <c r="F13" s="25">
        <f t="shared" si="1"/>
        <v>-2659</v>
      </c>
      <c r="G13" s="25">
        <f t="shared" si="1"/>
        <v>258</v>
      </c>
      <c r="H13" s="56">
        <f t="shared" si="1"/>
        <v>-300</v>
      </c>
      <c r="I13" s="17"/>
    </row>
    <row r="14" ht="13.5" customHeight="1">
      <c r="A14" s="1"/>
      <c r="B14" s="58" t="s">
        <v>215</v>
      </c>
      <c r="C14" s="25">
        <f t="shared" si="2" ref="C14:H14">IF(ISNUMBER(C10),AVERAGE(C10,C12),"n.a.")</f>
        <v>12331</v>
      </c>
      <c r="D14" s="25">
        <f t="shared" si="2"/>
        <v>14171</v>
      </c>
      <c r="E14" s="25">
        <f t="shared" si="2"/>
        <v>14347.5</v>
      </c>
      <c r="F14" s="25">
        <f t="shared" si="2"/>
        <v>14853.5</v>
      </c>
      <c r="G14" s="25">
        <f t="shared" si="2"/>
        <v>13653</v>
      </c>
      <c r="H14" s="56">
        <f t="shared" si="2"/>
        <v>13632</v>
      </c>
      <c r="I14" s="17"/>
    </row>
    <row r="15" ht="13.5" customHeight="1">
      <c r="A15" s="1"/>
      <c r="B15" s="58" t="s">
        <v>71</v>
      </c>
      <c r="C15" s="37">
        <f t="shared" si="3" ref="C15:H15">C7</f>
        <v>92</v>
      </c>
      <c r="D15" s="37">
        <f t="shared" si="3"/>
        <v>92</v>
      </c>
      <c r="E15" s="37">
        <f t="shared" si="3"/>
        <v>365</v>
      </c>
      <c r="F15" s="37">
        <f t="shared" si="3"/>
        <v>90</v>
      </c>
      <c r="G15" s="37">
        <f t="shared" si="3"/>
        <v>91</v>
      </c>
      <c r="H15" s="75">
        <f t="shared" si="3"/>
        <v>92</v>
      </c>
      <c r="I15" s="17"/>
    </row>
    <row r="16" ht="24.75" customHeight="1">
      <c r="A16" s="1"/>
      <c r="B16" s="32" t="s">
        <v>216</v>
      </c>
      <c r="C16" s="39">
        <f t="shared" si="4" ref="C16:G16">_xlfn.IFERROR(C21*365/C15/C14,"n.a.")</f>
        <v>0.06434824919873208</v>
      </c>
      <c r="D16" s="39">
        <f t="shared" si="4"/>
        <v>0.05011382707488962</v>
      </c>
      <c r="E16" s="39">
        <f t="shared" si="4"/>
        <v>0.051367834117442064</v>
      </c>
      <c r="F16" s="39">
        <f t="shared" si="4"/>
        <v>0.060068147051013036</v>
      </c>
      <c r="G16" s="39">
        <f t="shared" si="4"/>
        <v>0.05464322537493269</v>
      </c>
      <c r="H16" s="54">
        <v>0.055</v>
      </c>
      <c r="I16" s="32" t="s">
        <v>217</v>
      </c>
    </row>
    <row r="17" ht="13.5" customHeight="1">
      <c r="A17" s="1"/>
      <c r="B17" s="43" t="s">
        <v>111</v>
      </c>
      <c r="C17" s="61">
        <f>_xlfn.IFERROR((C16-Inputs!C181)*10000,"n.a.")</f>
        <v>-10.0169174743496</v>
      </c>
      <c r="D17" s="61">
        <f>_xlfn.IFERROR((D16-Inputs!D181)*10000,"n.a.")</f>
        <v>-80.08934191839984</v>
      </c>
      <c r="E17" s="61">
        <f>_xlfn.IFERROR((E16-Inputs!E181)*10000,"n.a.")</f>
        <v>-53.52962992346222</v>
      </c>
      <c r="F17" s="61">
        <f>_xlfn.IFERROR((F16-Inputs!F181)*10000,"n.a.")</f>
        <v>-68.5868128068829</v>
      </c>
      <c r="G17" s="61">
        <f>_xlfn.IFERROR((G16-Inputs!G181)*10000,"n.a.")</f>
        <v>-29.067271575169208</v>
      </c>
      <c r="H17" s="63">
        <f t="shared" si="10" ref="H17:H41">_xlfn.IFERROR((H16-C16)*10000,"n.a.")</f>
        <v>-93.48249198732083</v>
      </c>
      <c r="I17" s="17"/>
    </row>
    <row r="18" ht="13.5" customHeight="1">
      <c r="A18" s="1"/>
      <c r="B18" s="43" t="s">
        <v>110</v>
      </c>
      <c r="C18" s="61">
        <f>_xlfn.IFERROR((C16-Inputs!G181)*10000,"n.a.")</f>
        <v>67.9829666628247</v>
      </c>
      <c r="D18" s="62">
        <f t="shared" si="5" ref="D18:H18">_xlfn.IFERROR((D16-C16)*10000,"n.a.")</f>
        <v>-142.3442212384246</v>
      </c>
      <c r="E18" s="62" t="s">
        <v>38</v>
      </c>
      <c r="F18" s="62">
        <f>_xlfn.IFERROR((F16-D16)*10000,"n.a.")</f>
        <v>99.54319976123415</v>
      </c>
      <c r="G18" s="62">
        <f t="shared" si="5"/>
        <v>-54.249216760803435</v>
      </c>
      <c r="H18" s="63">
        <f t="shared" si="5"/>
        <v>3.567746250673076</v>
      </c>
      <c r="I18" s="17"/>
    </row>
    <row r="19" ht="13.5" customHeight="1">
      <c r="A19" s="1"/>
      <c r="B19" s="17"/>
      <c r="C19" s="20"/>
      <c r="D19" s="20"/>
      <c r="E19" s="20"/>
      <c r="F19" s="20"/>
      <c r="G19" s="20"/>
      <c r="H19" s="55"/>
      <c r="I19" s="17"/>
    </row>
    <row r="20" ht="13.5" customHeight="1">
      <c r="A20" s="1"/>
      <c r="B20" s="14" t="s">
        <v>218</v>
      </c>
      <c r="C20" s="22"/>
      <c r="D20" s="22"/>
      <c r="E20" s="22"/>
      <c r="F20" s="22"/>
      <c r="G20" s="22"/>
      <c r="H20" s="42"/>
      <c r="I20" s="17"/>
    </row>
    <row r="21" ht="13.5" customHeight="1">
      <c r="A21" s="1"/>
      <c r="B21" s="14" t="s">
        <v>218</v>
      </c>
      <c r="C21" s="59">
        <v>200</v>
      </c>
      <c r="D21" s="59">
        <v>179</v>
      </c>
      <c r="E21" s="59">
        <v>737</v>
      </c>
      <c r="F21" s="59">
        <v>220</v>
      </c>
      <c r="G21" s="59">
        <v>186</v>
      </c>
      <c r="H21" s="50">
        <f>H14*H16*H15/365</f>
        <v>188.980602739726</v>
      </c>
      <c r="I21" s="17"/>
    </row>
    <row r="22" ht="13.5" customHeight="1">
      <c r="A22" s="1"/>
      <c r="B22" s="43" t="s">
        <v>74</v>
      </c>
      <c r="C22" s="38">
        <f>_xlfn.IFERROR(C21/Inputs!C108-1,"n.a.")</f>
        <v>0.1049723756906078</v>
      </c>
      <c r="D22" s="38">
        <f>_xlfn.IFERROR(D21/Inputs!D108-1,"n.a.")</f>
        <v>0.05294117647058827</v>
      </c>
      <c r="E22" s="38">
        <f>_xlfn.IFERROR(E21/Inputs!E108-1,"n.a.")</f>
        <v>0.033660589060308554</v>
      </c>
      <c r="F22" s="38">
        <f>_xlfn.IFERROR(F21/Inputs!F108-1,"n.a.")</f>
        <v>0.1518324607329844</v>
      </c>
      <c r="G22" s="38">
        <f>_xlfn.IFERROR(G21/Inputs!G108-1,"n.a.")</f>
        <v>0.12048192771084332</v>
      </c>
      <c r="H22" s="44">
        <f t="shared" si="12" ref="H22:H38">_xlfn.IFERROR(H21/C21-1,"n.a.")</f>
        <v>-0.05509698630136994</v>
      </c>
      <c r="I22" s="17"/>
    </row>
    <row r="23" ht="13.5" customHeight="1">
      <c r="A23" s="1"/>
      <c r="B23" s="43" t="s">
        <v>85</v>
      </c>
      <c r="C23" s="51">
        <f>IF(ISNUMBER(Inputs!G108),C21-Inputs!G108,"n.a.")</f>
        <v>34</v>
      </c>
      <c r="D23" s="47">
        <f t="shared" si="6" ref="D23:H39">D21-C21</f>
        <v>-21</v>
      </c>
      <c r="E23" s="47" t="s">
        <v>38</v>
      </c>
      <c r="F23" s="47">
        <f t="shared" si="14" ref="F23:F39">F21-D21</f>
        <v>41</v>
      </c>
      <c r="G23" s="47">
        <f t="shared" si="6"/>
        <v>-34</v>
      </c>
      <c r="H23" s="52">
        <f t="shared" si="6"/>
        <v>2.9806027397260095</v>
      </c>
      <c r="I23" s="17"/>
    </row>
    <row r="24" ht="13.5" customHeight="1">
      <c r="A24" s="1"/>
      <c r="B24" s="43" t="s">
        <v>119</v>
      </c>
      <c r="C24" s="53">
        <v>0.085</v>
      </c>
      <c r="D24" s="53">
        <v>0.024</v>
      </c>
      <c r="E24" s="53">
        <v>0.025</v>
      </c>
      <c r="F24" s="53">
        <v>0.102</v>
      </c>
      <c r="G24" s="53">
        <v>0.113</v>
      </c>
      <c r="H24" s="44">
        <f>(1+H22)/(1+H25)-1</f>
        <v>-0.04458744823192107</v>
      </c>
      <c r="I24" s="17"/>
    </row>
    <row r="25" ht="13.5" customHeight="1">
      <c r="A25" s="1"/>
      <c r="B25" s="43" t="s">
        <v>120</v>
      </c>
      <c r="C25" s="39">
        <f t="shared" si="7" ref="C25:G25">_xlfn.IFERROR((1+C22)/(1+C24)-1,"n.a.")</f>
        <v>0.01840771953051412</v>
      </c>
      <c r="D25" s="39">
        <f t="shared" si="7"/>
        <v>0.028262867647058876</v>
      </c>
      <c r="E25" s="39">
        <f t="shared" si="7"/>
        <v>0.008449355180788931</v>
      </c>
      <c r="F25" s="39">
        <f t="shared" si="7"/>
        <v>0.04522001881396043</v>
      </c>
      <c r="G25" s="39">
        <f t="shared" si="7"/>
        <v>0.00672230701782861</v>
      </c>
      <c r="H25" s="40">
        <f>'Revenue summary'!H36</f>
        <v>-0.011</v>
      </c>
      <c r="I25" s="17"/>
    </row>
    <row r="26" ht="13.5" customHeight="1">
      <c r="A26" s="1"/>
      <c r="B26" s="43" t="s">
        <v>121</v>
      </c>
      <c r="C26" s="39" t="s">
        <v>38</v>
      </c>
      <c r="D26" s="39" t="s">
        <v>38</v>
      </c>
      <c r="E26" s="39" t="s">
        <v>38</v>
      </c>
      <c r="F26" s="39" t="s">
        <v>38</v>
      </c>
      <c r="G26" s="39" t="s">
        <v>38</v>
      </c>
      <c r="H26" s="54">
        <v>0</v>
      </c>
      <c r="I26" s="17"/>
    </row>
    <row r="27" ht="13.5" customHeight="1">
      <c r="A27" s="1"/>
      <c r="B27" s="43" t="s">
        <v>90</v>
      </c>
      <c r="C27" s="39" t="str">
        <f t="shared" si="8" ref="C27:H27">IF(AND(ISNUMBER(C22),ISNUMBER(C26),ISNUMBER(C25)),(1+C22)/((1+C26)*(1+C25))-1,"n.a.")</f>
        <v>n.a.</v>
      </c>
      <c r="D27" s="39" t="str">
        <f t="shared" si="8"/>
        <v>n.a.</v>
      </c>
      <c r="E27" s="39" t="str">
        <f t="shared" si="8"/>
        <v>n.a.</v>
      </c>
      <c r="F27" s="39" t="str">
        <f t="shared" si="8"/>
        <v>n.a.</v>
      </c>
      <c r="G27" s="39" t="str">
        <f t="shared" si="8"/>
        <v>n.a.</v>
      </c>
      <c r="H27" s="44">
        <f t="shared" si="8"/>
        <v>-0.04458744823192107</v>
      </c>
      <c r="I27" s="17"/>
    </row>
    <row r="28" ht="13.5" customHeight="1">
      <c r="A28" s="1"/>
      <c r="B28" s="17"/>
      <c r="C28" s="20"/>
      <c r="D28" s="20"/>
      <c r="E28" s="20"/>
      <c r="F28" s="20"/>
      <c r="G28" s="20"/>
      <c r="H28" s="55"/>
      <c r="I28" s="17"/>
    </row>
    <row r="29" ht="13.5" customHeight="1">
      <c r="A29" s="1"/>
      <c r="B29" s="14" t="s">
        <v>219</v>
      </c>
      <c r="C29" s="22"/>
      <c r="D29" s="22"/>
      <c r="E29" s="22"/>
      <c r="F29" s="22"/>
      <c r="G29" s="22"/>
      <c r="H29" s="42"/>
      <c r="I29" s="17"/>
    </row>
    <row r="30" ht="13.5" customHeight="1">
      <c r="A30" s="1"/>
      <c r="B30" s="17" t="s">
        <v>220</v>
      </c>
      <c r="C30" s="45">
        <v>11300</v>
      </c>
      <c r="D30" s="45">
        <v>15100</v>
      </c>
      <c r="E30" s="25">
        <f>D30</f>
        <v>15100</v>
      </c>
      <c r="F30" s="45">
        <v>12800</v>
      </c>
      <c r="G30" s="45">
        <v>13000</v>
      </c>
      <c r="H30" s="56" t="s">
        <v>38</v>
      </c>
      <c r="I30" s="17"/>
    </row>
    <row r="31" ht="13.5" customHeight="1">
      <c r="A31" s="1"/>
      <c r="B31" s="58" t="s">
        <v>221</v>
      </c>
      <c r="C31" s="64">
        <f t="shared" si="9" ref="C31:H31">_xlfn.IFERROR(C30/C12,"n.a.")</f>
        <v>0.9293527428242454</v>
      </c>
      <c r="D31" s="64">
        <f t="shared" si="9"/>
        <v>0.9330779212754124</v>
      </c>
      <c r="E31" s="64">
        <f t="shared" si="9"/>
        <v>0.9330779212754124</v>
      </c>
      <c r="F31" s="64">
        <f t="shared" si="9"/>
        <v>0.9464655427388347</v>
      </c>
      <c r="G31" s="64">
        <f t="shared" si="9"/>
        <v>0.9432593237556233</v>
      </c>
      <c r="H31" s="65" t="str">
        <f t="shared" si="9"/>
        <v>n.a.</v>
      </c>
      <c r="I31" s="17"/>
    </row>
    <row r="32" ht="13.5" customHeight="1">
      <c r="A32" s="1"/>
      <c r="B32" s="32" t="s">
        <v>152</v>
      </c>
      <c r="C32" s="53">
        <v>0.456</v>
      </c>
      <c r="D32" s="53">
        <v>0.441</v>
      </c>
      <c r="E32" s="53">
        <v>0.453</v>
      </c>
      <c r="F32" s="53">
        <v>0.434</v>
      </c>
      <c r="G32" s="53">
        <v>0.425</v>
      </c>
      <c r="H32" s="54">
        <v>0.43</v>
      </c>
      <c r="I32" s="17"/>
    </row>
    <row r="33" ht="13.5" customHeight="1">
      <c r="A33" s="1"/>
      <c r="B33" s="43" t="s">
        <v>111</v>
      </c>
      <c r="C33" s="61">
        <f>_xlfn.IFERROR((C32-Inputs!C124)*10000,"n.a.")</f>
        <v>-159.99999999999957</v>
      </c>
      <c r="D33" s="61">
        <f>_xlfn.IFERROR((D32-Inputs!D124)*10000,"n.a.")</f>
        <v>-279.9999999999997</v>
      </c>
      <c r="E33" s="61">
        <f>_xlfn.IFERROR((E32-Inputs!E124)*10000,"n.a.")</f>
        <v>-259.99999999999966</v>
      </c>
      <c r="F33" s="61">
        <f>_xlfn.IFERROR((F32-Inputs!F124)*10000,"n.a.")</f>
        <v>-240.00000000000023</v>
      </c>
      <c r="G33" s="61">
        <f>_xlfn.IFERROR((G32-Inputs!G124)*10000,"n.a.")</f>
        <v>-320.0000000000003</v>
      </c>
      <c r="H33" s="63">
        <f t="shared" si="10"/>
        <v>-260.0000000000002</v>
      </c>
      <c r="I33" s="17"/>
    </row>
    <row r="34" ht="13.5" customHeight="1">
      <c r="A34" s="1"/>
      <c r="B34" s="17" t="s">
        <v>154</v>
      </c>
      <c r="C34" s="25">
        <f t="shared" si="11" ref="C34:H34">C21*C32</f>
        <v>91.2</v>
      </c>
      <c r="D34" s="25">
        <f t="shared" si="11"/>
        <v>78.93900000000001</v>
      </c>
      <c r="E34" s="25">
        <f t="shared" si="11"/>
        <v>333.861</v>
      </c>
      <c r="F34" s="25">
        <f t="shared" si="11"/>
        <v>95.48</v>
      </c>
      <c r="G34" s="25">
        <f t="shared" si="11"/>
        <v>79.05</v>
      </c>
      <c r="H34" s="56">
        <f t="shared" si="11"/>
        <v>81.26165917808218</v>
      </c>
      <c r="I34" s="17"/>
    </row>
    <row r="35" ht="13.5" customHeight="1">
      <c r="A35" s="1"/>
      <c r="B35" s="43" t="s">
        <v>74</v>
      </c>
      <c r="C35" s="38">
        <f>_xlfn.IFERROR(C34/(Inputs!C108*Inputs!C124)-1,"n.a.")</f>
        <v>0.0675156849892311</v>
      </c>
      <c r="D35" s="38">
        <f>_xlfn.IFERROR(D34/(Inputs!D108*Inputs!D124)-1,"n.a.")</f>
        <v>-0.009920983318700394</v>
      </c>
      <c r="E35" s="38">
        <f>_xlfn.IFERROR(E34/(Inputs!E108*Inputs!E124)-1,"n.a.")</f>
        <v>-0.022446248759248943</v>
      </c>
      <c r="F35" s="38">
        <f>_xlfn.IFERROR(F34/(Inputs!F108*Inputs!F124)-1,"n.a.")</f>
        <v>0.09147442785614657</v>
      </c>
      <c r="G35" s="38">
        <f>_xlfn.IFERROR(G34/(Inputs!G108*Inputs!G124)-1,"n.a.")</f>
        <v>0.04202367456697664</v>
      </c>
      <c r="H35" s="44">
        <f t="shared" si="12"/>
        <v>-0.10897303532804625</v>
      </c>
      <c r="I35" s="17"/>
    </row>
    <row r="36" ht="13.5" customHeight="1">
      <c r="A36" s="1"/>
      <c r="B36" s="43" t="s">
        <v>85</v>
      </c>
      <c r="C36" s="51">
        <f>_xlfn.IFERROR(C34-Inputs!G108*Inputs!G124,"n.a.")</f>
        <v>15.337999999999994</v>
      </c>
      <c r="D36" s="47">
        <f t="shared" si="13" ref="D36:H36">_xlfn.IFERROR(D34-C34,"n.a.")</f>
        <v>-12.260999999999996</v>
      </c>
      <c r="E36" s="47" t="s">
        <v>38</v>
      </c>
      <c r="F36" s="47">
        <f>_xlfn.IFERROR(F34-D34,"n.a.")</f>
        <v>16.540999999999997</v>
      </c>
      <c r="G36" s="47">
        <f t="shared" si="13"/>
        <v>-16.430000000000007</v>
      </c>
      <c r="H36" s="52">
        <f t="shared" si="13"/>
        <v>2.2116591780821864</v>
      </c>
      <c r="I36" s="17"/>
    </row>
    <row r="37" ht="13.5" customHeight="1">
      <c r="A37" s="1"/>
      <c r="B37" s="14" t="s">
        <v>155</v>
      </c>
      <c r="C37" s="59">
        <v>123</v>
      </c>
      <c r="D37" s="59">
        <v>150</v>
      </c>
      <c r="E37" s="59">
        <v>521</v>
      </c>
      <c r="F37" s="59">
        <v>118</v>
      </c>
      <c r="G37" s="59">
        <v>108</v>
      </c>
      <c r="H37" s="50">
        <f>H21*H40</f>
        <v>109.60874958904108</v>
      </c>
      <c r="I37" s="17"/>
    </row>
    <row r="38" ht="13.5" customHeight="1">
      <c r="A38" s="1"/>
      <c r="B38" s="43" t="s">
        <v>74</v>
      </c>
      <c r="C38" s="38">
        <f>_xlfn.IFERROR(C37/Inputs!C128-1,"n.a.")</f>
        <v>0.430232558139535</v>
      </c>
      <c r="D38" s="38">
        <f>_xlfn.IFERROR(D37/Inputs!D128-1,"n.a.")</f>
        <v>0.5957446808510638</v>
      </c>
      <c r="E38" s="38">
        <f>_xlfn.IFERROR(E37/Inputs!E128-1,"n.a.")</f>
        <v>0.4971264367816093</v>
      </c>
      <c r="F38" s="38">
        <f>_xlfn.IFERROR(F37/Inputs!F128-1,"n.a.")</f>
        <v>0.7101449275362319</v>
      </c>
      <c r="G38" s="38">
        <f>_xlfn.IFERROR(G37/Inputs!G128-1,"n.a.")</f>
        <v>-0.3966480446927374</v>
      </c>
      <c r="H38" s="44">
        <f t="shared" si="12"/>
        <v>-0.10887195456064158</v>
      </c>
      <c r="I38" s="17"/>
    </row>
    <row r="39" ht="13.5" customHeight="1">
      <c r="A39" s="1"/>
      <c r="B39" s="43" t="s">
        <v>85</v>
      </c>
      <c r="C39" s="51">
        <f>IF(ISNUMBER(Inputs!G128),C37-Inputs!G128,"n.a.")</f>
        <v>-56</v>
      </c>
      <c r="D39" s="47">
        <f t="shared" si="6"/>
        <v>27</v>
      </c>
      <c r="E39" s="47" t="s">
        <v>38</v>
      </c>
      <c r="F39" s="47">
        <f t="shared" si="14"/>
        <v>-32</v>
      </c>
      <c r="G39" s="47">
        <f t="shared" si="6"/>
        <v>-10</v>
      </c>
      <c r="H39" s="52">
        <f t="shared" si="6"/>
        <v>1.6087495890410821</v>
      </c>
      <c r="I39" s="17"/>
    </row>
    <row r="40" ht="13.5" customHeight="1">
      <c r="A40" s="1"/>
      <c r="B40" s="32" t="s">
        <v>156</v>
      </c>
      <c r="C40" s="39">
        <f t="shared" si="15" ref="C40:G40">C37/C21</f>
        <v>0.615</v>
      </c>
      <c r="D40" s="39">
        <f t="shared" si="15"/>
        <v>0.8379888268156425</v>
      </c>
      <c r="E40" s="39">
        <f t="shared" si="15"/>
        <v>0.7069199457259159</v>
      </c>
      <c r="F40" s="39">
        <f t="shared" si="15"/>
        <v>0.5363636363636364</v>
      </c>
      <c r="G40" s="39">
        <f t="shared" si="15"/>
        <v>0.5806451612903226</v>
      </c>
      <c r="H40" s="54">
        <v>0.58</v>
      </c>
      <c r="I40" s="17"/>
    </row>
    <row r="41" ht="13.5" customHeight="1">
      <c r="A41" s="1"/>
      <c r="B41" s="43" t="s">
        <v>111</v>
      </c>
      <c r="C41" s="61">
        <f>_xlfn.IFERROR((C40-Inputs!C128/Inputs!C108)*10000,"n.a.")</f>
        <v>1398.6187845303866</v>
      </c>
      <c r="D41" s="61">
        <f>_xlfn.IFERROR((D40-Inputs!D128/Inputs!D108)*10000,"n.a.")</f>
        <v>2850.4765034505417</v>
      </c>
      <c r="E41" s="61">
        <f>_xlfn.IFERROR((E40-Inputs!E128/Inputs!E108)*10000,"n.a.")</f>
        <v>2188.414043514418</v>
      </c>
      <c r="F41" s="61">
        <f>_xlfn.IFERROR((F40-Inputs!F128/Inputs!F108)*10000,"n.a.")</f>
        <v>1751.0709186101858</v>
      </c>
      <c r="G41" s="61">
        <f>_xlfn.IFERROR((G40-Inputs!G128/Inputs!G108)*10000,"n.a.")</f>
        <v>-4976.680917217256</v>
      </c>
      <c r="H41" s="63">
        <f t="shared" si="10"/>
        <v>-350.0000000000003</v>
      </c>
      <c r="I41" s="17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9B00769-6958-09B8-0815-7FED42622A13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60.00390625" customWidth="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</row>
    <row r="2" ht="13.5" customHeight="1">
      <c r="A2" s="1"/>
      <c r="B2" s="2" t="s">
        <v>0</v>
      </c>
      <c r="C2" s="1"/>
      <c r="D2" s="1"/>
      <c r="E2" s="1"/>
      <c r="F2" s="1"/>
      <c r="G2" s="1"/>
      <c r="H2" s="1"/>
      <c r="I2" s="1"/>
    </row>
    <row r="3" ht="13.5" customHeight="1">
      <c r="A3" s="1"/>
      <c r="B3" s="3" t="s">
        <v>222</v>
      </c>
      <c r="C3" s="1"/>
      <c r="D3" s="1"/>
      <c r="E3" s="1"/>
      <c r="F3" s="1"/>
      <c r="G3" s="1"/>
      <c r="H3" s="1"/>
      <c r="I3" s="1"/>
    </row>
    <row r="4" ht="13.5" customHeight="1">
      <c r="A4" s="1"/>
      <c r="B4" s="4" t="s">
        <v>2</v>
      </c>
      <c r="C4" s="1"/>
      <c r="D4" s="1"/>
      <c r="E4" s="1"/>
      <c r="F4" s="1"/>
      <c r="G4" s="1"/>
      <c r="H4" s="1"/>
      <c r="I4" s="1"/>
    </row>
    <row r="5" ht="13.5" customHeight="1">
      <c r="A5" s="1"/>
      <c r="B5" s="5" t="s">
        <v>62</v>
      </c>
      <c r="C5" s="6" t="s">
        <v>63</v>
      </c>
      <c r="D5" s="6" t="s">
        <v>64</v>
      </c>
      <c r="E5" s="6" t="s">
        <v>65</v>
      </c>
      <c r="F5" s="6" t="s">
        <v>66</v>
      </c>
      <c r="G5" s="6" t="s">
        <v>67</v>
      </c>
      <c r="H5" s="7" t="s">
        <v>68</v>
      </c>
      <c r="I5" s="5" t="s">
        <v>69</v>
      </c>
    </row>
    <row r="6" ht="13.5" customHeight="1">
      <c r="A6" s="1"/>
      <c r="B6" s="8" t="s">
        <v>70</v>
      </c>
      <c r="C6" s="9">
        <v>45930</v>
      </c>
      <c r="D6" s="9">
        <v>46022</v>
      </c>
      <c r="E6" s="9">
        <v>46022</v>
      </c>
      <c r="F6" s="9">
        <v>46112</v>
      </c>
      <c r="G6" s="9">
        <v>46203</v>
      </c>
      <c r="H6" s="10">
        <v>46295</v>
      </c>
      <c r="I6" s="8"/>
    </row>
    <row r="7" ht="13.5" customHeight="1">
      <c r="A7" s="1"/>
      <c r="B7" s="11" t="s">
        <v>71</v>
      </c>
      <c r="C7" s="12">
        <v>92</v>
      </c>
      <c r="D7" s="12">
        <v>92</v>
      </c>
      <c r="E7" s="12">
        <v>365</v>
      </c>
      <c r="F7" s="12">
        <v>90</v>
      </c>
      <c r="G7" s="12">
        <v>91</v>
      </c>
      <c r="H7" s="13">
        <v>92</v>
      </c>
      <c r="I7" s="11"/>
    </row>
    <row r="8" ht="13.5" customHeight="1">
      <c r="A8" s="1"/>
      <c r="B8" s="1"/>
      <c r="C8" s="1"/>
      <c r="D8" s="1"/>
      <c r="E8" s="1"/>
      <c r="F8" s="1"/>
      <c r="G8" s="1"/>
      <c r="H8" s="41"/>
      <c r="I8" s="1"/>
    </row>
    <row r="9" ht="24.75" customHeight="1">
      <c r="A9" s="1"/>
      <c r="B9" s="14" t="s">
        <v>223</v>
      </c>
      <c r="C9" s="22"/>
      <c r="D9" s="22"/>
      <c r="E9" s="22"/>
      <c r="F9" s="22"/>
      <c r="G9" s="22"/>
      <c r="H9" s="42"/>
      <c r="I9" s="17"/>
    </row>
    <row r="10" ht="13.5" customHeight="1">
      <c r="A10" s="1"/>
      <c r="B10" s="14" t="s">
        <v>84</v>
      </c>
      <c r="C10" s="73">
        <f>'Revenue summary'!C31</f>
        <v>16331</v>
      </c>
      <c r="D10" s="73">
        <f>'Revenue summary'!D31</f>
        <v>19686</v>
      </c>
      <c r="E10" s="73">
        <f>'Revenue summary'!E31</f>
        <v>67535</v>
      </c>
      <c r="F10" s="73">
        <f>'Revenue summary'!F31</f>
        <v>15917</v>
      </c>
      <c r="G10" s="73">
        <f>'Revenue summary'!G31</f>
        <v>17162</v>
      </c>
      <c r="H10" s="74">
        <f>'Revenue summary'!H31</f>
        <v>16850.61271352404</v>
      </c>
      <c r="I10" s="17"/>
    </row>
    <row r="11" ht="13.5" customHeight="1">
      <c r="A11" s="1"/>
      <c r="B11" s="43" t="s">
        <v>74</v>
      </c>
      <c r="C11" s="38">
        <f>_xlfn.IFERROR(C10/Inputs!C104-1,"n.a.")</f>
        <v>0.09106092998396575</v>
      </c>
      <c r="D11" s="38">
        <f>_xlfn.IFERROR(D10/Inputs!D104-1,"n.a.")</f>
        <v>0.12151768928388318</v>
      </c>
      <c r="E11" s="38">
        <f>_xlfn.IFERROR(E10/Inputs!E104-1,"n.a.")</f>
        <v>0.07620352811817765</v>
      </c>
      <c r="F11" s="38">
        <f>_xlfn.IFERROR(F10/Inputs!F104-1,"n.a.")</f>
        <v>0.09462898012516341</v>
      </c>
      <c r="G11" s="38">
        <f>_xlfn.IFERROR(G10/Inputs!G104-1,"n.a.")</f>
        <v>0.010897096071155188</v>
      </c>
      <c r="H11" s="44">
        <f t="shared" si="2" ref="H11:H128">_xlfn.IFERROR(H10/C10-1,"n.a.")</f>
        <v>0.03181756864393104</v>
      </c>
      <c r="I11" s="17"/>
    </row>
    <row r="12" ht="13.5" customHeight="1">
      <c r="A12" s="1"/>
      <c r="B12" s="43" t="s">
        <v>85</v>
      </c>
      <c r="C12" s="51">
        <f>IF(ISNUMBER(Inputs!G104),C10-Inputs!G104,"n.a.")</f>
        <v>-646</v>
      </c>
      <c r="D12" s="47">
        <f t="shared" si="0" ref="D12:H129">D10-C10</f>
        <v>3355</v>
      </c>
      <c r="E12" s="47" t="s">
        <v>38</v>
      </c>
      <c r="F12" s="47">
        <f t="shared" si="3" ref="F12:F129">F10-D10</f>
        <v>-3769</v>
      </c>
      <c r="G12" s="47">
        <f t="shared" si="0"/>
        <v>1245</v>
      </c>
      <c r="H12" s="52">
        <f t="shared" si="0"/>
        <v>-311.38728647596145</v>
      </c>
      <c r="I12" s="17"/>
    </row>
    <row r="13" ht="13.5" customHeight="1">
      <c r="A13" s="1"/>
      <c r="B13" s="58" t="s">
        <v>224</v>
      </c>
      <c r="C13" s="24">
        <f>'Segment - Software'!C68</f>
        <v>5990.679</v>
      </c>
      <c r="D13" s="24">
        <f>'Segment - Software'!D68</f>
        <v>7531.853999999999</v>
      </c>
      <c r="E13" s="24">
        <f>'Segment - Software'!E68</f>
        <v>25018.27</v>
      </c>
      <c r="F13" s="24">
        <f>'Segment - Software'!F68</f>
        <v>5839.056</v>
      </c>
      <c r="G13" s="24">
        <f>'Segment - Software'!G68</f>
        <v>6410.585999999999</v>
      </c>
      <c r="H13" s="23">
        <f>'Segment - Software'!H68</f>
        <v>6305.87353396</v>
      </c>
      <c r="I13" s="17"/>
    </row>
    <row r="14" ht="13.5" customHeight="1">
      <c r="A14" s="1"/>
      <c r="B14" s="58" t="s">
        <v>225</v>
      </c>
      <c r="C14" s="24">
        <f>'Segment - Consulting'!C53</f>
        <v>1559.932</v>
      </c>
      <c r="D14" s="24">
        <f>'Segment - Consulting'!D53</f>
        <v>1519.1159999999998</v>
      </c>
      <c r="E14" s="24">
        <f>'Segment - Consulting'!E53</f>
        <v>5916.455000000001</v>
      </c>
      <c r="F14" s="24">
        <f>'Segment - Consulting'!F53</f>
        <v>1449.8000000000002</v>
      </c>
      <c r="G14" s="24">
        <f>'Segment - Consulting'!G53</f>
        <v>1539.503</v>
      </c>
      <c r="H14" s="23">
        <f>'Segment - Consulting'!H53</f>
        <v>1607.61125174</v>
      </c>
      <c r="I14" s="17"/>
    </row>
    <row r="15" ht="13.5" customHeight="1">
      <c r="A15" s="1"/>
      <c r="B15" s="58" t="s">
        <v>226</v>
      </c>
      <c r="C15" s="24">
        <f>'Segment - Infrastructure'!C63</f>
        <v>2035.7479999999998</v>
      </c>
      <c r="D15" s="24">
        <f>'Segment - Infrastructure'!D63</f>
        <v>3109.9919999999997</v>
      </c>
      <c r="E15" s="24">
        <f>'Segment - Infrastructure'!E63</f>
        <v>9210.748</v>
      </c>
      <c r="F15" s="24">
        <f>'Segment - Infrastructure'!F63</f>
        <v>1892.494</v>
      </c>
      <c r="G15" s="24">
        <f>'Segment - Infrastructure'!G63</f>
        <v>2239.64</v>
      </c>
      <c r="H15" s="23">
        <f>'Segment - Infrastructure'!H63</f>
        <v>1973.253711431373</v>
      </c>
      <c r="I15" s="17"/>
    </row>
    <row r="16" ht="13.5" customHeight="1">
      <c r="A16" s="1"/>
      <c r="B16" s="58" t="s">
        <v>227</v>
      </c>
      <c r="C16" s="24">
        <f>'Segment - Financing'!C34</f>
        <v>91.2</v>
      </c>
      <c r="D16" s="24">
        <f>'Segment - Financing'!D34</f>
        <v>78.93900000000001</v>
      </c>
      <c r="E16" s="24">
        <f>'Segment - Financing'!E34</f>
        <v>333.861</v>
      </c>
      <c r="F16" s="24">
        <f>'Segment - Financing'!F34</f>
        <v>95.48</v>
      </c>
      <c r="G16" s="24">
        <f>'Segment - Financing'!G34</f>
        <v>79.05</v>
      </c>
      <c r="H16" s="23">
        <f>'Segment - Financing'!H34</f>
        <v>81.26165917808218</v>
      </c>
      <c r="I16" s="17"/>
    </row>
    <row r="17" ht="53.25" customHeight="1">
      <c r="A17" s="1"/>
      <c r="B17" s="58" t="s">
        <v>228</v>
      </c>
      <c r="C17" s="25">
        <f t="shared" si="1" ref="C17:G17">C18-SUM(C13:C16)</f>
        <v>-317.5589999999993</v>
      </c>
      <c r="D17" s="25">
        <f t="shared" si="1"/>
        <v>-311.900999999998</v>
      </c>
      <c r="E17" s="25">
        <f t="shared" si="1"/>
        <v>-1182.3340000000026</v>
      </c>
      <c r="F17" s="25">
        <f t="shared" si="1"/>
        <v>-326.8299999999999</v>
      </c>
      <c r="G17" s="25">
        <f t="shared" si="1"/>
        <v>-361.77899999999863</v>
      </c>
      <c r="H17" s="56">
        <f>H73-H76</f>
        <v>-360</v>
      </c>
      <c r="I17" s="32" t="s">
        <v>229</v>
      </c>
    </row>
    <row r="18" ht="13.5" customHeight="1">
      <c r="A18" s="1"/>
      <c r="B18" s="14" t="s">
        <v>230</v>
      </c>
      <c r="C18" s="59">
        <v>9360</v>
      </c>
      <c r="D18" s="59">
        <v>11928</v>
      </c>
      <c r="E18" s="59">
        <v>39297</v>
      </c>
      <c r="F18" s="59">
        <v>8950</v>
      </c>
      <c r="G18" s="59">
        <v>9907</v>
      </c>
      <c r="H18" s="50">
        <f>SUM(H13:H17)</f>
        <v>9608.000156309456</v>
      </c>
      <c r="I18" s="17"/>
    </row>
    <row r="19" ht="13.5" customHeight="1">
      <c r="A19" s="1"/>
      <c r="B19" s="43" t="s">
        <v>74</v>
      </c>
      <c r="C19" s="38">
        <f>_xlfn.IFERROR(C18/Inputs!C129-1,"n.a.")</f>
        <v>0.1116389548693586</v>
      </c>
      <c r="D19" s="38">
        <f>_xlfn.IFERROR(D18/Inputs!D129-1,"n.a.")</f>
        <v>0.14263818373407422</v>
      </c>
      <c r="E19" s="38">
        <f>_xlfn.IFERROR(E18/Inputs!E129-1,"n.a.")</f>
        <v>0.10536975049928277</v>
      </c>
      <c r="F19" s="38">
        <f>_xlfn.IFERROR(F18/Inputs!F129-1,"n.a.")</f>
        <v>0.11443157763665801</v>
      </c>
      <c r="G19" s="38">
        <f>_xlfn.IFERROR(G18/Inputs!G129-1,"n.a.")</f>
        <v>-0.007016137115365306</v>
      </c>
      <c r="H19" s="44">
        <f t="shared" si="2"/>
        <v>0.02649574319545467</v>
      </c>
      <c r="I19" s="17"/>
    </row>
    <row r="20" ht="13.5" customHeight="1">
      <c r="A20" s="1"/>
      <c r="B20" s="43" t="s">
        <v>85</v>
      </c>
      <c r="C20" s="51">
        <f>IF(ISNUMBER(Inputs!G129),C18-Inputs!G129,"n.a.")</f>
        <v>-617</v>
      </c>
      <c r="D20" s="47">
        <f t="shared" si="0"/>
        <v>2568</v>
      </c>
      <c r="E20" s="47" t="s">
        <v>38</v>
      </c>
      <c r="F20" s="47">
        <f t="shared" si="3"/>
        <v>-2978</v>
      </c>
      <c r="G20" s="47">
        <f t="shared" si="0"/>
        <v>957</v>
      </c>
      <c r="H20" s="52">
        <f t="shared" si="0"/>
        <v>-298.99984369054437</v>
      </c>
      <c r="I20" s="17"/>
    </row>
    <row r="21" ht="13.5" customHeight="1">
      <c r="A21" s="1"/>
      <c r="B21" s="32" t="s">
        <v>231</v>
      </c>
      <c r="C21" s="39">
        <f t="shared" si="4" ref="C21:H21">C18/C10</f>
        <v>0.5731431020758068</v>
      </c>
      <c r="D21" s="39">
        <f t="shared" si="4"/>
        <v>0.605912831453825</v>
      </c>
      <c r="E21" s="39">
        <f t="shared" si="4"/>
        <v>0.5818760642629748</v>
      </c>
      <c r="F21" s="39">
        <f t="shared" si="4"/>
        <v>0.5622918891750958</v>
      </c>
      <c r="G21" s="39">
        <f t="shared" si="4"/>
        <v>0.5772637221769025</v>
      </c>
      <c r="H21" s="44">
        <f t="shared" si="4"/>
        <v>0.5701869908029056</v>
      </c>
      <c r="I21" s="17"/>
    </row>
    <row r="22" ht="13.5" customHeight="1">
      <c r="A22" s="1"/>
      <c r="B22" s="43" t="s">
        <v>111</v>
      </c>
      <c r="C22" s="61">
        <f>_xlfn.IFERROR((C21-Inputs!C129/Inputs!C104)*10000,"n.a.")</f>
        <v>106.09697479334268</v>
      </c>
      <c r="D22" s="61">
        <f>_xlfn.IFERROR((D21-Inputs!D129/Inputs!D104)*10000,"n.a.")</f>
        <v>111.9967700729163</v>
      </c>
      <c r="E22" s="61">
        <f>_xlfn.IFERROR((E21-Inputs!E129/Inputs!E104)*10000,"n.a.")</f>
        <v>153.53348217526764</v>
      </c>
      <c r="F22" s="61">
        <f>_xlfn.IFERROR((F21-Inputs!F129/Inputs!F104)*10000,"n.a.")</f>
        <v>99.91497180047327</v>
      </c>
      <c r="G22" s="61">
        <f>_xlfn.IFERROR((G21-Inputs!G129/Inputs!G104)*10000,"n.a.")</f>
        <v>-104.13723779391316</v>
      </c>
      <c r="H22" s="63">
        <f t="shared" si="7" ref="H22:H120">_xlfn.IFERROR((H21-C21)*10000,"n.a.")</f>
        <v>-29.561112729011853</v>
      </c>
      <c r="I22" s="17"/>
    </row>
    <row r="23" ht="13.5" customHeight="1">
      <c r="A23" s="1"/>
      <c r="B23" s="17" t="s">
        <v>232</v>
      </c>
      <c r="C23" s="45">
        <v>4748</v>
      </c>
      <c r="D23" s="45">
        <v>5462</v>
      </c>
      <c r="E23" s="45">
        <v>20123</v>
      </c>
      <c r="F23" s="45">
        <v>5089</v>
      </c>
      <c r="G23" s="45">
        <v>4981</v>
      </c>
      <c r="H23" s="56">
        <f>H95+H77</f>
        <v>4745</v>
      </c>
      <c r="I23" s="17"/>
    </row>
    <row r="24" ht="13.5" customHeight="1">
      <c r="A24" s="1"/>
      <c r="B24" s="43" t="s">
        <v>74</v>
      </c>
      <c r="C24" s="38">
        <f>_xlfn.IFERROR(C23/Inputs!C130-1,"n.a.")</f>
        <v>-0.03319079617185905</v>
      </c>
      <c r="D24" s="38">
        <f>_xlfn.IFERROR(D23/Inputs!D130-1,"n.a.")</f>
        <v>0.12248253185367863</v>
      </c>
      <c r="E24" s="38">
        <f>_xlfn.IFERROR(E23/Inputs!E130-1,"n.a.")</f>
        <v>0.022094676960585202</v>
      </c>
      <c r="F24" s="38">
        <f>_xlfn.IFERROR(F23/Inputs!F130-1,"n.a.")</f>
        <v>0.04154727793696278</v>
      </c>
      <c r="G24" s="38">
        <f>_xlfn.IFERROR(G23/Inputs!G130-1,"n.a.")</f>
        <v>-0.009150586831112029</v>
      </c>
      <c r="H24" s="44">
        <f t="shared" si="2"/>
        <v>-0.0006318449873631282</v>
      </c>
      <c r="I24" s="17"/>
    </row>
    <row r="25" ht="13.5" customHeight="1">
      <c r="A25" s="1"/>
      <c r="B25" s="43" t="s">
        <v>85</v>
      </c>
      <c r="C25" s="51">
        <f>IF(ISNUMBER(Inputs!G130),C23-Inputs!G130,"n.a.")</f>
        <v>-279</v>
      </c>
      <c r="D25" s="47">
        <f t="shared" si="0"/>
        <v>714</v>
      </c>
      <c r="E25" s="47" t="s">
        <v>38</v>
      </c>
      <c r="F25" s="47">
        <f t="shared" si="3"/>
        <v>-373</v>
      </c>
      <c r="G25" s="47">
        <f t="shared" si="0"/>
        <v>-108</v>
      </c>
      <c r="H25" s="52">
        <f t="shared" si="0"/>
        <v>-236</v>
      </c>
      <c r="I25" s="17"/>
    </row>
    <row r="26" ht="24.75" customHeight="1">
      <c r="A26" s="1"/>
      <c r="B26" s="17" t="s">
        <v>233</v>
      </c>
      <c r="C26" s="45">
        <v>2082</v>
      </c>
      <c r="D26" s="45">
        <v>2187</v>
      </c>
      <c r="E26" s="45">
        <v>8316</v>
      </c>
      <c r="F26" s="45">
        <v>2173</v>
      </c>
      <c r="G26" s="45">
        <v>2311</v>
      </c>
      <c r="H26" s="46">
        <v>2280</v>
      </c>
      <c r="I26" s="32" t="s">
        <v>234</v>
      </c>
    </row>
    <row r="27" ht="13.5" customHeight="1">
      <c r="A27" s="1"/>
      <c r="B27" s="43" t="s">
        <v>74</v>
      </c>
      <c r="C27" s="38">
        <f>_xlfn.IFERROR(C26/Inputs!C131-1,"n.a.")</f>
        <v>0.10980810234541583</v>
      </c>
      <c r="D27" s="38">
        <f>_xlfn.IFERROR(D26/Inputs!D131-1,"n.a.")</f>
        <v>0.11184544992374179</v>
      </c>
      <c r="E27" s="38">
        <f>_xlfn.IFERROR(E26/Inputs!E131-1,"n.a.")</f>
        <v>0.11191335740072206</v>
      </c>
      <c r="F27" s="38">
        <f>_xlfn.IFERROR(F26/Inputs!F131-1,"n.a.")</f>
        <v>0.11435897435897435</v>
      </c>
      <c r="G27" s="38">
        <f>_xlfn.IFERROR(G26/Inputs!G131-1,"n.a.")</f>
        <v>0.10205054840247962</v>
      </c>
      <c r="H27" s="44">
        <f t="shared" si="2"/>
        <v>0.09510086455331401</v>
      </c>
      <c r="I27" s="17"/>
    </row>
    <row r="28" ht="13.5" customHeight="1">
      <c r="A28" s="1"/>
      <c r="B28" s="43" t="s">
        <v>85</v>
      </c>
      <c r="C28" s="51">
        <f>IF(ISNUMBER(Inputs!G131),C26-Inputs!G131,"n.a.")</f>
        <v>-15</v>
      </c>
      <c r="D28" s="47">
        <f t="shared" si="0"/>
        <v>105</v>
      </c>
      <c r="E28" s="47" t="s">
        <v>38</v>
      </c>
      <c r="F28" s="47">
        <f t="shared" si="3"/>
        <v>-14</v>
      </c>
      <c r="G28" s="47">
        <f t="shared" si="0"/>
        <v>138</v>
      </c>
      <c r="H28" s="52">
        <f t="shared" si="0"/>
        <v>-31</v>
      </c>
      <c r="I28" s="17"/>
    </row>
    <row r="29" ht="24.75" customHeight="1">
      <c r="A29" s="1"/>
      <c r="B29" s="17" t="s">
        <v>235</v>
      </c>
      <c r="C29" s="45">
        <v>-219</v>
      </c>
      <c r="D29" s="45">
        <v>-277</v>
      </c>
      <c r="E29" s="45">
        <v>-964</v>
      </c>
      <c r="F29" s="45">
        <v>-172</v>
      </c>
      <c r="G29" s="45">
        <v>-166</v>
      </c>
      <c r="H29" s="46">
        <v>-175</v>
      </c>
      <c r="I29" s="32" t="s">
        <v>236</v>
      </c>
    </row>
    <row r="30" ht="13.5" customHeight="1">
      <c r="A30" s="1"/>
      <c r="B30" s="43" t="s">
        <v>74</v>
      </c>
      <c r="C30" s="38">
        <f>_xlfn.IFERROR(C29/Inputs!C133-1,"n.a.")</f>
        <v>-0.0798319327731093</v>
      </c>
      <c r="D30" s="38">
        <f>_xlfn.IFERROR(D29/Inputs!D133-1,"n.a.")</f>
        <v>-0.07973421926910296</v>
      </c>
      <c r="E30" s="38">
        <f>_xlfn.IFERROR(E29/Inputs!E133-1,"n.a.")</f>
        <v>-0.032128514056224855</v>
      </c>
      <c r="F30" s="38">
        <f>_xlfn.IFERROR(F29/Inputs!F133-1,"n.a.")</f>
        <v>-0.32015810276679846</v>
      </c>
      <c r="G30" s="38">
        <f>_xlfn.IFERROR(G29/Inputs!G133-1,"n.a.")</f>
        <v>-0.22790697674418603</v>
      </c>
      <c r="H30" s="44">
        <f t="shared" si="2"/>
        <v>-0.2009132420091324</v>
      </c>
      <c r="I30" s="17"/>
    </row>
    <row r="31" ht="13.5" customHeight="1">
      <c r="A31" s="1"/>
      <c r="B31" s="43" t="s">
        <v>85</v>
      </c>
      <c r="C31" s="51">
        <f>IF(ISNUMBER(Inputs!G133),C29-Inputs!G133,"n.a.")</f>
        <v>-4</v>
      </c>
      <c r="D31" s="47">
        <f t="shared" si="0"/>
        <v>-58</v>
      </c>
      <c r="E31" s="47" t="s">
        <v>38</v>
      </c>
      <c r="F31" s="47">
        <f t="shared" si="3"/>
        <v>105</v>
      </c>
      <c r="G31" s="47">
        <f t="shared" si="0"/>
        <v>6</v>
      </c>
      <c r="H31" s="52">
        <f t="shared" si="0"/>
        <v>-9</v>
      </c>
      <c r="I31" s="17"/>
    </row>
    <row r="32" ht="13.5" customHeight="1">
      <c r="A32" s="1"/>
      <c r="B32" s="17" t="s">
        <v>237</v>
      </c>
      <c r="C32" s="45">
        <v>-173</v>
      </c>
      <c r="D32" s="45">
        <v>-66</v>
      </c>
      <c r="E32" s="45">
        <v>-442</v>
      </c>
      <c r="F32" s="45">
        <v>-1</v>
      </c>
      <c r="G32" s="45">
        <v>-185</v>
      </c>
      <c r="H32" s="56">
        <f>H98+H81+H78</f>
        <v>-104</v>
      </c>
      <c r="I32" s="17"/>
    </row>
    <row r="33" ht="13.5" customHeight="1">
      <c r="A33" s="1"/>
      <c r="B33" s="43" t="s">
        <v>238</v>
      </c>
      <c r="C33" s="51">
        <f>C32-Inputs!C134</f>
        <v>-2417</v>
      </c>
      <c r="D33" s="51">
        <f>D32-Inputs!D134</f>
        <v>-243</v>
      </c>
      <c r="E33" s="51">
        <f>E32-Inputs!E134</f>
        <v>-2313</v>
      </c>
      <c r="F33" s="51">
        <f>F32-Inputs!F134</f>
        <v>164</v>
      </c>
      <c r="G33" s="51">
        <f>G32-Inputs!G134</f>
        <v>-146</v>
      </c>
      <c r="H33" s="52">
        <f t="shared" si="10" ref="H33:H99">H32-C32</f>
        <v>69</v>
      </c>
      <c r="I33" s="17"/>
    </row>
    <row r="34" ht="13.5" customHeight="1">
      <c r="A34" s="1"/>
      <c r="B34" s="43" t="s">
        <v>85</v>
      </c>
      <c r="C34" s="51">
        <f>IF(ISNUMBER(Inputs!G134),C32-Inputs!G134,"n.a.")</f>
        <v>-134</v>
      </c>
      <c r="D34" s="47">
        <f t="shared" si="0"/>
        <v>107</v>
      </c>
      <c r="E34" s="47" t="s">
        <v>38</v>
      </c>
      <c r="F34" s="47">
        <f t="shared" si="3"/>
        <v>65</v>
      </c>
      <c r="G34" s="47">
        <f t="shared" si="0"/>
        <v>-184</v>
      </c>
      <c r="H34" s="52">
        <f t="shared" si="0"/>
        <v>81</v>
      </c>
      <c r="I34" s="17"/>
    </row>
    <row r="35" ht="13.5" customHeight="1">
      <c r="A35" s="1"/>
      <c r="B35" s="17" t="s">
        <v>239</v>
      </c>
      <c r="C35" s="45">
        <v>492</v>
      </c>
      <c r="D35" s="45">
        <v>478</v>
      </c>
      <c r="E35" s="45">
        <v>1935</v>
      </c>
      <c r="F35" s="45">
        <v>473</v>
      </c>
      <c r="G35" s="45">
        <v>486</v>
      </c>
      <c r="H35" s="46">
        <v>475</v>
      </c>
      <c r="I35" s="32" t="s">
        <v>240</v>
      </c>
    </row>
    <row r="36" ht="13.5" customHeight="1">
      <c r="A36" s="1"/>
      <c r="B36" s="43" t="s">
        <v>74</v>
      </c>
      <c r="C36" s="38">
        <f>_xlfn.IFERROR(C35/Inputs!C135-1,"n.a.")</f>
        <v>0.14685314685314688</v>
      </c>
      <c r="D36" s="38">
        <f>_xlfn.IFERROR(D35/Inputs!D135-1,"n.a.")</f>
        <v>0.12735849056603765</v>
      </c>
      <c r="E36" s="38">
        <f>_xlfn.IFERROR(E35/Inputs!E135-1,"n.a.")</f>
        <v>0.13025700934579443</v>
      </c>
      <c r="F36" s="38">
        <f>_xlfn.IFERROR(F35/Inputs!F135-1,"n.a.")</f>
        <v>0.03956043956043964</v>
      </c>
      <c r="G36" s="38">
        <f>_xlfn.IFERROR(G35/Inputs!G135-1,"n.a.")</f>
        <v>-0.04705882352941182</v>
      </c>
      <c r="H36" s="44">
        <f t="shared" si="2"/>
        <v>-0.03455284552845528</v>
      </c>
      <c r="I36" s="17"/>
    </row>
    <row r="37" ht="13.5" customHeight="1">
      <c r="A37" s="1"/>
      <c r="B37" s="43" t="s">
        <v>85</v>
      </c>
      <c r="C37" s="51">
        <f>IF(ISNUMBER(Inputs!G135),C35-Inputs!G135,"n.a.")</f>
        <v>-18</v>
      </c>
      <c r="D37" s="47">
        <f t="shared" si="0"/>
        <v>-14</v>
      </c>
      <c r="E37" s="47" t="s">
        <v>38</v>
      </c>
      <c r="F37" s="47">
        <f t="shared" si="3"/>
        <v>-5</v>
      </c>
      <c r="G37" s="47">
        <f t="shared" si="0"/>
        <v>13</v>
      </c>
      <c r="H37" s="52">
        <f t="shared" si="0"/>
        <v>-11</v>
      </c>
      <c r="I37" s="17"/>
    </row>
    <row r="38" ht="13.5" customHeight="1">
      <c r="A38" s="1"/>
      <c r="B38" s="14" t="s">
        <v>241</v>
      </c>
      <c r="C38" s="49">
        <f t="shared" si="5" ref="C38:H38">C23+C26+C29+C32+C35</f>
        <v>6930</v>
      </c>
      <c r="D38" s="49">
        <f t="shared" si="5"/>
        <v>7784</v>
      </c>
      <c r="E38" s="49">
        <f t="shared" si="5"/>
        <v>28968</v>
      </c>
      <c r="F38" s="49">
        <f t="shared" si="5"/>
        <v>7562</v>
      </c>
      <c r="G38" s="49">
        <f t="shared" si="5"/>
        <v>7427</v>
      </c>
      <c r="H38" s="50">
        <f t="shared" si="5"/>
        <v>7221</v>
      </c>
      <c r="I38" s="17"/>
    </row>
    <row r="39" ht="13.5" customHeight="1">
      <c r="A39" s="1"/>
      <c r="B39" s="43" t="s">
        <v>74</v>
      </c>
      <c r="C39" s="38">
        <f>_xlfn.IFERROR(C38/Inputs!C151-1,"n.a.")</f>
        <v>-0.24853610930383863</v>
      </c>
      <c r="D39" s="38">
        <f>_xlfn.IFERROR(D38/Inputs!D151-1,"n.a.")</f>
        <v>0.09126594700686952</v>
      </c>
      <c r="E39" s="38">
        <f>_xlfn.IFERROR(E38/Inputs!E151-1,"n.a.")</f>
        <v>-0.026416616253276848</v>
      </c>
      <c r="F39" s="38">
        <f>_xlfn.IFERROR(F38/Inputs!F151-1,"n.a.")</f>
        <v>0.10024734468208929</v>
      </c>
      <c r="G39" s="38">
        <f>_xlfn.IFERROR(G38/Inputs!G151-1,"n.a.")</f>
        <v>0.006368563685636763</v>
      </c>
      <c r="H39" s="44">
        <f t="shared" si="2"/>
        <v>0.041991341991342024</v>
      </c>
      <c r="I39" s="17"/>
    </row>
    <row r="40" ht="13.5" customHeight="1">
      <c r="A40" s="1"/>
      <c r="B40" s="43" t="s">
        <v>85</v>
      </c>
      <c r="C40" s="51">
        <f>IF(ISNUMBER(Inputs!G151),C38-Inputs!G151,"n.a.")</f>
        <v>-450</v>
      </c>
      <c r="D40" s="47">
        <f t="shared" si="0"/>
        <v>854</v>
      </c>
      <c r="E40" s="47" t="s">
        <v>38</v>
      </c>
      <c r="F40" s="47">
        <f t="shared" si="3"/>
        <v>-222</v>
      </c>
      <c r="G40" s="47">
        <f t="shared" si="0"/>
        <v>-135</v>
      </c>
      <c r="H40" s="52">
        <f t="shared" si="0"/>
        <v>-206</v>
      </c>
      <c r="I40" s="17"/>
    </row>
    <row r="41" ht="13.5" customHeight="1">
      <c r="A41" s="1"/>
      <c r="B41" s="43" t="s">
        <v>242</v>
      </c>
      <c r="C41" s="39">
        <f t="shared" si="6" ref="C41:H41">C38/C10</f>
        <v>0.42434633519074155</v>
      </c>
      <c r="D41" s="39">
        <f t="shared" si="6"/>
        <v>0.39540790409428017</v>
      </c>
      <c r="E41" s="39">
        <f t="shared" si="6"/>
        <v>0.4289331457762642</v>
      </c>
      <c r="F41" s="39">
        <f t="shared" si="6"/>
        <v>0.47508952692090217</v>
      </c>
      <c r="G41" s="39">
        <f t="shared" si="6"/>
        <v>0.4327584197645962</v>
      </c>
      <c r="H41" s="44">
        <f t="shared" si="6"/>
        <v>0.42853041149088533</v>
      </c>
      <c r="I41" s="17"/>
    </row>
    <row r="42" ht="13.5" customHeight="1">
      <c r="A42" s="1"/>
      <c r="B42" s="60" t="s">
        <v>111</v>
      </c>
      <c r="C42" s="61">
        <f>_xlfn.IFERROR((C41-Inputs!C151/Inputs!C104)*10000,"n.a.")</f>
        <v>-1917.680421475802</v>
      </c>
      <c r="D42" s="61">
        <f>_xlfn.IFERROR((D41-Inputs!D151/Inputs!D104)*10000,"n.a.")</f>
        <v>-109.61377510003977</v>
      </c>
      <c r="E42" s="61">
        <f>_xlfn.IFERROR((E41-Inputs!E151/Inputs!E104)*10000,"n.a.")</f>
        <v>-452.11516630313974</v>
      </c>
      <c r="F42" s="61">
        <f>_xlfn.IFERROR((F41-Inputs!F151/Inputs!F104)*10000,"n.a.")</f>
        <v>24.26023723047843</v>
      </c>
      <c r="G42" s="61">
        <f>_xlfn.IFERROR((G41-Inputs!G151/Inputs!G104)*10000,"n.a.")</f>
        <v>-19.473586414825995</v>
      </c>
      <c r="H42" s="63">
        <f t="shared" si="7"/>
        <v>41.8407630014378</v>
      </c>
      <c r="I42" s="17"/>
    </row>
    <row r="43" ht="24.75" customHeight="1">
      <c r="A43" s="1"/>
      <c r="B43" s="14" t="s">
        <v>243</v>
      </c>
      <c r="C43" s="49">
        <f t="shared" si="8" ref="C43:H43">C18-C38</f>
        <v>2430</v>
      </c>
      <c r="D43" s="49">
        <f t="shared" si="8"/>
        <v>4144</v>
      </c>
      <c r="E43" s="49">
        <f t="shared" si="8"/>
        <v>10329</v>
      </c>
      <c r="F43" s="49">
        <f t="shared" si="8"/>
        <v>1388</v>
      </c>
      <c r="G43" s="49">
        <f t="shared" si="8"/>
        <v>2480</v>
      </c>
      <c r="H43" s="50">
        <f t="shared" si="8"/>
        <v>2387.0001563094556</v>
      </c>
      <c r="I43" s="17"/>
    </row>
    <row r="44" ht="13.5" customHeight="1">
      <c r="A44" s="1"/>
      <c r="B44" s="43" t="s">
        <v>74</v>
      </c>
      <c r="C44" s="38">
        <f>_xlfn.IFERROR(C43/Inputs!C166-1,"n.a.")</f>
        <v>-4.029925187032418</v>
      </c>
      <c r="D44" s="38">
        <f>_xlfn.IFERROR(D43/Inputs!D166-1,"n.a.")</f>
        <v>0.2534785238959467</v>
      </c>
      <c r="E44" s="38">
        <f>_xlfn.IFERROR(E43/Inputs!E166-1,"n.a.")</f>
        <v>0.7817836812144212</v>
      </c>
      <c r="F44" s="38">
        <f>_xlfn.IFERROR(F43/Inputs!F166-1,"n.a.")</f>
        <v>0.19861830742659747</v>
      </c>
      <c r="G44" s="38">
        <f>_xlfn.IFERROR(G43/Inputs!G166-1,"n.a.")</f>
        <v>-0.0450519830573739</v>
      </c>
      <c r="H44" s="44">
        <f t="shared" si="2"/>
        <v>-0.017695408926149958</v>
      </c>
      <c r="I44" s="17"/>
    </row>
    <row r="45" ht="13.5" customHeight="1">
      <c r="A45" s="1"/>
      <c r="B45" s="43" t="s">
        <v>85</v>
      </c>
      <c r="C45" s="51">
        <f>IF(ISNUMBER(Inputs!G166),C43-Inputs!G166,"n.a.")</f>
        <v>-167</v>
      </c>
      <c r="D45" s="47">
        <f t="shared" si="0"/>
        <v>1714</v>
      </c>
      <c r="E45" s="47" t="s">
        <v>38</v>
      </c>
      <c r="F45" s="47">
        <f t="shared" si="3"/>
        <v>-2756</v>
      </c>
      <c r="G45" s="47">
        <f t="shared" si="0"/>
        <v>1092</v>
      </c>
      <c r="H45" s="52">
        <f t="shared" si="0"/>
        <v>-92.99984369054437</v>
      </c>
      <c r="I45" s="17"/>
    </row>
    <row r="46" ht="13.5" customHeight="1">
      <c r="A46" s="1"/>
      <c r="B46" s="32" t="s">
        <v>244</v>
      </c>
      <c r="C46" s="39">
        <f t="shared" si="9" ref="C46:H46">C43/C10</f>
        <v>0.1487967668850652</v>
      </c>
      <c r="D46" s="39">
        <f t="shared" si="9"/>
        <v>0.21050492735954485</v>
      </c>
      <c r="E46" s="39">
        <f t="shared" si="9"/>
        <v>0.1529429184867106</v>
      </c>
      <c r="F46" s="39">
        <f t="shared" si="9"/>
        <v>0.08720236225419363</v>
      </c>
      <c r="G46" s="39">
        <f t="shared" si="9"/>
        <v>0.14450530241230625</v>
      </c>
      <c r="H46" s="44">
        <f t="shared" si="9"/>
        <v>0.1416565793120203</v>
      </c>
      <c r="I46" s="17"/>
    </row>
    <row r="47" ht="13.5" customHeight="1">
      <c r="A47" s="1"/>
      <c r="B47" s="43" t="s">
        <v>111</v>
      </c>
      <c r="C47" s="61">
        <f>_xlfn.IFERROR((C46-Inputs!C166/Inputs!C104)*10000,"n.a.")</f>
        <v>2023.777396269145</v>
      </c>
      <c r="D47" s="61">
        <f>_xlfn.IFERROR((D46-Inputs!D166/Inputs!D104)*10000,"n.a.")</f>
        <v>221.61054517295665</v>
      </c>
      <c r="E47" s="61">
        <f>_xlfn.IFERROR((E46-Inputs!E166/Inputs!E104)*10000,"n.a.")</f>
        <v>605.6486484784074</v>
      </c>
      <c r="F47" s="61">
        <f>_xlfn.IFERROR((F46-Inputs!F166/Inputs!F104)*10000,"n.a.")</f>
        <v>75.65473456999483</v>
      </c>
      <c r="G47" s="61">
        <f>_xlfn.IFERROR((G46-Inputs!G166/Inputs!G104)*10000,"n.a.")</f>
        <v>-84.66365137908744</v>
      </c>
      <c r="H47" s="63">
        <f t="shared" si="7"/>
        <v>-71.40187573044909</v>
      </c>
      <c r="I47" s="17"/>
    </row>
    <row r="48" ht="24.75" customHeight="1">
      <c r="A48" s="1"/>
      <c r="B48" s="17" t="s">
        <v>245</v>
      </c>
      <c r="C48" s="45">
        <v>686</v>
      </c>
      <c r="D48" s="45">
        <v>-1435</v>
      </c>
      <c r="E48" s="45">
        <v>-242</v>
      </c>
      <c r="F48" s="45">
        <v>172</v>
      </c>
      <c r="G48" s="45">
        <v>313</v>
      </c>
      <c r="H48" s="56">
        <f>H113-H108-H111-H112</f>
        <v>302.8500234464183</v>
      </c>
      <c r="I48" s="17"/>
    </row>
    <row r="49" ht="13.5" customHeight="1">
      <c r="A49" s="1"/>
      <c r="B49" s="43" t="s">
        <v>238</v>
      </c>
      <c r="C49" s="51">
        <f>C48-Inputs!C164</f>
        <v>1171</v>
      </c>
      <c r="D49" s="51">
        <f>D48-Inputs!D164</f>
        <v>-1814</v>
      </c>
      <c r="E49" s="51">
        <f>E48-Inputs!E164</f>
        <v>-24</v>
      </c>
      <c r="F49" s="51">
        <f>F48-Inputs!F164</f>
        <v>69</v>
      </c>
      <c r="G49" s="51">
        <f>G48-Inputs!G164</f>
        <v>-91</v>
      </c>
      <c r="H49" s="52">
        <f t="shared" si="10"/>
        <v>-383.1499765535817</v>
      </c>
      <c r="I49" s="17"/>
    </row>
    <row r="50" ht="13.5" customHeight="1">
      <c r="A50" s="1"/>
      <c r="B50" s="43" t="s">
        <v>85</v>
      </c>
      <c r="C50" s="51">
        <f>IF(ISNUMBER(Inputs!G164),C48-Inputs!G164,"n.a.")</f>
        <v>282</v>
      </c>
      <c r="D50" s="47">
        <f t="shared" si="0"/>
        <v>-2121</v>
      </c>
      <c r="E50" s="47" t="s">
        <v>38</v>
      </c>
      <c r="F50" s="47">
        <f t="shared" si="3"/>
        <v>1607</v>
      </c>
      <c r="G50" s="47">
        <f t="shared" si="0"/>
        <v>141</v>
      </c>
      <c r="H50" s="52">
        <f t="shared" si="0"/>
        <v>-10.149976553581723</v>
      </c>
      <c r="I50" s="17"/>
    </row>
    <row r="51" ht="13.5" customHeight="1">
      <c r="A51" s="1"/>
      <c r="B51" s="32" t="s">
        <v>246</v>
      </c>
      <c r="C51" s="39">
        <f t="shared" si="11" ref="C51:H51">C48/C43</f>
        <v>0.2823045267489712</v>
      </c>
      <c r="D51" s="39">
        <f t="shared" si="11"/>
        <v>-0.34628378378378377</v>
      </c>
      <c r="E51" s="39">
        <f t="shared" si="11"/>
        <v>-0.023429179978700747</v>
      </c>
      <c r="F51" s="39">
        <f t="shared" si="11"/>
        <v>0.1239193083573487</v>
      </c>
      <c r="G51" s="39">
        <f t="shared" si="11"/>
        <v>0.12620967741935485</v>
      </c>
      <c r="H51" s="44">
        <f t="shared" si="11"/>
        <v>0.126874739679387</v>
      </c>
      <c r="I51" s="17"/>
    </row>
    <row r="52" ht="13.5" customHeight="1">
      <c r="A52" s="1"/>
      <c r="B52" s="43" t="s">
        <v>111</v>
      </c>
      <c r="C52" s="61">
        <f>_xlfn.IFERROR((C51-Inputs!C164/Inputs!C166)*10000,"n.a.")</f>
        <v>-3224.3362786449516</v>
      </c>
      <c r="D52" s="61">
        <f>_xlfn.IFERROR((D51-Inputs!D164/Inputs!D166)*10000,"n.a.")</f>
        <v>-4609.23832180638</v>
      </c>
      <c r="E52" s="61">
        <f>_xlfn.IFERROR((E51-Inputs!E164/Inputs!E166)*10000,"n.a.")</f>
        <v>141.76478120315986</v>
      </c>
      <c r="F52" s="61">
        <f>_xlfn.IFERROR((F51-Inputs!F164/Inputs!F166)*10000,"n.a.")</f>
        <v>349.72848944568034</v>
      </c>
      <c r="G52" s="61">
        <f>_xlfn.IFERROR((G51-Inputs!G164/Inputs!G166)*10000,"n.a.")</f>
        <v>-293.54435018072945</v>
      </c>
      <c r="H52" s="63">
        <f t="shared" si="7"/>
        <v>-1554.2978706958422</v>
      </c>
      <c r="I52" s="17"/>
    </row>
    <row r="53" ht="13.5" customHeight="1">
      <c r="A53" s="1"/>
      <c r="B53" s="14" t="s">
        <v>247</v>
      </c>
      <c r="C53" s="49">
        <f t="shared" si="12" ref="C53:H53">C43-C48</f>
        <v>1744</v>
      </c>
      <c r="D53" s="49">
        <f t="shared" si="12"/>
        <v>5579</v>
      </c>
      <c r="E53" s="49">
        <f t="shared" si="12"/>
        <v>10571</v>
      </c>
      <c r="F53" s="49">
        <f t="shared" si="12"/>
        <v>1216</v>
      </c>
      <c r="G53" s="49">
        <f t="shared" si="12"/>
        <v>2167</v>
      </c>
      <c r="H53" s="50">
        <f t="shared" si="12"/>
        <v>2084.1501328630375</v>
      </c>
      <c r="I53" s="17"/>
    </row>
    <row r="54" ht="13.5" customHeight="1">
      <c r="A54" s="1"/>
      <c r="B54" s="43" t="s">
        <v>74</v>
      </c>
      <c r="C54" s="38">
        <f>_xlfn.IFERROR(C53/Inputs!C152-1,"n.a.")</f>
        <v>-6.5015772870662465</v>
      </c>
      <c r="D54" s="38">
        <f>_xlfn.IFERROR(D53/Inputs!D152-1,"n.a.")</f>
        <v>0.9060471472497438</v>
      </c>
      <c r="E54" s="38">
        <f>_xlfn.IFERROR(E53/Inputs!E152-1,"n.a.")</f>
        <v>0.7574397339983374</v>
      </c>
      <c r="F54" s="38">
        <f>_xlfn.IFERROR(F53/Inputs!F152-1,"n.a.")</f>
        <v>0.15370018975332078</v>
      </c>
      <c r="G54" s="38">
        <f>_xlfn.IFERROR(G53/Inputs!G152-1,"n.a.")</f>
        <v>-0.011855905152758806</v>
      </c>
      <c r="H54" s="44">
        <f t="shared" si="2"/>
        <v>0.19504021379761327</v>
      </c>
      <c r="I54" s="17"/>
    </row>
    <row r="55" ht="13.5" customHeight="1">
      <c r="A55" s="1"/>
      <c r="B55" s="43" t="s">
        <v>85</v>
      </c>
      <c r="C55" s="51">
        <f>IF(ISNUMBER(Inputs!G152),C53-Inputs!G152,"n.a.")</f>
        <v>-449</v>
      </c>
      <c r="D55" s="47">
        <f t="shared" si="0"/>
        <v>3835</v>
      </c>
      <c r="E55" s="47" t="s">
        <v>38</v>
      </c>
      <c r="F55" s="47">
        <f t="shared" si="3"/>
        <v>-4363</v>
      </c>
      <c r="G55" s="47">
        <f t="shared" si="0"/>
        <v>951</v>
      </c>
      <c r="H55" s="52">
        <f t="shared" si="0"/>
        <v>-82.84986713696253</v>
      </c>
      <c r="I55" s="17"/>
    </row>
    <row r="56" ht="24.75" customHeight="1">
      <c r="A56" s="1"/>
      <c r="B56" s="17" t="s">
        <v>248</v>
      </c>
      <c r="C56" s="45">
        <v>0</v>
      </c>
      <c r="D56" s="45">
        <v>21</v>
      </c>
      <c r="E56" s="45">
        <v>22</v>
      </c>
      <c r="F56" s="45">
        <v>0</v>
      </c>
      <c r="G56" s="45">
        <v>-1</v>
      </c>
      <c r="H56" s="46">
        <v>0</v>
      </c>
      <c r="I56" s="32" t="s">
        <v>249</v>
      </c>
    </row>
    <row r="57" ht="13.5" customHeight="1">
      <c r="A57" s="1"/>
      <c r="B57" s="14" t="s">
        <v>250</v>
      </c>
      <c r="C57" s="49">
        <f t="shared" si="13" ref="C57:H80">C53+C56</f>
        <v>1744</v>
      </c>
      <c r="D57" s="49">
        <f t="shared" si="13"/>
        <v>5600</v>
      </c>
      <c r="E57" s="49">
        <f t="shared" si="13"/>
        <v>10593</v>
      </c>
      <c r="F57" s="49">
        <f t="shared" si="13"/>
        <v>1216</v>
      </c>
      <c r="G57" s="49">
        <f t="shared" si="13"/>
        <v>2166</v>
      </c>
      <c r="H57" s="50">
        <f t="shared" si="13"/>
        <v>2084.1501328630375</v>
      </c>
      <c r="I57" s="17"/>
    </row>
    <row r="58" ht="13.5" customHeight="1">
      <c r="A58" s="1"/>
      <c r="B58" s="43" t="s">
        <v>74</v>
      </c>
      <c r="C58" s="38">
        <f>_xlfn.IFERROR(C57/Inputs!C167-1,"n.a.")</f>
        <v>-6.284848484848485</v>
      </c>
      <c r="D58" s="38">
        <f>_xlfn.IFERROR(D57/Inputs!D167-1,"n.a.")</f>
        <v>0.9210977701543739</v>
      </c>
      <c r="E58" s="38">
        <f>_xlfn.IFERROR(E57/Inputs!E167-1,"n.a.")</f>
        <v>0.7587580939731031</v>
      </c>
      <c r="F58" s="38">
        <f>_xlfn.IFERROR(F57/Inputs!F167-1,"n.a.")</f>
        <v>0.15260663507108996</v>
      </c>
      <c r="G58" s="38">
        <f>_xlfn.IFERROR(G57/Inputs!G167-1,"n.a.")</f>
        <v>-0.012762078395624377</v>
      </c>
      <c r="H58" s="44">
        <f t="shared" si="2"/>
        <v>0.19504021379761327</v>
      </c>
      <c r="I58" s="17"/>
    </row>
    <row r="59" ht="13.5" customHeight="1">
      <c r="A59" s="1"/>
      <c r="B59" s="43" t="s">
        <v>85</v>
      </c>
      <c r="C59" s="51">
        <f>IF(ISNUMBER(Inputs!G167),C57-Inputs!G167,"n.a.")</f>
        <v>-450</v>
      </c>
      <c r="D59" s="47">
        <f t="shared" si="0"/>
        <v>3856</v>
      </c>
      <c r="E59" s="47" t="s">
        <v>38</v>
      </c>
      <c r="F59" s="47">
        <f t="shared" si="3"/>
        <v>-4384</v>
      </c>
      <c r="G59" s="47">
        <f t="shared" si="0"/>
        <v>950</v>
      </c>
      <c r="H59" s="52">
        <f t="shared" si="0"/>
        <v>-81.84986713696253</v>
      </c>
      <c r="I59" s="17"/>
    </row>
    <row r="60" ht="13.5" customHeight="1">
      <c r="A60" s="1"/>
      <c r="B60" s="32" t="s">
        <v>251</v>
      </c>
      <c r="C60" s="39">
        <f t="shared" si="14" ref="C60:H60">C57/C10</f>
        <v>0.1067907660277999</v>
      </c>
      <c r="D60" s="39">
        <f t="shared" si="14"/>
        <v>0.28446611805343897</v>
      </c>
      <c r="E60" s="39">
        <f t="shared" si="14"/>
        <v>0.15685200266528468</v>
      </c>
      <c r="F60" s="39">
        <f t="shared" si="14"/>
        <v>0.07639630583652698</v>
      </c>
      <c r="G60" s="39">
        <f t="shared" si="14"/>
        <v>0.12620906654236103</v>
      </c>
      <c r="H60" s="44">
        <f t="shared" si="14"/>
        <v>0.1236839376879353</v>
      </c>
      <c r="I60" s="17"/>
    </row>
    <row r="61" ht="13.5" customHeight="1">
      <c r="A61" s="1"/>
      <c r="B61" s="43" t="s">
        <v>111</v>
      </c>
      <c r="C61" s="61">
        <f>_xlfn.IFERROR((C60-Inputs!C167/Inputs!C104)*10000,"n.a.")</f>
        <v>1288.3779969963314</v>
      </c>
      <c r="D61" s="61">
        <f>_xlfn.IFERROR((D60-Inputs!D167/Inputs!D104)*10000,"n.a.")</f>
        <v>1183.9763973064516</v>
      </c>
      <c r="E61" s="61">
        <f>_xlfn.IFERROR((E60-Inputs!E167/Inputs!E104)*10000,"n.a.")</f>
        <v>608.7252758042818</v>
      </c>
      <c r="F61" s="61">
        <f>_xlfn.IFERROR((F60-Inputs!F167/Inputs!F104)*10000,"n.a.")</f>
        <v>38.428363364926</v>
      </c>
      <c r="G61" s="61">
        <f>_xlfn.IFERROR((G60-Inputs!G167/Inputs!G104)*10000,"n.a.")</f>
        <v>-30.24602539337756</v>
      </c>
      <c r="H61" s="63">
        <f t="shared" si="7"/>
        <v>168.93171660135403</v>
      </c>
      <c r="I61" s="17"/>
    </row>
    <row r="62" ht="13.5" customHeight="1">
      <c r="A62" s="1"/>
      <c r="B62" s="17"/>
      <c r="C62" s="20"/>
      <c r="D62" s="20"/>
      <c r="E62" s="20"/>
      <c r="F62" s="20"/>
      <c r="G62" s="20"/>
      <c r="H62" s="55"/>
      <c r="I62" s="17"/>
    </row>
    <row r="63" ht="13.5" customHeight="1">
      <c r="A63" s="1"/>
      <c r="B63" s="14" t="s">
        <v>252</v>
      </c>
      <c r="C63" s="22"/>
      <c r="D63" s="22"/>
      <c r="E63" s="22"/>
      <c r="F63" s="22"/>
      <c r="G63" s="22"/>
      <c r="H63" s="42"/>
      <c r="I63" s="17"/>
    </row>
    <row r="64" ht="13.5" customHeight="1">
      <c r="A64" s="1"/>
      <c r="B64" s="17" t="s">
        <v>253</v>
      </c>
      <c r="C64" s="24">
        <f>'Share Count'!C10</f>
        <v>948.9</v>
      </c>
      <c r="D64" s="24">
        <f>'Share Count'!D10</f>
        <v>952.4</v>
      </c>
      <c r="E64" s="24">
        <f>'Share Count'!E10</f>
        <v>948.7</v>
      </c>
      <c r="F64" s="24">
        <f>'Share Count'!F10</f>
        <v>952.1</v>
      </c>
      <c r="G64" s="24">
        <f>'Share Count'!G10</f>
        <v>953.3</v>
      </c>
      <c r="H64" s="23">
        <f>'Share Count'!H10</f>
        <v>954</v>
      </c>
      <c r="I64" s="17"/>
    </row>
    <row r="65" ht="13.5" customHeight="1">
      <c r="A65" s="1"/>
      <c r="B65" s="17" t="s">
        <v>254</v>
      </c>
      <c r="C65" s="24">
        <f>'Share Count'!C13</f>
        <v>933.9</v>
      </c>
      <c r="D65" s="24">
        <f>'Share Count'!D13</f>
        <v>936.5</v>
      </c>
      <c r="E65" s="24">
        <f>'Share Count'!E13</f>
        <v>932.3</v>
      </c>
      <c r="F65" s="24">
        <f>'Share Count'!F13</f>
        <v>938.5</v>
      </c>
      <c r="G65" s="24">
        <f>'Share Count'!G13</f>
        <v>941.2</v>
      </c>
      <c r="H65" s="23">
        <f>'Share Count'!H13</f>
        <v>942.6</v>
      </c>
      <c r="I65" s="17"/>
    </row>
    <row r="66" ht="24.75" customHeight="1">
      <c r="A66" s="1"/>
      <c r="B66" s="17" t="s">
        <v>255</v>
      </c>
      <c r="C66" s="29">
        <f t="shared" si="15" ref="C66:H66">C53/C64</f>
        <v>1.8379175887870165</v>
      </c>
      <c r="D66" s="29">
        <f t="shared" si="15"/>
        <v>5.857832843343133</v>
      </c>
      <c r="E66" s="29">
        <f t="shared" si="15"/>
        <v>11.142616211658058</v>
      </c>
      <c r="F66" s="29">
        <f t="shared" si="15"/>
        <v>1.2771767671463081</v>
      </c>
      <c r="G66" s="29">
        <f t="shared" si="15"/>
        <v>2.2731564040700727</v>
      </c>
      <c r="H66" s="76">
        <f t="shared" si="15"/>
        <v>2.1846437451394523</v>
      </c>
      <c r="I66" s="17"/>
    </row>
    <row r="67" ht="24.75" customHeight="1">
      <c r="A67" s="1"/>
      <c r="B67" s="14" t="s">
        <v>256</v>
      </c>
      <c r="C67" s="77">
        <f t="shared" si="16" ref="C67:H67">C57/C64</f>
        <v>1.8379175887870165</v>
      </c>
      <c r="D67" s="77">
        <f t="shared" si="16"/>
        <v>5.879882402351953</v>
      </c>
      <c r="E67" s="77">
        <f t="shared" si="16"/>
        <v>11.165805839569938</v>
      </c>
      <c r="F67" s="77">
        <f t="shared" si="16"/>
        <v>1.2771767671463081</v>
      </c>
      <c r="G67" s="77">
        <f t="shared" si="16"/>
        <v>2.272107416343229</v>
      </c>
      <c r="H67" s="78">
        <f t="shared" si="16"/>
        <v>2.1846437451394523</v>
      </c>
      <c r="I67" s="17"/>
    </row>
    <row r="68" ht="13.5" customHeight="1">
      <c r="A68" s="1"/>
      <c r="B68" s="43" t="s">
        <v>74</v>
      </c>
      <c r="C68" s="38">
        <f>_xlfn.IFERROR(C67/Inputs!C172-1,"n.a.")</f>
        <v>-6.10532663551949</v>
      </c>
      <c r="D68" s="38">
        <f>_xlfn.IFERROR(D67/Inputs!D172-1,"n.a.")</f>
        <v>0.9028745638679461</v>
      </c>
      <c r="E68" s="38">
        <f>_xlfn.IFERROR(E67/Inputs!E172-1,"n.a.")</f>
        <v>0.7365172378802392</v>
      </c>
      <c r="F68" s="38">
        <f>_xlfn.IFERROR(F67/Inputs!F172-1,"n.a.")</f>
        <v>0.14033639923777508</v>
      </c>
      <c r="G68" s="38">
        <f>_xlfn.IFERROR(G67/Inputs!G172-1,"n.a.")</f>
        <v>-0.016403715868732127</v>
      </c>
      <c r="H68" s="44">
        <f t="shared" si="2"/>
        <v>0.18865163403831775</v>
      </c>
      <c r="I68" s="17"/>
    </row>
    <row r="69" ht="13.5" customHeight="1">
      <c r="A69" s="1"/>
      <c r="B69" s="43" t="s">
        <v>257</v>
      </c>
      <c r="C69" s="79">
        <f>IF(ISNUMBER(Inputs!G172),C67-Inputs!G172,"n.a.")</f>
        <v>-0.47208241121298355</v>
      </c>
      <c r="D69" s="80">
        <f t="shared" si="0"/>
        <v>4.041964813564936</v>
      </c>
      <c r="E69" s="80" t="s">
        <v>38</v>
      </c>
      <c r="F69" s="80">
        <f t="shared" si="3"/>
        <v>-4.602705635205645</v>
      </c>
      <c r="G69" s="80">
        <f t="shared" si="0"/>
        <v>0.9949306491969208</v>
      </c>
      <c r="H69" s="81">
        <f t="shared" si="0"/>
        <v>-0.08746367120377663</v>
      </c>
      <c r="I69" s="17"/>
    </row>
    <row r="70" ht="24.75" customHeight="1">
      <c r="A70" s="1"/>
      <c r="B70" s="43" t="s">
        <v>258</v>
      </c>
      <c r="C70" s="79">
        <f>Inputs!G87</f>
        <v>1.84</v>
      </c>
      <c r="D70" s="79">
        <f>Inputs!G88</f>
        <v>5.88</v>
      </c>
      <c r="E70" s="82">
        <v>11.17</v>
      </c>
      <c r="F70" s="79">
        <f>Inputs!G89</f>
        <v>1.28</v>
      </c>
      <c r="G70" s="79">
        <f>Inputs!G90</f>
        <v>2.27</v>
      </c>
      <c r="H70" s="81"/>
      <c r="I70" s="17"/>
    </row>
    <row r="71" ht="13.5" customHeight="1">
      <c r="A71" s="1"/>
      <c r="B71" s="17" t="s">
        <v>259</v>
      </c>
      <c r="C71" s="29">
        <f t="shared" si="17" ref="C71:H71">C57/C65</f>
        <v>1.8674376271549418</v>
      </c>
      <c r="D71" s="29">
        <f t="shared" si="17"/>
        <v>5.97971169247197</v>
      </c>
      <c r="E71" s="29">
        <f t="shared" si="17"/>
        <v>11.362222460581359</v>
      </c>
      <c r="F71" s="29">
        <f t="shared" si="17"/>
        <v>1.2956846030900373</v>
      </c>
      <c r="G71" s="29">
        <f t="shared" si="17"/>
        <v>2.301317467063323</v>
      </c>
      <c r="H71" s="76">
        <f t="shared" si="17"/>
        <v>2.2110652799310815</v>
      </c>
      <c r="I71" s="17"/>
    </row>
    <row r="72" ht="24.75" customHeight="1">
      <c r="A72" s="1"/>
      <c r="B72" s="17" t="s">
        <v>260</v>
      </c>
      <c r="C72" s="19" t="b">
        <f t="shared" si="18" ref="C72:G72">ABS(C67-C70)&lt;=0.005</f>
        <v>1</v>
      </c>
      <c r="D72" s="19" t="b">
        <f t="shared" si="18"/>
        <v>1</v>
      </c>
      <c r="E72" s="19" t="b">
        <f t="shared" si="18"/>
        <v>1</v>
      </c>
      <c r="F72" s="19" t="b">
        <f t="shared" si="18"/>
        <v>1</v>
      </c>
      <c r="G72" s="19" t="b">
        <f t="shared" si="18"/>
        <v>1</v>
      </c>
      <c r="H72" s="57" t="b">
        <f>ABS(H67-H57/H64)&lt;0.000001</f>
        <v>1</v>
      </c>
      <c r="I72" s="32" t="s">
        <v>261</v>
      </c>
    </row>
    <row r="73" ht="40.5" customHeight="1">
      <c r="A73" s="1"/>
      <c r="B73" s="58" t="s">
        <v>262</v>
      </c>
      <c r="C73" s="20"/>
      <c r="D73" s="20"/>
      <c r="E73" s="20"/>
      <c r="F73" s="20"/>
      <c r="G73" s="20"/>
      <c r="H73" s="46">
        <v>-70</v>
      </c>
      <c r="I73" s="32" t="s">
        <v>263</v>
      </c>
    </row>
    <row r="74" ht="24.75" customHeight="1">
      <c r="A74" s="1"/>
      <c r="B74" s="14" t="s">
        <v>264</v>
      </c>
      <c r="C74" s="22"/>
      <c r="D74" s="22"/>
      <c r="E74" s="22"/>
      <c r="F74" s="22"/>
      <c r="G74" s="22"/>
      <c r="H74" s="42"/>
      <c r="I74" s="17"/>
    </row>
    <row r="75" ht="24.75" customHeight="1">
      <c r="A75" s="1"/>
      <c r="B75" s="17" t="s">
        <v>265</v>
      </c>
      <c r="C75" s="25">
        <f t="shared" si="19" ref="C75:H75">C43</f>
        <v>2430</v>
      </c>
      <c r="D75" s="25">
        <f t="shared" si="19"/>
        <v>4144</v>
      </c>
      <c r="E75" s="25">
        <f t="shared" si="19"/>
        <v>10329</v>
      </c>
      <c r="F75" s="25">
        <f t="shared" si="19"/>
        <v>1388</v>
      </c>
      <c r="G75" s="25">
        <f t="shared" si="19"/>
        <v>2480</v>
      </c>
      <c r="H75" s="56">
        <f t="shared" si="19"/>
        <v>2387.0001563094556</v>
      </c>
      <c r="I75" s="17"/>
    </row>
    <row r="76" ht="24.75" customHeight="1">
      <c r="A76" s="1"/>
      <c r="B76" s="58" t="s">
        <v>266</v>
      </c>
      <c r="C76" s="45">
        <v>231</v>
      </c>
      <c r="D76" s="45">
        <v>231</v>
      </c>
      <c r="E76" s="45">
        <v>888</v>
      </c>
      <c r="F76" s="45">
        <v>237</v>
      </c>
      <c r="G76" s="45">
        <v>287</v>
      </c>
      <c r="H76" s="46">
        <v>290</v>
      </c>
      <c r="I76" s="32" t="s">
        <v>267</v>
      </c>
    </row>
    <row r="77" ht="13.5" customHeight="1">
      <c r="A77" s="1"/>
      <c r="B77" s="58" t="s">
        <v>268</v>
      </c>
      <c r="C77" s="45">
        <v>354</v>
      </c>
      <c r="D77" s="45">
        <v>362</v>
      </c>
      <c r="E77" s="45">
        <v>1417</v>
      </c>
      <c r="F77" s="45">
        <v>408</v>
      </c>
      <c r="G77" s="45">
        <v>421</v>
      </c>
      <c r="H77" s="46">
        <v>425</v>
      </c>
      <c r="I77" s="17"/>
    </row>
    <row r="78" ht="24.75" customHeight="1">
      <c r="A78" s="1"/>
      <c r="B78" s="58" t="s">
        <v>269</v>
      </c>
      <c r="C78" s="25">
        <f t="shared" si="20" ref="C78:G78">C79-C77</f>
        <v>5</v>
      </c>
      <c r="D78" s="25">
        <f t="shared" si="20"/>
        <v>4</v>
      </c>
      <c r="E78" s="25">
        <f t="shared" si="20"/>
        <v>15</v>
      </c>
      <c r="F78" s="25">
        <f t="shared" si="20"/>
        <v>1</v>
      </c>
      <c r="G78" s="25">
        <f t="shared" si="20"/>
        <v>8</v>
      </c>
      <c r="H78" s="46">
        <v>5</v>
      </c>
      <c r="I78" s="17"/>
    </row>
    <row r="79" ht="24.75" customHeight="1">
      <c r="A79" s="1"/>
      <c r="B79" s="58" t="s">
        <v>270</v>
      </c>
      <c r="C79" s="45">
        <v>359</v>
      </c>
      <c r="D79" s="45">
        <v>366</v>
      </c>
      <c r="E79" s="45">
        <v>1432</v>
      </c>
      <c r="F79" s="45">
        <v>409</v>
      </c>
      <c r="G79" s="45">
        <v>429</v>
      </c>
      <c r="H79" s="56">
        <f>H77+H78</f>
        <v>430</v>
      </c>
      <c r="I79" s="17"/>
    </row>
    <row r="80" ht="13.5" customHeight="1">
      <c r="A80" s="1"/>
      <c r="B80" s="83" t="s">
        <v>271</v>
      </c>
      <c r="C80" s="49">
        <f t="shared" si="13"/>
        <v>590</v>
      </c>
      <c r="D80" s="49">
        <f t="shared" si="13"/>
        <v>597</v>
      </c>
      <c r="E80" s="49">
        <f t="shared" si="13"/>
        <v>2320</v>
      </c>
      <c r="F80" s="49">
        <f t="shared" si="13"/>
        <v>646</v>
      </c>
      <c r="G80" s="49">
        <f t="shared" si="13"/>
        <v>716</v>
      </c>
      <c r="H80" s="50">
        <f t="shared" si="13"/>
        <v>720</v>
      </c>
      <c r="I80" s="17"/>
    </row>
    <row r="81" ht="13.5" customHeight="1">
      <c r="A81" s="1"/>
      <c r="B81" s="58" t="s">
        <v>272</v>
      </c>
      <c r="C81" s="45">
        <v>13</v>
      </c>
      <c r="D81" s="45">
        <v>4</v>
      </c>
      <c r="E81" s="45">
        <v>65</v>
      </c>
      <c r="F81" s="45">
        <v>96</v>
      </c>
      <c r="G81" s="45">
        <v>96</v>
      </c>
      <c r="H81" s="46">
        <v>96</v>
      </c>
      <c r="I81" s="32" t="s">
        <v>273</v>
      </c>
    </row>
    <row r="82" ht="66" customHeight="1">
      <c r="A82" s="1"/>
      <c r="B82" s="14" t="s">
        <v>274</v>
      </c>
      <c r="C82" s="49">
        <f t="shared" si="21" ref="C82:H82">C75+C80+C81</f>
        <v>3033</v>
      </c>
      <c r="D82" s="49">
        <f t="shared" si="21"/>
        <v>4745</v>
      </c>
      <c r="E82" s="49">
        <f t="shared" si="21"/>
        <v>12714</v>
      </c>
      <c r="F82" s="49">
        <f t="shared" si="21"/>
        <v>2130</v>
      </c>
      <c r="G82" s="49">
        <f t="shared" si="21"/>
        <v>3292</v>
      </c>
      <c r="H82" s="50">
        <f t="shared" si="21"/>
        <v>3203.0001563094556</v>
      </c>
      <c r="I82" s="32" t="s">
        <v>275</v>
      </c>
    </row>
    <row r="83" ht="13.5" customHeight="1">
      <c r="A83" s="1"/>
      <c r="B83" s="43" t="s">
        <v>74</v>
      </c>
      <c r="C83" s="38">
        <f>_xlfn.IFERROR(C82/Inputs!C169-1,"n.a.")</f>
        <v>0.21954161640530767</v>
      </c>
      <c r="D83" s="38">
        <f>_xlfn.IFERROR(D82/Inputs!D169-1,"n.a.")</f>
        <v>0.11098103488644351</v>
      </c>
      <c r="E83" s="38">
        <f>_xlfn.IFERROR(E82/Inputs!E169-1,"n.a.")</f>
        <v>0.1344695279735879</v>
      </c>
      <c r="F83" s="38">
        <f>_xlfn.IFERROR(F82/Inputs!F169-1,"n.a.")</f>
        <v>0.22554660529344073</v>
      </c>
      <c r="G83" s="38">
        <f>_xlfn.IFERROR(G82/Inputs!G169-1,"n.a.")</f>
        <v>0.029715358148264093</v>
      </c>
      <c r="H83" s="44">
        <f t="shared" si="2"/>
        <v>0.05605016693354958</v>
      </c>
      <c r="I83" s="17"/>
    </row>
    <row r="84" ht="13.5" customHeight="1">
      <c r="A84" s="1"/>
      <c r="B84" s="43" t="s">
        <v>85</v>
      </c>
      <c r="C84" s="51">
        <f>IF(ISNUMBER(Inputs!G169),C82-Inputs!G169,"n.a.")</f>
        <v>-164</v>
      </c>
      <c r="D84" s="47">
        <f t="shared" si="0"/>
        <v>1712</v>
      </c>
      <c r="E84" s="47" t="s">
        <v>38</v>
      </c>
      <c r="F84" s="47">
        <f t="shared" si="3"/>
        <v>-2615</v>
      </c>
      <c r="G84" s="47">
        <f t="shared" si="0"/>
        <v>1162</v>
      </c>
      <c r="H84" s="52">
        <f t="shared" si="0"/>
        <v>-88.99984369054437</v>
      </c>
      <c r="I84" s="17"/>
    </row>
    <row r="85" ht="27.75" customHeight="1">
      <c r="A85" s="1"/>
      <c r="B85" s="32" t="s">
        <v>57</v>
      </c>
      <c r="C85" s="39">
        <f t="shared" si="22" ref="C85:H85">C82/C10</f>
        <v>0.18572040903802584</v>
      </c>
      <c r="D85" s="39">
        <f t="shared" si="22"/>
        <v>0.24103423752920858</v>
      </c>
      <c r="E85" s="39">
        <f t="shared" si="22"/>
        <v>0.18825794032723772</v>
      </c>
      <c r="F85" s="39">
        <f t="shared" si="22"/>
        <v>0.1338191870327323</v>
      </c>
      <c r="G85" s="39">
        <f t="shared" si="22"/>
        <v>0.1918191352989162</v>
      </c>
      <c r="H85" s="44">
        <f t="shared" si="22"/>
        <v>0.19008211812611286</v>
      </c>
      <c r="I85" s="32" t="s">
        <v>276</v>
      </c>
    </row>
    <row r="86" ht="13.5" customHeight="1">
      <c r="A86" s="1"/>
      <c r="B86" s="43" t="s">
        <v>111</v>
      </c>
      <c r="C86" s="61">
        <f>_xlfn.IFERROR((C85-Inputs!C169/Inputs!C104)*10000,"n.a.")</f>
        <v>195.65946183937118</v>
      </c>
      <c r="D86" s="61">
        <f>_xlfn.IFERROR((D85-Inputs!D169/Inputs!D104)*10000,"n.a.")</f>
        <v>-22.859926308780032</v>
      </c>
      <c r="E86" s="61">
        <f>_xlfn.IFERROR((E85-Inputs!E169/Inputs!E104)*10000,"n.a.")</f>
        <v>96.68868888422055</v>
      </c>
      <c r="F86" s="61">
        <f>_xlfn.IFERROR((F85-Inputs!F169/Inputs!F104)*10000,"n.a.")</f>
        <v>142.95082775803616</v>
      </c>
      <c r="G86" s="61">
        <f>_xlfn.IFERROR((G85-Inputs!G169/Inputs!G104)*10000,"n.a.")</f>
        <v>35.05534544954947</v>
      </c>
      <c r="H86" s="63">
        <f t="shared" si="7"/>
        <v>43.61709088087029</v>
      </c>
      <c r="I86" s="17"/>
    </row>
    <row r="87" ht="24.75" customHeight="1">
      <c r="A87" s="1"/>
      <c r="B87" s="43" t="s">
        <v>277</v>
      </c>
      <c r="C87" s="67">
        <v>3033</v>
      </c>
      <c r="D87" s="67">
        <v>4745</v>
      </c>
      <c r="E87" s="67">
        <v>12713</v>
      </c>
      <c r="F87" s="67">
        <v>2129</v>
      </c>
      <c r="G87" s="67">
        <v>3290</v>
      </c>
      <c r="H87" s="52"/>
      <c r="I87" s="17"/>
    </row>
    <row r="88" ht="24.75" customHeight="1">
      <c r="A88" s="1"/>
      <c r="B88" s="17" t="s">
        <v>278</v>
      </c>
      <c r="C88" s="19" t="b">
        <f t="shared" si="23" ref="C88:G88">ABS(C82-C87)&lt;=2</f>
        <v>1</v>
      </c>
      <c r="D88" s="19" t="b">
        <f t="shared" si="23"/>
        <v>1</v>
      </c>
      <c r="E88" s="19" t="b">
        <f t="shared" si="23"/>
        <v>1</v>
      </c>
      <c r="F88" s="19" t="b">
        <f t="shared" si="23"/>
        <v>1</v>
      </c>
      <c r="G88" s="19" t="b">
        <f t="shared" si="23"/>
        <v>1</v>
      </c>
      <c r="H88" s="57"/>
      <c r="I88" s="17"/>
    </row>
    <row r="89" ht="13.5" customHeight="1">
      <c r="A89" s="1"/>
      <c r="B89" s="32" t="s">
        <v>279</v>
      </c>
      <c r="C89" s="69"/>
      <c r="D89" s="69"/>
      <c r="E89" s="69"/>
      <c r="F89" s="69"/>
      <c r="G89" s="69"/>
      <c r="H89" s="70"/>
      <c r="I89" s="17"/>
    </row>
    <row r="90" ht="13.5" customHeight="1">
      <c r="A90" s="1"/>
      <c r="B90" s="58" t="s">
        <v>280</v>
      </c>
      <c r="C90" s="25">
        <f t="shared" si="24" ref="C90:H90">C18+C76</f>
        <v>9591</v>
      </c>
      <c r="D90" s="25">
        <f t="shared" si="24"/>
        <v>12159</v>
      </c>
      <c r="E90" s="25">
        <f t="shared" si="24"/>
        <v>40185</v>
      </c>
      <c r="F90" s="25">
        <f t="shared" si="24"/>
        <v>9187</v>
      </c>
      <c r="G90" s="25">
        <f t="shared" si="24"/>
        <v>10194</v>
      </c>
      <c r="H90" s="56">
        <f t="shared" si="24"/>
        <v>9898.000156309456</v>
      </c>
      <c r="I90" s="17"/>
    </row>
    <row r="91" ht="13.5" customHeight="1">
      <c r="A91" s="1"/>
      <c r="B91" s="60" t="s">
        <v>74</v>
      </c>
      <c r="C91" s="38">
        <f>_xlfn.IFERROR(C90/Inputs!C168-1,"n.a.")</f>
        <v>0.11367858801672082</v>
      </c>
      <c r="D91" s="38">
        <f>_xlfn.IFERROR(D90/Inputs!D168-1,"n.a.")</f>
        <v>0.14383819379115703</v>
      </c>
      <c r="E91" s="38">
        <f>_xlfn.IFERROR(E90/Inputs!E168-1,"n.a.")</f>
        <v>0.10778773259820817</v>
      </c>
      <c r="F91" s="38">
        <f>_xlfn.IFERROR(F90/Inputs!F168-1,"n.a.")</f>
        <v>0.11601068999028175</v>
      </c>
      <c r="G91" s="38">
        <f>_xlfn.IFERROR(G90/Inputs!G168-1,"n.a.")</f>
        <v>-0.0007841599686335687</v>
      </c>
      <c r="H91" s="44">
        <f t="shared" si="2"/>
        <v>0.0320091915659948</v>
      </c>
      <c r="I91" s="17"/>
    </row>
    <row r="92" ht="13.5" customHeight="1">
      <c r="A92" s="1"/>
      <c r="B92" s="60" t="s">
        <v>85</v>
      </c>
      <c r="C92" s="51">
        <f>IF(ISNUMBER(Inputs!G168),C90-Inputs!G168,"n.a.")</f>
        <v>-611</v>
      </c>
      <c r="D92" s="47">
        <f t="shared" si="0"/>
        <v>2568</v>
      </c>
      <c r="E92" s="47" t="s">
        <v>38</v>
      </c>
      <c r="F92" s="47">
        <f t="shared" si="3"/>
        <v>-2972</v>
      </c>
      <c r="G92" s="47">
        <f t="shared" si="0"/>
        <v>1007</v>
      </c>
      <c r="H92" s="52">
        <f t="shared" si="0"/>
        <v>-295.99984369054437</v>
      </c>
      <c r="I92" s="17"/>
    </row>
    <row r="93" ht="13.5" customHeight="1">
      <c r="A93" s="1"/>
      <c r="B93" s="43" t="s">
        <v>281</v>
      </c>
      <c r="C93" s="39">
        <f t="shared" si="25" ref="C93:H93">C90/C10</f>
        <v>0.5872879799154981</v>
      </c>
      <c r="D93" s="39">
        <f t="shared" si="25"/>
        <v>0.6176470588235294</v>
      </c>
      <c r="E93" s="39">
        <f t="shared" si="25"/>
        <v>0.5950248019545421</v>
      </c>
      <c r="F93" s="39">
        <f t="shared" si="25"/>
        <v>0.5771816297040899</v>
      </c>
      <c r="G93" s="39">
        <f t="shared" si="25"/>
        <v>0.5939867148351008</v>
      </c>
      <c r="H93" s="44">
        <f t="shared" si="25"/>
        <v>0.5873970474892866</v>
      </c>
      <c r="I93" s="17"/>
    </row>
    <row r="94" ht="13.5" customHeight="1">
      <c r="A94" s="1"/>
      <c r="B94" s="60" t="s">
        <v>111</v>
      </c>
      <c r="C94" s="61">
        <f>_xlfn.IFERROR((C93-Inputs!C168/Inputs!C104)*10000,"n.a.")</f>
        <v>119.27210273595334</v>
      </c>
      <c r="D94" s="61">
        <f>_xlfn.IFERROR((D93-Inputs!D168/Inputs!D104)*10000,"n.a.")</f>
        <v>120.52573550356715</v>
      </c>
      <c r="E94" s="61">
        <f>_xlfn.IFERROR((E93-Inputs!E168/Inputs!E104)*10000,"n.a.")</f>
        <v>169.64788887437686</v>
      </c>
      <c r="F94" s="61">
        <f>_xlfn.IFERROR((F93-Inputs!F168/Inputs!F104)*10000,"n.a.")</f>
        <v>110.58254420409308</v>
      </c>
      <c r="G94" s="61">
        <f>_xlfn.IFERROR((G93-Inputs!G168/Inputs!G104)*10000,"n.a.")</f>
        <v>-69.439560725979</v>
      </c>
      <c r="H94" s="63">
        <f t="shared" si="7"/>
        <v>1.0906757378847942</v>
      </c>
      <c r="I94" s="17"/>
    </row>
    <row r="95" ht="24.75" customHeight="1">
      <c r="A95" s="1"/>
      <c r="B95" s="58" t="s">
        <v>282</v>
      </c>
      <c r="C95" s="25">
        <f t="shared" si="26" ref="C95:G95">C23-C77</f>
        <v>4394</v>
      </c>
      <c r="D95" s="25">
        <f t="shared" si="26"/>
        <v>5100</v>
      </c>
      <c r="E95" s="25">
        <f t="shared" si="26"/>
        <v>18706</v>
      </c>
      <c r="F95" s="25">
        <f t="shared" si="26"/>
        <v>4681</v>
      </c>
      <c r="G95" s="25">
        <f t="shared" si="26"/>
        <v>4560</v>
      </c>
      <c r="H95" s="46">
        <v>4320</v>
      </c>
      <c r="I95" s="32" t="s">
        <v>283</v>
      </c>
    </row>
    <row r="96" ht="13.5" customHeight="1">
      <c r="A96" s="1"/>
      <c r="B96" s="60" t="s">
        <v>74</v>
      </c>
      <c r="C96" s="38">
        <f>_xlfn.IFERROR(C95/Inputs!C132-1,"n.a.")</f>
        <v>-0.04706137497289087</v>
      </c>
      <c r="D96" s="38">
        <f>_xlfn.IFERROR(D95/Inputs!D132-1,"n.a.")</f>
        <v>0.11817583863187897</v>
      </c>
      <c r="E96" s="38">
        <f>_xlfn.IFERROR(E95/Inputs!E132-1,"n.a.")</f>
        <v>0.009552593232230455</v>
      </c>
      <c r="F96" s="38">
        <f>_xlfn.IFERROR(F95/Inputs!F132-1,"n.a.")</f>
        <v>0.03264945951908227</v>
      </c>
      <c r="G96" s="38">
        <f>_xlfn.IFERROR(G95/Inputs!G132-1,"n.a.")</f>
        <v>-0.025432784783073314</v>
      </c>
      <c r="H96" s="44">
        <f t="shared" si="2"/>
        <v>-0.016841147018661795</v>
      </c>
      <c r="I96" s="17"/>
    </row>
    <row r="97" ht="13.5" customHeight="1">
      <c r="A97" s="1"/>
      <c r="B97" s="60" t="s">
        <v>85</v>
      </c>
      <c r="C97" s="51">
        <f>IF(ISNUMBER(Inputs!G132),C95-Inputs!G132,"n.a.")</f>
        <v>-285</v>
      </c>
      <c r="D97" s="47">
        <f t="shared" si="0"/>
        <v>706</v>
      </c>
      <c r="E97" s="47" t="s">
        <v>38</v>
      </c>
      <c r="F97" s="47">
        <f t="shared" si="3"/>
        <v>-419</v>
      </c>
      <c r="G97" s="47">
        <f t="shared" si="0"/>
        <v>-121</v>
      </c>
      <c r="H97" s="52">
        <f t="shared" si="0"/>
        <v>-240</v>
      </c>
      <c r="I97" s="17"/>
    </row>
    <row r="98" ht="36" customHeight="1">
      <c r="A98" s="1"/>
      <c r="B98" s="58" t="s">
        <v>284</v>
      </c>
      <c r="C98" s="25">
        <f t="shared" si="27" ref="C98:G98">C32-C81-C78</f>
        <v>-191</v>
      </c>
      <c r="D98" s="25">
        <f t="shared" si="27"/>
        <v>-74</v>
      </c>
      <c r="E98" s="25">
        <f t="shared" si="27"/>
        <v>-522</v>
      </c>
      <c r="F98" s="25">
        <f t="shared" si="27"/>
        <v>-98</v>
      </c>
      <c r="G98" s="25">
        <f t="shared" si="27"/>
        <v>-289</v>
      </c>
      <c r="H98" s="46">
        <v>-205</v>
      </c>
      <c r="I98" s="32" t="s">
        <v>285</v>
      </c>
    </row>
    <row r="99" ht="13.5" customHeight="1">
      <c r="A99" s="1"/>
      <c r="B99" s="60" t="s">
        <v>238</v>
      </c>
      <c r="C99" s="51">
        <f>C98-Inputs!C154</f>
        <v>362</v>
      </c>
      <c r="D99" s="51">
        <f>D98-Inputs!D154</f>
        <v>217</v>
      </c>
      <c r="E99" s="51">
        <f>E98-Inputs!E154</f>
        <v>1134</v>
      </c>
      <c r="F99" s="51">
        <f>F98-Inputs!F154</f>
        <v>89</v>
      </c>
      <c r="G99" s="51">
        <f>G98-Inputs!G154</f>
        <v>-224</v>
      </c>
      <c r="H99" s="52">
        <f t="shared" si="10"/>
        <v>-14</v>
      </c>
      <c r="I99" s="17"/>
    </row>
    <row r="100" ht="13.5" customHeight="1">
      <c r="A100" s="1"/>
      <c r="B100" s="60" t="s">
        <v>85</v>
      </c>
      <c r="C100" s="51">
        <f>IF(ISNUMBER(Inputs!G154),C98-Inputs!G154,"n.a.")</f>
        <v>-126</v>
      </c>
      <c r="D100" s="47">
        <f t="shared" si="0"/>
        <v>117</v>
      </c>
      <c r="E100" s="47" t="s">
        <v>38</v>
      </c>
      <c r="F100" s="47">
        <f t="shared" si="3"/>
        <v>-24</v>
      </c>
      <c r="G100" s="47">
        <f t="shared" si="0"/>
        <v>-191</v>
      </c>
      <c r="H100" s="52">
        <f t="shared" si="0"/>
        <v>84</v>
      </c>
      <c r="I100" s="17"/>
    </row>
    <row r="101" ht="13.5" customHeight="1">
      <c r="A101" s="1"/>
      <c r="B101" s="58" t="s">
        <v>286</v>
      </c>
      <c r="C101" s="25">
        <f t="shared" si="28" ref="C101:H101">C38-C79-C81</f>
        <v>6558</v>
      </c>
      <c r="D101" s="25">
        <f t="shared" si="28"/>
        <v>7414</v>
      </c>
      <c r="E101" s="25">
        <f t="shared" si="28"/>
        <v>27471</v>
      </c>
      <c r="F101" s="25">
        <f t="shared" si="28"/>
        <v>7057</v>
      </c>
      <c r="G101" s="25">
        <f t="shared" si="28"/>
        <v>6902</v>
      </c>
      <c r="H101" s="56">
        <f t="shared" si="28"/>
        <v>6695</v>
      </c>
      <c r="I101" s="17"/>
    </row>
    <row r="102" ht="13.5" customHeight="1">
      <c r="A102" s="1"/>
      <c r="B102" s="60" t="s">
        <v>74</v>
      </c>
      <c r="C102" s="38">
        <f>_xlfn.IFERROR(C101/Inputs!C153-1,"n.a.")</f>
        <v>0.07069387755102041</v>
      </c>
      <c r="D102" s="38">
        <f>_xlfn.IFERROR(D101/Inputs!D153-1,"n.a.")</f>
        <v>0.16590658908633427</v>
      </c>
      <c r="E102" s="38">
        <f>_xlfn.IFERROR(E101/Inputs!E153-1,"n.a.")</f>
        <v>0.09585926280516999</v>
      </c>
      <c r="F102" s="38">
        <f>_xlfn.IFERROR(F101/Inputs!F153-1,"n.a.")</f>
        <v>0.08669541114875279</v>
      </c>
      <c r="G102" s="38">
        <f>_xlfn.IFERROR(G101/Inputs!G153-1,"n.a.")</f>
        <v>-0.014703783012134153</v>
      </c>
      <c r="H102" s="44">
        <f t="shared" si="2"/>
        <v>0.020890515401036813</v>
      </c>
      <c r="I102" s="17"/>
    </row>
    <row r="103" ht="13.5" customHeight="1">
      <c r="A103" s="1"/>
      <c r="B103" s="60" t="s">
        <v>85</v>
      </c>
      <c r="C103" s="51">
        <f>IF(ISNUMBER(Inputs!G153),C101-Inputs!G153,"n.a.")</f>
        <v>-447</v>
      </c>
      <c r="D103" s="47">
        <f t="shared" si="0"/>
        <v>856</v>
      </c>
      <c r="E103" s="47" t="s">
        <v>38</v>
      </c>
      <c r="F103" s="47">
        <f t="shared" si="3"/>
        <v>-357</v>
      </c>
      <c r="G103" s="47">
        <f t="shared" si="0"/>
        <v>-155</v>
      </c>
      <c r="H103" s="52">
        <f t="shared" si="0"/>
        <v>-207</v>
      </c>
      <c r="I103" s="17"/>
    </row>
    <row r="104" ht="13.5" customHeight="1">
      <c r="A104" s="1"/>
      <c r="B104" s="60" t="s">
        <v>287</v>
      </c>
      <c r="C104" s="39">
        <f t="shared" si="29" ref="C104:H104">C101/C10</f>
        <v>0.4015675708774723</v>
      </c>
      <c r="D104" s="39">
        <f t="shared" si="29"/>
        <v>0.37661282129432083</v>
      </c>
      <c r="E104" s="39">
        <f t="shared" si="29"/>
        <v>0.40676686162730435</v>
      </c>
      <c r="F104" s="39">
        <f t="shared" si="29"/>
        <v>0.44336244267135766</v>
      </c>
      <c r="G104" s="39">
        <f t="shared" si="29"/>
        <v>0.4021675795361846</v>
      </c>
      <c r="H104" s="44">
        <f t="shared" si="29"/>
        <v>0.3973149293631737</v>
      </c>
      <c r="I104" s="17"/>
    </row>
    <row r="105" ht="13.5" customHeight="1">
      <c r="A105" s="1"/>
      <c r="B105" s="60" t="s">
        <v>111</v>
      </c>
      <c r="C105" s="61">
        <f>_xlfn.IFERROR((C104-Inputs!C153/Inputs!C104)*10000,"n.a.")</f>
        <v>-76.38735910341698</v>
      </c>
      <c r="D105" s="61">
        <f>_xlfn.IFERROR((D104-Inputs!D153/Inputs!D104)*10000,"n.a.")</f>
        <v>143.38566181234745</v>
      </c>
      <c r="E105" s="61">
        <f>_xlfn.IFERROR((E104-Inputs!E153/Inputs!E104)*10000,"n.a.")</f>
        <v>72.95919999015688</v>
      </c>
      <c r="F105" s="61">
        <f>_xlfn.IFERROR((F104-Inputs!F153/Inputs!F104)*10000,"n.a.")</f>
        <v>-32.368283553942945</v>
      </c>
      <c r="G105" s="61">
        <f>_xlfn.IFERROR((G104-Inputs!G153/Inputs!G104)*10000,"n.a.")</f>
        <v>-104.49490617552793</v>
      </c>
      <c r="H105" s="63">
        <f t="shared" si="7"/>
        <v>-42.52641514298605</v>
      </c>
      <c r="I105" s="17"/>
    </row>
    <row r="106" ht="13.5" customHeight="1">
      <c r="A106" s="1"/>
      <c r="B106" s="32" t="s">
        <v>288</v>
      </c>
      <c r="C106" s="69"/>
      <c r="D106" s="69"/>
      <c r="E106" s="69"/>
      <c r="F106" s="69"/>
      <c r="G106" s="69"/>
      <c r="H106" s="70"/>
      <c r="I106" s="17"/>
    </row>
    <row r="107" ht="13.5" customHeight="1">
      <c r="A107" s="1"/>
      <c r="B107" s="58" t="s">
        <v>289</v>
      </c>
      <c r="C107" s="25">
        <f t="shared" si="30" ref="C107:H107">C48</f>
        <v>686</v>
      </c>
      <c r="D107" s="25">
        <f t="shared" si="30"/>
        <v>-1435</v>
      </c>
      <c r="E107" s="25">
        <f t="shared" si="30"/>
        <v>-242</v>
      </c>
      <c r="F107" s="25">
        <f t="shared" si="30"/>
        <v>172</v>
      </c>
      <c r="G107" s="25">
        <f t="shared" si="30"/>
        <v>313</v>
      </c>
      <c r="H107" s="56">
        <f t="shared" si="30"/>
        <v>302.8500234464183</v>
      </c>
      <c r="I107" s="17"/>
    </row>
    <row r="108" ht="13.5" customHeight="1">
      <c r="A108" s="1"/>
      <c r="B108" s="58" t="s">
        <v>290</v>
      </c>
      <c r="C108" s="45">
        <v>136</v>
      </c>
      <c r="D108" s="45">
        <v>390</v>
      </c>
      <c r="E108" s="45">
        <v>786</v>
      </c>
      <c r="F108" s="45">
        <v>137</v>
      </c>
      <c r="G108" s="45">
        <v>167</v>
      </c>
      <c r="H108" s="56">
        <f>H80*H109</f>
        <v>165.6</v>
      </c>
      <c r="I108" s="17"/>
    </row>
    <row r="109" ht="24.75" customHeight="1">
      <c r="A109" s="1"/>
      <c r="B109" s="60" t="s">
        <v>291</v>
      </c>
      <c r="C109" s="39">
        <f t="shared" si="31" ref="C109:G109">C108/C80</f>
        <v>0.2305084745762712</v>
      </c>
      <c r="D109" s="39">
        <f t="shared" si="31"/>
        <v>0.6532663316582915</v>
      </c>
      <c r="E109" s="39">
        <f t="shared" si="31"/>
        <v>0.33879310344827585</v>
      </c>
      <c r="F109" s="39">
        <f t="shared" si="31"/>
        <v>0.21207430340557276</v>
      </c>
      <c r="G109" s="39">
        <f t="shared" si="31"/>
        <v>0.23324022346368714</v>
      </c>
      <c r="H109" s="54">
        <v>0.23</v>
      </c>
      <c r="I109" s="32" t="s">
        <v>292</v>
      </c>
    </row>
    <row r="110" ht="13.5" customHeight="1">
      <c r="A110" s="1"/>
      <c r="B110" s="72" t="s">
        <v>111</v>
      </c>
      <c r="C110" s="61">
        <f>_xlfn.IFERROR((C109-Inputs!C156/Inputs!C155)*10000,"n.a.")</f>
        <v>-113.61444122915815</v>
      </c>
      <c r="D110" s="61">
        <f>_xlfn.IFERROR((D109-Inputs!D156/Inputs!D155)*10000,"n.a.")</f>
        <v>4062.783798510626</v>
      </c>
      <c r="E110" s="61">
        <f>_xlfn.IFERROR((E109-Inputs!E156/Inputs!E155)*10000,"n.a.")</f>
        <v>843.1281670992457</v>
      </c>
      <c r="F110" s="61">
        <f>_xlfn.IFERROR((F109-Inputs!F156/Inputs!F155)*10000,"n.a.")</f>
        <v>-177.2821005941827</v>
      </c>
      <c r="G110" s="61">
        <f>_xlfn.IFERROR((G109-Inputs!G156/Inputs!G155)*10000,"n.a.")</f>
        <v>36.75006072382803</v>
      </c>
      <c r="H110" s="63">
        <f t="shared" si="7"/>
        <v>-5.084745762711784</v>
      </c>
      <c r="I110" s="17"/>
    </row>
    <row r="111" ht="13.5" customHeight="1">
      <c r="A111" s="1"/>
      <c r="B111" s="58" t="s">
        <v>293</v>
      </c>
      <c r="C111" s="45">
        <v>3</v>
      </c>
      <c r="D111" s="45">
        <v>15</v>
      </c>
      <c r="E111" s="45">
        <v>15</v>
      </c>
      <c r="F111" s="45">
        <v>3</v>
      </c>
      <c r="G111" s="45">
        <v>20</v>
      </c>
      <c r="H111" s="46">
        <v>15</v>
      </c>
      <c r="I111" s="17"/>
    </row>
    <row r="112" ht="13.5" customHeight="1">
      <c r="A112" s="1"/>
      <c r="B112" s="58" t="s">
        <v>294</v>
      </c>
      <c r="C112" s="45">
        <v>-309</v>
      </c>
      <c r="D112" s="45">
        <v>1468</v>
      </c>
      <c r="E112" s="45">
        <v>1161</v>
      </c>
      <c r="F112" s="45">
        <v>-4</v>
      </c>
      <c r="G112" s="45">
        <v>-2</v>
      </c>
      <c r="H112" s="46">
        <v>-3</v>
      </c>
      <c r="I112" s="32" t="s">
        <v>295</v>
      </c>
    </row>
    <row r="113" ht="24.75" customHeight="1">
      <c r="A113" s="1"/>
      <c r="B113" s="14" t="s">
        <v>296</v>
      </c>
      <c r="C113" s="49">
        <f t="shared" si="32" ref="C113:G113">C107+C108+C111+C112</f>
        <v>516</v>
      </c>
      <c r="D113" s="49">
        <f t="shared" si="32"/>
        <v>438</v>
      </c>
      <c r="E113" s="49">
        <f t="shared" si="32"/>
        <v>1720</v>
      </c>
      <c r="F113" s="49">
        <f t="shared" si="32"/>
        <v>308</v>
      </c>
      <c r="G113" s="49">
        <f t="shared" si="32"/>
        <v>498</v>
      </c>
      <c r="H113" s="50">
        <f>H82*H114</f>
        <v>480.4500234464183</v>
      </c>
      <c r="I113" s="17"/>
    </row>
    <row r="114" ht="13.5" customHeight="1">
      <c r="A114" s="1"/>
      <c r="B114" s="32" t="s">
        <v>58</v>
      </c>
      <c r="C114" s="39">
        <f t="shared" si="33" ref="C114:G114">C113/C82</f>
        <v>0.17012858555885263</v>
      </c>
      <c r="D114" s="39">
        <f t="shared" si="33"/>
        <v>0.09230769230769231</v>
      </c>
      <c r="E114" s="39">
        <f t="shared" si="33"/>
        <v>0.13528393896492055</v>
      </c>
      <c r="F114" s="39">
        <f t="shared" si="33"/>
        <v>0.14460093896713616</v>
      </c>
      <c r="G114" s="39">
        <f t="shared" si="33"/>
        <v>0.15127582017010935</v>
      </c>
      <c r="H114" s="54">
        <v>0.15</v>
      </c>
      <c r="I114" s="32" t="s">
        <v>297</v>
      </c>
    </row>
    <row r="115" ht="13.5" customHeight="1">
      <c r="A115" s="1"/>
      <c r="B115" s="43" t="s">
        <v>111</v>
      </c>
      <c r="C115" s="61">
        <f>_xlfn.IFERROR((C114-Inputs!C165/Inputs!C169)*10000,"n.a.")</f>
        <v>366.34415876504426</v>
      </c>
      <c r="D115" s="61">
        <f>_xlfn.IFERROR((D114-Inputs!D165/Inputs!D169)*10000,"n.a.")</f>
        <v>-437.2602344974155</v>
      </c>
      <c r="E115" s="61">
        <f>_xlfn.IFERROR((E114-Inputs!E165/Inputs!E169)*10000,"n.a.")</f>
        <v>-6.132681377831184</v>
      </c>
      <c r="F115" s="61">
        <f>_xlfn.IFERROR((F114-Inputs!F165/Inputs!F169)*10000,"n.a.")</f>
        <v>174.4328649302798</v>
      </c>
      <c r="G115" s="61">
        <f>_xlfn.IFERROR((G114-Inputs!G165/Inputs!G169)*10000,"n.a.")</f>
        <v>-191.96497627826216</v>
      </c>
      <c r="H115" s="63">
        <f t="shared" si="7"/>
        <v>-201.28585558852635</v>
      </c>
      <c r="I115" s="17"/>
    </row>
    <row r="116" ht="24.75" customHeight="1">
      <c r="A116" s="1"/>
      <c r="B116" s="14" t="s">
        <v>298</v>
      </c>
      <c r="C116" s="49">
        <f t="shared" si="34" ref="C116:H116">C82-C113</f>
        <v>2517</v>
      </c>
      <c r="D116" s="49">
        <f t="shared" si="34"/>
        <v>4307</v>
      </c>
      <c r="E116" s="49">
        <f t="shared" si="34"/>
        <v>10994</v>
      </c>
      <c r="F116" s="49">
        <f t="shared" si="34"/>
        <v>1822</v>
      </c>
      <c r="G116" s="49">
        <f t="shared" si="34"/>
        <v>2794</v>
      </c>
      <c r="H116" s="50">
        <f t="shared" si="34"/>
        <v>2722.550132863037</v>
      </c>
      <c r="I116" s="17"/>
    </row>
    <row r="117" ht="13.5" customHeight="1">
      <c r="A117" s="1"/>
      <c r="B117" s="43" t="s">
        <v>74</v>
      </c>
      <c r="C117" s="38">
        <f>_xlfn.IFERROR(C116/Inputs!C170-1,"n.a.")</f>
        <v>0.1679814385150813</v>
      </c>
      <c r="D117" s="38">
        <f>_xlfn.IFERROR(D116/Inputs!D170-1,"n.a.")</f>
        <v>0.16720867208672097</v>
      </c>
      <c r="E117" s="38">
        <f>_xlfn.IFERROR(E116/Inputs!E170-1,"n.a.")</f>
        <v>0.13527467988434538</v>
      </c>
      <c r="F117" s="38">
        <f>_xlfn.IFERROR(F116/Inputs!F170-1,"n.a.")</f>
        <v>0.20105471324983526</v>
      </c>
      <c r="G117" s="38">
        <f>_xlfn.IFERROR(G116/Inputs!G170-1,"n.a.")</f>
        <v>0.05354449472096534</v>
      </c>
      <c r="H117" s="44">
        <f t="shared" si="2"/>
        <v>0.08166473296107957</v>
      </c>
      <c r="I117" s="17"/>
    </row>
    <row r="118" ht="13.5" customHeight="1">
      <c r="A118" s="1"/>
      <c r="B118" s="43" t="s">
        <v>85</v>
      </c>
      <c r="C118" s="51">
        <f>IF(ISNUMBER(Inputs!G170),C116-Inputs!G170,"n.a.")</f>
        <v>-135</v>
      </c>
      <c r="D118" s="47">
        <f t="shared" si="0"/>
        <v>1790</v>
      </c>
      <c r="E118" s="47" t="s">
        <v>38</v>
      </c>
      <c r="F118" s="47">
        <f t="shared" si="3"/>
        <v>-2485</v>
      </c>
      <c r="G118" s="47">
        <f t="shared" si="0"/>
        <v>972</v>
      </c>
      <c r="H118" s="52">
        <f t="shared" si="0"/>
        <v>-71.4498671369629</v>
      </c>
      <c r="I118" s="17"/>
    </row>
    <row r="119" ht="13.5" customHeight="1">
      <c r="A119" s="1"/>
      <c r="B119" s="32" t="s">
        <v>299</v>
      </c>
      <c r="C119" s="39">
        <f t="shared" si="35" ref="C119:H119">C116/C10</f>
        <v>0.15412405853897496</v>
      </c>
      <c r="D119" s="39">
        <f t="shared" si="35"/>
        <v>0.21878492329574317</v>
      </c>
      <c r="E119" s="39">
        <f t="shared" si="35"/>
        <v>0.16278966461834604</v>
      </c>
      <c r="F119" s="39">
        <f t="shared" si="35"/>
        <v>0.1144688069359804</v>
      </c>
      <c r="G119" s="39">
        <f t="shared" si="35"/>
        <v>0.1628015382822515</v>
      </c>
      <c r="H119" s="44">
        <f t="shared" si="35"/>
        <v>0.16156980040719593</v>
      </c>
      <c r="I119" s="17"/>
    </row>
    <row r="120" ht="13.5" customHeight="1">
      <c r="A120" s="1"/>
      <c r="B120" s="43" t="s">
        <v>111</v>
      </c>
      <c r="C120" s="61">
        <f>_xlfn.IFERROR((C119-Inputs!C170/Inputs!C104)*10000,"n.a.")</f>
        <v>101.50247742609363</v>
      </c>
      <c r="D120" s="61">
        <f>_xlfn.IFERROR((D119-Inputs!D170/Inputs!D104)*10000,"n.a.")</f>
        <v>85.64448163287192</v>
      </c>
      <c r="E120" s="61">
        <f>_xlfn.IFERROR((E119-Inputs!E170/Inputs!E104)*10000,"n.a.")</f>
        <v>84.70349207130634</v>
      </c>
      <c r="F120" s="61">
        <f>_xlfn.IFERROR((F119-Inputs!F170/Inputs!F104)*10000,"n.a.")</f>
        <v>101.43107190433321</v>
      </c>
      <c r="G120" s="61">
        <f>_xlfn.IFERROR((G119-Inputs!G170/Inputs!G104)*10000,"n.a.")</f>
        <v>65.901935216931</v>
      </c>
      <c r="H120" s="63">
        <f t="shared" si="7"/>
        <v>74.45741868220973</v>
      </c>
      <c r="I120" s="17"/>
    </row>
    <row r="121" ht="13.5" customHeight="1">
      <c r="A121" s="1"/>
      <c r="B121" s="17"/>
      <c r="C121" s="20"/>
      <c r="D121" s="20"/>
      <c r="E121" s="20"/>
      <c r="F121" s="20"/>
      <c r="G121" s="20"/>
      <c r="H121" s="55"/>
      <c r="I121" s="17"/>
    </row>
    <row r="122" ht="24.75" customHeight="1">
      <c r="A122" s="1"/>
      <c r="B122" s="14" t="s">
        <v>300</v>
      </c>
      <c r="C122" s="22"/>
      <c r="D122" s="22"/>
      <c r="E122" s="22"/>
      <c r="F122" s="22"/>
      <c r="G122" s="22"/>
      <c r="H122" s="42"/>
      <c r="I122" s="17"/>
    </row>
    <row r="123" ht="13.5" customHeight="1">
      <c r="A123" s="1"/>
      <c r="B123" s="17" t="s">
        <v>301</v>
      </c>
      <c r="C123" s="29">
        <f t="shared" si="36" ref="C123:H123">C66</f>
        <v>1.8379175887870165</v>
      </c>
      <c r="D123" s="29">
        <f t="shared" si="36"/>
        <v>5.857832843343133</v>
      </c>
      <c r="E123" s="29">
        <f t="shared" si="36"/>
        <v>11.142616211658058</v>
      </c>
      <c r="F123" s="29">
        <f t="shared" si="36"/>
        <v>1.2771767671463081</v>
      </c>
      <c r="G123" s="29">
        <f t="shared" si="36"/>
        <v>2.2731564040700727</v>
      </c>
      <c r="H123" s="76">
        <f t="shared" si="36"/>
        <v>2.1846437451394523</v>
      </c>
      <c r="I123" s="17"/>
    </row>
    <row r="124" ht="24.75" customHeight="1">
      <c r="A124" s="1"/>
      <c r="B124" s="58" t="s">
        <v>302</v>
      </c>
      <c r="C124" s="29">
        <f t="shared" si="37" ref="C124:H124">(C80-C108)/C64</f>
        <v>0.47844873010854677</v>
      </c>
      <c r="D124" s="29">
        <f t="shared" si="37"/>
        <v>0.21734565308693826</v>
      </c>
      <c r="E124" s="29">
        <f t="shared" si="37"/>
        <v>1.6169495098555917</v>
      </c>
      <c r="F124" s="29">
        <f t="shared" si="37"/>
        <v>0.5346077092742358</v>
      </c>
      <c r="G124" s="29">
        <f t="shared" si="37"/>
        <v>0.5758942620371342</v>
      </c>
      <c r="H124" s="76">
        <f t="shared" si="37"/>
        <v>0.5811320754716981</v>
      </c>
      <c r="I124" s="17"/>
    </row>
    <row r="125" ht="24.75" customHeight="1">
      <c r="A125" s="1"/>
      <c r="B125" s="58" t="s">
        <v>303</v>
      </c>
      <c r="C125" s="29">
        <f t="shared" si="38" ref="C125:H125">(C81-C111)/C64</f>
        <v>0.010538518284329224</v>
      </c>
      <c r="D125" s="29">
        <f t="shared" si="38"/>
        <v>-0.011549769004619908</v>
      </c>
      <c r="E125" s="29">
        <f t="shared" si="38"/>
        <v>0.05270369979972594</v>
      </c>
      <c r="F125" s="29">
        <f t="shared" si="38"/>
        <v>0.0976788152504989</v>
      </c>
      <c r="G125" s="29">
        <f t="shared" si="38"/>
        <v>0.0797230672401133</v>
      </c>
      <c r="H125" s="76">
        <f t="shared" si="38"/>
        <v>0.08490566037735849</v>
      </c>
      <c r="I125" s="17"/>
    </row>
    <row r="126" ht="13.5" customHeight="1">
      <c r="A126" s="1"/>
      <c r="B126" s="58" t="s">
        <v>304</v>
      </c>
      <c r="C126" s="29">
        <f t="shared" si="39" ref="C126:H126">-C112/C64</f>
        <v>0.325640214985773</v>
      </c>
      <c r="D126" s="29">
        <f t="shared" si="39"/>
        <v>-1.5413691726165477</v>
      </c>
      <c r="E126" s="29">
        <f t="shared" si="39"/>
        <v>-1.2237799093496362</v>
      </c>
      <c r="F126" s="29">
        <f t="shared" si="39"/>
        <v>0.004201239365612856</v>
      </c>
      <c r="G126" s="29">
        <f t="shared" si="39"/>
        <v>0.002097975453687192</v>
      </c>
      <c r="H126" s="76">
        <f t="shared" si="39"/>
        <v>0.0031446540880503146</v>
      </c>
      <c r="I126" s="17"/>
    </row>
    <row r="127" ht="24.75" customHeight="1">
      <c r="A127" s="1"/>
      <c r="B127" s="14" t="s">
        <v>305</v>
      </c>
      <c r="C127" s="77">
        <f t="shared" si="40" ref="C127:H127">C116/C64</f>
        <v>2.6525450521656655</v>
      </c>
      <c r="D127" s="77">
        <f t="shared" si="40"/>
        <v>4.522259554808904</v>
      </c>
      <c r="E127" s="77">
        <f t="shared" si="40"/>
        <v>11.58848951196374</v>
      </c>
      <c r="F127" s="77">
        <f t="shared" si="40"/>
        <v>1.9136645310366558</v>
      </c>
      <c r="G127" s="77">
        <f t="shared" si="40"/>
        <v>2.930871708801007</v>
      </c>
      <c r="H127" s="78">
        <f t="shared" si="40"/>
        <v>2.853826135076559</v>
      </c>
      <c r="I127" s="17"/>
    </row>
    <row r="128" ht="13.5" customHeight="1">
      <c r="A128" s="1"/>
      <c r="B128" s="43" t="s">
        <v>74</v>
      </c>
      <c r="C128" s="38">
        <f>_xlfn.IFERROR(C127/Inputs!C171-1,"n.a.")</f>
        <v>0.15328045746333285</v>
      </c>
      <c r="D128" s="38">
        <f>_xlfn.IFERROR(D127/Inputs!D171-1,"n.a.")</f>
        <v>0.15363764153288373</v>
      </c>
      <c r="E128" s="38">
        <f>_xlfn.IFERROR(E127/Inputs!E171-1,"n.a.")</f>
        <v>0.12182860716009092</v>
      </c>
      <c r="F128" s="38">
        <f>_xlfn.IFERROR(F127/Inputs!F171-1,"n.a.")</f>
        <v>0.19604033189790981</v>
      </c>
      <c r="G128" s="38">
        <f>_xlfn.IFERROR(G127/Inputs!G171-1,"n.a.")</f>
        <v>0.04673989600035977</v>
      </c>
      <c r="H128" s="44">
        <f t="shared" si="2"/>
        <v>0.07588224853958958</v>
      </c>
      <c r="I128" s="17"/>
    </row>
    <row r="129" ht="13.5" customHeight="1">
      <c r="A129" s="1"/>
      <c r="B129" s="43" t="s">
        <v>257</v>
      </c>
      <c r="C129" s="79">
        <f>IF(ISNUMBER(Inputs!G171),C127-Inputs!G171,"n.a.")</f>
        <v>-0.14745494783433433</v>
      </c>
      <c r="D129" s="80">
        <f t="shared" si="0"/>
        <v>1.8697145026432382</v>
      </c>
      <c r="E129" s="80" t="s">
        <v>38</v>
      </c>
      <c r="F129" s="80">
        <f t="shared" si="3"/>
        <v>-2.608595023772248</v>
      </c>
      <c r="G129" s="80">
        <f t="shared" si="0"/>
        <v>1.0172071777643512</v>
      </c>
      <c r="H129" s="81">
        <f t="shared" si="0"/>
        <v>-0.07704557372444798</v>
      </c>
      <c r="I129" s="17"/>
    </row>
    <row r="130" ht="24.75" customHeight="1">
      <c r="A130" s="1"/>
      <c r="B130" s="58" t="s">
        <v>306</v>
      </c>
      <c r="C130" s="19" t="b">
        <f t="shared" si="41" ref="C130:H130">ABS(C123+C124+C125+C126-C127)&lt;0.000001</f>
        <v>1</v>
      </c>
      <c r="D130" s="19" t="b">
        <f t="shared" si="41"/>
        <v>1</v>
      </c>
      <c r="E130" s="19" t="b">
        <f t="shared" si="41"/>
        <v>1</v>
      </c>
      <c r="F130" s="19" t="b">
        <f t="shared" si="41"/>
        <v>1</v>
      </c>
      <c r="G130" s="19" t="b">
        <f t="shared" si="41"/>
        <v>1</v>
      </c>
      <c r="H130" s="57" t="b">
        <f t="shared" si="41"/>
        <v>1</v>
      </c>
      <c r="I130" s="32" t="s">
        <v>261</v>
      </c>
    </row>
    <row r="131" ht="24.75" customHeight="1">
      <c r="A131" s="1"/>
      <c r="B131" s="43" t="s">
        <v>307</v>
      </c>
      <c r="C131" s="79">
        <f>Inputs!E87</f>
        <v>2.65</v>
      </c>
      <c r="D131" s="79">
        <f>Inputs!E88</f>
        <v>4.52</v>
      </c>
      <c r="E131" s="82">
        <v>11.59</v>
      </c>
      <c r="F131" s="79">
        <f>Inputs!E89</f>
        <v>1.91</v>
      </c>
      <c r="G131" s="79">
        <f>Inputs!E90</f>
        <v>2.93</v>
      </c>
      <c r="H131" s="81"/>
      <c r="I131" s="17"/>
    </row>
    <row r="132" ht="24.75" customHeight="1">
      <c r="A132" s="1"/>
      <c r="B132" s="58" t="s">
        <v>308</v>
      </c>
      <c r="C132" s="19" t="b">
        <f t="shared" si="42" ref="C132:G132">ABS(C127-C131)&lt;=0.005</f>
        <v>1</v>
      </c>
      <c r="D132" s="19" t="b">
        <f t="shared" si="42"/>
        <v>1</v>
      </c>
      <c r="E132" s="19" t="b">
        <f t="shared" si="42"/>
        <v>1</v>
      </c>
      <c r="F132" s="19" t="b">
        <f t="shared" si="42"/>
        <v>1</v>
      </c>
      <c r="G132" s="19" t="b">
        <f t="shared" si="42"/>
        <v>1</v>
      </c>
      <c r="H132" s="57"/>
      <c r="I132" s="17"/>
    </row>
    <row r="133" ht="24.75" customHeight="1">
      <c r="A133" s="1"/>
      <c r="B133" s="17" t="s">
        <v>309</v>
      </c>
      <c r="C133" s="29"/>
      <c r="D133" s="29"/>
      <c r="E133" s="29"/>
      <c r="F133" s="29"/>
      <c r="G133" s="29"/>
      <c r="H133" s="27">
        <f>Inputs!C24</f>
        <v>2.87</v>
      </c>
      <c r="I133" s="17"/>
    </row>
    <row r="134" ht="13.5" customHeight="1">
      <c r="A134" s="1"/>
      <c r="B134" s="58" t="s">
        <v>310</v>
      </c>
      <c r="C134" s="29"/>
      <c r="D134" s="29"/>
      <c r="E134" s="29"/>
      <c r="F134" s="29"/>
      <c r="G134" s="29"/>
      <c r="H134" s="76">
        <f>H127-H133</f>
        <v>-0.016173864923441084</v>
      </c>
      <c r="I134" s="17"/>
    </row>
    <row r="135" ht="13.5" customHeight="1">
      <c r="A135" s="1"/>
      <c r="B135" s="43" t="s">
        <v>311</v>
      </c>
      <c r="C135" s="39"/>
      <c r="D135" s="39"/>
      <c r="E135" s="39"/>
      <c r="F135" s="39"/>
      <c r="G135" s="39"/>
      <c r="H135" s="44">
        <f>H127/H133-1</f>
        <v>-0.005635493004683356</v>
      </c>
      <c r="I135" s="17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130A182-FEAD-BB48-40FA-4FE0C2D1553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60.00390625" customWidth="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</row>
    <row r="2" ht="13.5" customHeight="1">
      <c r="A2" s="1"/>
      <c r="B2" s="2" t="s">
        <v>0</v>
      </c>
      <c r="C2" s="1"/>
      <c r="D2" s="1"/>
      <c r="E2" s="1"/>
      <c r="F2" s="1"/>
      <c r="G2" s="1"/>
      <c r="H2" s="1"/>
      <c r="I2" s="1"/>
    </row>
    <row r="3" ht="13.5" customHeight="1">
      <c r="A3" s="1"/>
      <c r="B3" s="3" t="s">
        <v>312</v>
      </c>
      <c r="C3" s="1"/>
      <c r="D3" s="1"/>
      <c r="E3" s="1"/>
      <c r="F3" s="1"/>
      <c r="G3" s="1"/>
      <c r="H3" s="1"/>
      <c r="I3" s="1"/>
    </row>
    <row r="4" ht="13.5" customHeight="1">
      <c r="A4" s="1"/>
      <c r="B4" s="4" t="s">
        <v>313</v>
      </c>
      <c r="C4" s="1"/>
      <c r="D4" s="1"/>
      <c r="E4" s="1"/>
      <c r="F4" s="1"/>
      <c r="G4" s="1"/>
      <c r="H4" s="1"/>
      <c r="I4" s="1"/>
    </row>
    <row r="5" ht="13.5" customHeight="1">
      <c r="A5" s="1"/>
      <c r="B5" s="5" t="s">
        <v>62</v>
      </c>
      <c r="C5" s="6" t="s">
        <v>63</v>
      </c>
      <c r="D5" s="6" t="s">
        <v>64</v>
      </c>
      <c r="E5" s="6" t="s">
        <v>65</v>
      </c>
      <c r="F5" s="6" t="s">
        <v>66</v>
      </c>
      <c r="G5" s="6" t="s">
        <v>67</v>
      </c>
      <c r="H5" s="7" t="s">
        <v>68</v>
      </c>
      <c r="I5" s="5" t="s">
        <v>69</v>
      </c>
    </row>
    <row r="6" ht="13.5" customHeight="1">
      <c r="A6" s="1"/>
      <c r="B6" s="8" t="s">
        <v>70</v>
      </c>
      <c r="C6" s="9">
        <v>45930</v>
      </c>
      <c r="D6" s="9">
        <v>46022</v>
      </c>
      <c r="E6" s="9">
        <v>46022</v>
      </c>
      <c r="F6" s="9">
        <v>46112</v>
      </c>
      <c r="G6" s="9">
        <v>46203</v>
      </c>
      <c r="H6" s="10">
        <v>46295</v>
      </c>
      <c r="I6" s="8"/>
    </row>
    <row r="7" ht="13.5" customHeight="1">
      <c r="A7" s="1"/>
      <c r="B7" s="11" t="s">
        <v>71</v>
      </c>
      <c r="C7" s="12">
        <v>92</v>
      </c>
      <c r="D7" s="12">
        <v>92</v>
      </c>
      <c r="E7" s="12">
        <v>365</v>
      </c>
      <c r="F7" s="12">
        <v>90</v>
      </c>
      <c r="G7" s="12">
        <v>91</v>
      </c>
      <c r="H7" s="13">
        <v>92</v>
      </c>
      <c r="I7" s="11"/>
    </row>
    <row r="8" ht="13.5" customHeight="1">
      <c r="A8" s="1"/>
      <c r="B8" s="1"/>
      <c r="C8" s="1"/>
      <c r="D8" s="1"/>
      <c r="E8" s="1"/>
      <c r="F8" s="1"/>
      <c r="G8" s="1"/>
      <c r="H8" s="41"/>
      <c r="I8" s="1"/>
    </row>
    <row r="9" ht="13.5" customHeight="1">
      <c r="A9" s="1"/>
      <c r="B9" s="14" t="s">
        <v>314</v>
      </c>
      <c r="C9" s="22"/>
      <c r="D9" s="22"/>
      <c r="E9" s="22"/>
      <c r="F9" s="22"/>
      <c r="G9" s="22"/>
      <c r="H9" s="42"/>
      <c r="I9" s="17"/>
    </row>
    <row r="10" ht="13.5" customHeight="1">
      <c r="A10" s="1"/>
      <c r="B10" s="58" t="s">
        <v>315</v>
      </c>
      <c r="C10" s="45">
        <v>11569</v>
      </c>
      <c r="D10" s="45">
        <v>13587</v>
      </c>
      <c r="E10" s="25">
        <f t="shared" si="1" ref="E10:H106">D10</f>
        <v>13587</v>
      </c>
      <c r="F10" s="45">
        <v>10819</v>
      </c>
      <c r="G10" s="45">
        <v>7172</v>
      </c>
      <c r="H10" s="23">
        <f>G10+'Cash Flow Statement'!H60</f>
        <v>8453.156132863038</v>
      </c>
      <c r="I10" s="17"/>
    </row>
    <row r="11" ht="13.5" customHeight="1">
      <c r="A11" s="1"/>
      <c r="B11" s="60" t="s">
        <v>316</v>
      </c>
      <c r="C11" s="51">
        <f>C10-Inputs!C192</f>
        <v>-374</v>
      </c>
      <c r="D11" s="47">
        <f t="shared" si="0" ref="D11:H97">D10-C10</f>
        <v>2018</v>
      </c>
      <c r="E11" s="51">
        <f>E10-Inputs!E192</f>
        <v>-360</v>
      </c>
      <c r="F11" s="47">
        <f t="shared" si="2" ref="F11:F97">F10-D10</f>
        <v>-2768</v>
      </c>
      <c r="G11" s="47">
        <f t="shared" si="0"/>
        <v>-3647</v>
      </c>
      <c r="H11" s="52">
        <f t="shared" si="0"/>
        <v>1281.1561328630378</v>
      </c>
      <c r="I11" s="17"/>
    </row>
    <row r="12" ht="13.5" customHeight="1">
      <c r="A12" s="1"/>
      <c r="B12" s="58" t="s">
        <v>317</v>
      </c>
      <c r="C12" s="45">
        <v>30</v>
      </c>
      <c r="D12" s="45">
        <v>54</v>
      </c>
      <c r="E12" s="25">
        <f t="shared" si="1"/>
        <v>54</v>
      </c>
      <c r="F12" s="45">
        <v>45</v>
      </c>
      <c r="G12" s="45">
        <v>45</v>
      </c>
      <c r="H12" s="56">
        <f t="shared" si="1"/>
        <v>45</v>
      </c>
      <c r="I12" s="17"/>
    </row>
    <row r="13" ht="13.5" customHeight="1">
      <c r="A13" s="1"/>
      <c r="B13" s="60" t="s">
        <v>316</v>
      </c>
      <c r="C13" s="51">
        <f>C12-Inputs!C193</f>
        <v>-53</v>
      </c>
      <c r="D13" s="47">
        <f t="shared" si="0"/>
        <v>24</v>
      </c>
      <c r="E13" s="51">
        <f>E12-Inputs!E193</f>
        <v>-160</v>
      </c>
      <c r="F13" s="47">
        <f t="shared" si="2"/>
        <v>-9</v>
      </c>
      <c r="G13" s="47">
        <f t="shared" si="0"/>
        <v>0</v>
      </c>
      <c r="H13" s="52">
        <f t="shared" si="0"/>
        <v>0</v>
      </c>
      <c r="I13" s="17"/>
    </row>
    <row r="14" ht="13.5" customHeight="1">
      <c r="A14" s="1"/>
      <c r="B14" s="58" t="s">
        <v>318</v>
      </c>
      <c r="C14" s="45">
        <v>3286</v>
      </c>
      <c r="D14" s="45">
        <v>830</v>
      </c>
      <c r="E14" s="25">
        <f t="shared" si="1"/>
        <v>830</v>
      </c>
      <c r="F14" s="45">
        <v>964</v>
      </c>
      <c r="G14" s="45">
        <v>960</v>
      </c>
      <c r="H14" s="23">
        <f>G14-'Cash Flow Statement'!H37</f>
        <v>960</v>
      </c>
      <c r="I14" s="17"/>
    </row>
    <row r="15" ht="13.5" customHeight="1">
      <c r="A15" s="1"/>
      <c r="B15" s="60" t="s">
        <v>316</v>
      </c>
      <c r="C15" s="51">
        <f>C14-Inputs!C194</f>
        <v>-218</v>
      </c>
      <c r="D15" s="47">
        <f t="shared" si="0"/>
        <v>-2456</v>
      </c>
      <c r="E15" s="51">
        <f>E14-Inputs!E194</f>
        <v>186</v>
      </c>
      <c r="F15" s="47">
        <f t="shared" si="2"/>
        <v>134</v>
      </c>
      <c r="G15" s="47">
        <f t="shared" si="0"/>
        <v>-4</v>
      </c>
      <c r="H15" s="52">
        <f t="shared" si="0"/>
        <v>0</v>
      </c>
      <c r="I15" s="17"/>
    </row>
    <row r="16" ht="40.5" customHeight="1">
      <c r="A16" s="1"/>
      <c r="B16" s="58" t="s">
        <v>319</v>
      </c>
      <c r="C16" s="45">
        <v>5532</v>
      </c>
      <c r="D16" s="45">
        <v>8112</v>
      </c>
      <c r="E16" s="25">
        <f t="shared" si="1"/>
        <v>8112</v>
      </c>
      <c r="F16" s="45">
        <v>6493</v>
      </c>
      <c r="G16" s="45">
        <v>6044</v>
      </c>
      <c r="H16" s="23">
        <f>G16-'Cash Flow Statement'!H22</f>
        <v>6644</v>
      </c>
      <c r="I16" s="32" t="s">
        <v>320</v>
      </c>
    </row>
    <row r="17" ht="13.5" customHeight="1">
      <c r="A17" s="1"/>
      <c r="B17" s="60" t="s">
        <v>316</v>
      </c>
      <c r="C17" s="51">
        <f>C16-Inputs!C195</f>
        <v>-442</v>
      </c>
      <c r="D17" s="47">
        <f t="shared" si="0"/>
        <v>2580</v>
      </c>
      <c r="E17" s="51">
        <f>E16-Inputs!E195</f>
        <v>1308</v>
      </c>
      <c r="F17" s="47">
        <f t="shared" si="2"/>
        <v>-1619</v>
      </c>
      <c r="G17" s="47">
        <f t="shared" si="0"/>
        <v>-449</v>
      </c>
      <c r="H17" s="52">
        <f t="shared" si="0"/>
        <v>600</v>
      </c>
      <c r="I17" s="17"/>
    </row>
    <row r="18" ht="24.75" customHeight="1">
      <c r="A18" s="1"/>
      <c r="B18" s="58" t="s">
        <v>321</v>
      </c>
      <c r="C18" s="45">
        <v>5156</v>
      </c>
      <c r="D18" s="45">
        <v>7344</v>
      </c>
      <c r="E18" s="25">
        <f t="shared" si="1"/>
        <v>7344</v>
      </c>
      <c r="F18" s="45">
        <v>5767</v>
      </c>
      <c r="G18" s="45">
        <v>5782</v>
      </c>
      <c r="H18" s="23">
        <f>G18-'Cash Flow Statement'!H19</f>
        <v>5482</v>
      </c>
      <c r="I18" s="17"/>
    </row>
    <row r="19" ht="13.5" customHeight="1">
      <c r="A19" s="1"/>
      <c r="B19" s="60" t="s">
        <v>316</v>
      </c>
      <c r="C19" s="51">
        <f>C18-Inputs!C196</f>
        <v>-430</v>
      </c>
      <c r="D19" s="47">
        <f t="shared" si="0"/>
        <v>2188</v>
      </c>
      <c r="E19" s="51">
        <f>E18-Inputs!E196</f>
        <v>1085</v>
      </c>
      <c r="F19" s="47">
        <f t="shared" si="2"/>
        <v>-1577</v>
      </c>
      <c r="G19" s="47">
        <f t="shared" si="0"/>
        <v>15</v>
      </c>
      <c r="H19" s="52">
        <f t="shared" si="0"/>
        <v>-300</v>
      </c>
      <c r="I19" s="17"/>
    </row>
    <row r="20" ht="24.75" customHeight="1">
      <c r="A20" s="1"/>
      <c r="B20" s="58" t="s">
        <v>322</v>
      </c>
      <c r="C20" s="45">
        <v>745</v>
      </c>
      <c r="D20" s="45">
        <v>1131</v>
      </c>
      <c r="E20" s="25">
        <f t="shared" si="1"/>
        <v>1131</v>
      </c>
      <c r="F20" s="45">
        <v>743</v>
      </c>
      <c r="G20" s="45">
        <v>874</v>
      </c>
      <c r="H20" s="56">
        <f t="shared" si="1"/>
        <v>874</v>
      </c>
      <c r="I20" s="17"/>
    </row>
    <row r="21" ht="13.5" customHeight="1">
      <c r="A21" s="1"/>
      <c r="B21" s="60" t="s">
        <v>316</v>
      </c>
      <c r="C21" s="51">
        <f>C20-Inputs!C197</f>
        <v>-1</v>
      </c>
      <c r="D21" s="47">
        <f t="shared" si="0"/>
        <v>386</v>
      </c>
      <c r="E21" s="51">
        <f>E20-Inputs!E197</f>
        <v>231</v>
      </c>
      <c r="F21" s="47">
        <f t="shared" si="2"/>
        <v>-388</v>
      </c>
      <c r="G21" s="47">
        <f t="shared" si="0"/>
        <v>131</v>
      </c>
      <c r="H21" s="52">
        <f t="shared" si="0"/>
        <v>0</v>
      </c>
      <c r="I21" s="17"/>
    </row>
    <row r="22" ht="13.5" customHeight="1">
      <c r="A22" s="1"/>
      <c r="B22" s="58" t="s">
        <v>323</v>
      </c>
      <c r="C22" s="45">
        <v>1174</v>
      </c>
      <c r="D22" s="45">
        <v>1052</v>
      </c>
      <c r="E22" s="25">
        <f t="shared" si="1"/>
        <v>1052</v>
      </c>
      <c r="F22" s="45">
        <v>1242</v>
      </c>
      <c r="G22" s="45">
        <v>1348</v>
      </c>
      <c r="H22" s="56">
        <f t="shared" si="1"/>
        <v>1348</v>
      </c>
      <c r="I22" s="17"/>
    </row>
    <row r="23" ht="13.5" customHeight="1">
      <c r="A23" s="1"/>
      <c r="B23" s="60" t="s">
        <v>316</v>
      </c>
      <c r="C23" s="51">
        <f>C22-Inputs!C198</f>
        <v>-13</v>
      </c>
      <c r="D23" s="47">
        <f t="shared" si="0"/>
        <v>-122</v>
      </c>
      <c r="E23" s="51">
        <f>E22-Inputs!E198</f>
        <v>105</v>
      </c>
      <c r="F23" s="47">
        <f t="shared" si="2"/>
        <v>190</v>
      </c>
      <c r="G23" s="47">
        <f t="shared" si="0"/>
        <v>106</v>
      </c>
      <c r="H23" s="52">
        <f t="shared" si="0"/>
        <v>0</v>
      </c>
      <c r="I23" s="17"/>
    </row>
    <row r="24" ht="13.5" customHeight="1">
      <c r="A24" s="1"/>
      <c r="B24" s="58" t="s">
        <v>324</v>
      </c>
      <c r="C24" s="45">
        <v>1397</v>
      </c>
      <c r="D24" s="45">
        <v>1220</v>
      </c>
      <c r="E24" s="25">
        <f t="shared" si="1"/>
        <v>1220</v>
      </c>
      <c r="F24" s="45">
        <v>1476</v>
      </c>
      <c r="G24" s="45">
        <v>1746</v>
      </c>
      <c r="H24" s="56">
        <f t="shared" si="1"/>
        <v>1746</v>
      </c>
      <c r="I24" s="17"/>
    </row>
    <row r="25" ht="13.5" customHeight="1">
      <c r="A25" s="1"/>
      <c r="B25" s="60" t="s">
        <v>316</v>
      </c>
      <c r="C25" s="51">
        <f>C24-Inputs!C199</f>
        <v>146</v>
      </c>
      <c r="D25" s="47">
        <f t="shared" si="0"/>
        <v>-177</v>
      </c>
      <c r="E25" s="51">
        <f>E24-Inputs!E199</f>
        <v>-69</v>
      </c>
      <c r="F25" s="47">
        <f t="shared" si="2"/>
        <v>256</v>
      </c>
      <c r="G25" s="47">
        <f t="shared" si="0"/>
        <v>270</v>
      </c>
      <c r="H25" s="52">
        <f t="shared" si="0"/>
        <v>0</v>
      </c>
      <c r="I25" s="17"/>
    </row>
    <row r="26" ht="13.5" customHeight="1">
      <c r="A26" s="1"/>
      <c r="B26" s="58" t="s">
        <v>325</v>
      </c>
      <c r="C26" s="45">
        <v>1113</v>
      </c>
      <c r="D26" s="45">
        <v>1084</v>
      </c>
      <c r="E26" s="25">
        <f t="shared" si="1"/>
        <v>1084</v>
      </c>
      <c r="F26" s="45">
        <v>1157</v>
      </c>
      <c r="G26" s="45">
        <v>1238</v>
      </c>
      <c r="H26" s="56">
        <f t="shared" si="1"/>
        <v>1238</v>
      </c>
      <c r="I26" s="17"/>
    </row>
    <row r="27" ht="13.5" customHeight="1">
      <c r="A27" s="1"/>
      <c r="B27" s="60" t="s">
        <v>316</v>
      </c>
      <c r="C27" s="51">
        <f>C26-Inputs!C200</f>
        <v>-69</v>
      </c>
      <c r="D27" s="47">
        <f t="shared" si="0"/>
        <v>-29</v>
      </c>
      <c r="E27" s="51">
        <f>E26-Inputs!E200</f>
        <v>125</v>
      </c>
      <c r="F27" s="47">
        <f t="shared" si="2"/>
        <v>73</v>
      </c>
      <c r="G27" s="47">
        <f t="shared" si="0"/>
        <v>81</v>
      </c>
      <c r="H27" s="52">
        <f t="shared" si="0"/>
        <v>0</v>
      </c>
      <c r="I27" s="17"/>
    </row>
    <row r="28" ht="24.75" customHeight="1">
      <c r="A28" s="1"/>
      <c r="B28" s="58" t="s">
        <v>326</v>
      </c>
      <c r="C28" s="45">
        <v>2739</v>
      </c>
      <c r="D28" s="45">
        <v>2530</v>
      </c>
      <c r="E28" s="25">
        <f t="shared" si="1"/>
        <v>2530</v>
      </c>
      <c r="F28" s="45">
        <v>3209</v>
      </c>
      <c r="G28" s="45">
        <v>3188</v>
      </c>
      <c r="H28" s="56">
        <f t="shared" si="1"/>
        <v>3188</v>
      </c>
      <c r="I28" s="17"/>
    </row>
    <row r="29" ht="13.5" customHeight="1">
      <c r="A29" s="1"/>
      <c r="B29" s="60" t="s">
        <v>316</v>
      </c>
      <c r="C29" s="51">
        <f>C28-Inputs!C201</f>
        <v>-57</v>
      </c>
      <c r="D29" s="47">
        <f t="shared" si="0"/>
        <v>-209</v>
      </c>
      <c r="E29" s="51">
        <f>E28-Inputs!E201</f>
        <v>10</v>
      </c>
      <c r="F29" s="47">
        <f t="shared" si="2"/>
        <v>679</v>
      </c>
      <c r="G29" s="47">
        <f t="shared" si="0"/>
        <v>-21</v>
      </c>
      <c r="H29" s="52">
        <f t="shared" si="0"/>
        <v>0</v>
      </c>
      <c r="I29" s="17"/>
    </row>
    <row r="30" ht="13.5" customHeight="1">
      <c r="A30" s="1"/>
      <c r="B30" s="14" t="s">
        <v>327</v>
      </c>
      <c r="C30" s="49">
        <f t="shared" si="3" ref="C30:H50">C10+C12+C14+C16+C18+C20+C22+C24+C26+C28</f>
        <v>32741</v>
      </c>
      <c r="D30" s="49">
        <f t="shared" si="3"/>
        <v>36944</v>
      </c>
      <c r="E30" s="49">
        <f t="shared" si="3"/>
        <v>36944</v>
      </c>
      <c r="F30" s="49">
        <f t="shared" si="3"/>
        <v>31915</v>
      </c>
      <c r="G30" s="49">
        <f t="shared" si="3"/>
        <v>28397</v>
      </c>
      <c r="H30" s="50">
        <f t="shared" si="3"/>
        <v>29978.156132863038</v>
      </c>
      <c r="I30" s="17"/>
    </row>
    <row r="31" ht="13.5" customHeight="1">
      <c r="A31" s="1"/>
      <c r="B31" s="60" t="s">
        <v>316</v>
      </c>
      <c r="C31" s="51">
        <f>C30-Inputs!C202</f>
        <v>-1512</v>
      </c>
      <c r="D31" s="47">
        <f t="shared" si="0"/>
        <v>4203</v>
      </c>
      <c r="E31" s="51">
        <f>E30-Inputs!E202</f>
        <v>2462</v>
      </c>
      <c r="F31" s="47">
        <f t="shared" si="2"/>
        <v>-5029</v>
      </c>
      <c r="G31" s="47">
        <f t="shared" si="0"/>
        <v>-3518</v>
      </c>
      <c r="H31" s="52">
        <f t="shared" si="0"/>
        <v>1581.1561328630378</v>
      </c>
      <c r="I31" s="17"/>
    </row>
    <row r="32" ht="40.5" customHeight="1">
      <c r="A32" s="1"/>
      <c r="B32" s="58" t="s">
        <v>328</v>
      </c>
      <c r="C32" s="45">
        <v>5851</v>
      </c>
      <c r="D32" s="45">
        <v>5899</v>
      </c>
      <c r="E32" s="25">
        <f t="shared" si="1"/>
        <v>5899</v>
      </c>
      <c r="F32" s="45">
        <v>5781</v>
      </c>
      <c r="G32" s="45">
        <v>5736</v>
      </c>
      <c r="H32" s="23">
        <f>G32-'Cash Flow Statement'!H30-'Cash Flow Statement'!H14</f>
        <v>5626</v>
      </c>
      <c r="I32" s="32" t="s">
        <v>329</v>
      </c>
    </row>
    <row r="33" ht="13.5" customHeight="1">
      <c r="A33" s="1"/>
      <c r="B33" s="60" t="s">
        <v>316</v>
      </c>
      <c r="C33" s="51">
        <f>C32-Inputs!C203</f>
        <v>-92</v>
      </c>
      <c r="D33" s="47">
        <f t="shared" si="0"/>
        <v>48</v>
      </c>
      <c r="E33" s="51">
        <f>E32-Inputs!E203</f>
        <v>168</v>
      </c>
      <c r="F33" s="47">
        <f t="shared" si="2"/>
        <v>-118</v>
      </c>
      <c r="G33" s="47">
        <f t="shared" si="0"/>
        <v>-45</v>
      </c>
      <c r="H33" s="52">
        <f t="shared" si="0"/>
        <v>-110</v>
      </c>
      <c r="I33" s="17"/>
    </row>
    <row r="34" ht="27.75" customHeight="1">
      <c r="A34" s="1"/>
      <c r="B34" s="58" t="s">
        <v>330</v>
      </c>
      <c r="C34" s="45">
        <v>3223</v>
      </c>
      <c r="D34" s="45">
        <v>3129</v>
      </c>
      <c r="E34" s="25">
        <f t="shared" si="1"/>
        <v>3129</v>
      </c>
      <c r="F34" s="45">
        <v>3219</v>
      </c>
      <c r="G34" s="45">
        <v>3068</v>
      </c>
      <c r="H34" s="56">
        <f t="shared" si="1"/>
        <v>3068</v>
      </c>
      <c r="I34" s="32" t="s">
        <v>331</v>
      </c>
    </row>
    <row r="35" ht="13.5" customHeight="1">
      <c r="A35" s="1"/>
      <c r="B35" s="60" t="s">
        <v>316</v>
      </c>
      <c r="C35" s="51">
        <f>C34-Inputs!C204</f>
        <v>-92</v>
      </c>
      <c r="D35" s="47">
        <f t="shared" si="0"/>
        <v>-94</v>
      </c>
      <c r="E35" s="51">
        <f>E34-Inputs!E204</f>
        <v>-68</v>
      </c>
      <c r="F35" s="47">
        <f t="shared" si="2"/>
        <v>90</v>
      </c>
      <c r="G35" s="47">
        <f t="shared" si="0"/>
        <v>-151</v>
      </c>
      <c r="H35" s="52">
        <f t="shared" si="0"/>
        <v>0</v>
      </c>
      <c r="I35" s="17"/>
    </row>
    <row r="36" ht="13.5" customHeight="1">
      <c r="A36" s="1"/>
      <c r="B36" s="58" t="s">
        <v>332</v>
      </c>
      <c r="C36" s="45">
        <v>6258</v>
      </c>
      <c r="D36" s="45">
        <v>7708</v>
      </c>
      <c r="E36" s="25">
        <f t="shared" si="1"/>
        <v>7708</v>
      </c>
      <c r="F36" s="45">
        <v>7014</v>
      </c>
      <c r="G36" s="45">
        <v>7126</v>
      </c>
      <c r="H36" s="56">
        <f t="shared" si="1"/>
        <v>7126</v>
      </c>
      <c r="I36" s="17"/>
    </row>
    <row r="37" ht="13.5" customHeight="1">
      <c r="A37" s="1"/>
      <c r="B37" s="60" t="s">
        <v>316</v>
      </c>
      <c r="C37" s="51">
        <f>C36-Inputs!C205</f>
        <v>87</v>
      </c>
      <c r="D37" s="47">
        <f t="shared" si="0"/>
        <v>1450</v>
      </c>
      <c r="E37" s="51">
        <f>E36-Inputs!E205</f>
        <v>2355</v>
      </c>
      <c r="F37" s="47">
        <f t="shared" si="2"/>
        <v>-694</v>
      </c>
      <c r="G37" s="47">
        <f t="shared" si="0"/>
        <v>112</v>
      </c>
      <c r="H37" s="52">
        <f t="shared" si="0"/>
        <v>0</v>
      </c>
      <c r="I37" s="17"/>
    </row>
    <row r="38" ht="13.5" customHeight="1">
      <c r="A38" s="1"/>
      <c r="B38" s="58" t="s">
        <v>333</v>
      </c>
      <c r="C38" s="45">
        <v>8044</v>
      </c>
      <c r="D38" s="45">
        <v>7544</v>
      </c>
      <c r="E38" s="25">
        <f t="shared" si="1"/>
        <v>7544</v>
      </c>
      <c r="F38" s="45">
        <v>7578</v>
      </c>
      <c r="G38" s="45">
        <v>7645</v>
      </c>
      <c r="H38" s="56">
        <f t="shared" si="1"/>
        <v>7645</v>
      </c>
      <c r="I38" s="17"/>
    </row>
    <row r="39" ht="13.5" customHeight="1">
      <c r="A39" s="1"/>
      <c r="B39" s="60" t="s">
        <v>316</v>
      </c>
      <c r="C39" s="51">
        <f>C38-Inputs!C206</f>
        <v>61</v>
      </c>
      <c r="D39" s="47">
        <f t="shared" si="0"/>
        <v>-500</v>
      </c>
      <c r="E39" s="51">
        <f>E38-Inputs!E206</f>
        <v>52</v>
      </c>
      <c r="F39" s="47">
        <f t="shared" si="2"/>
        <v>34</v>
      </c>
      <c r="G39" s="47">
        <f t="shared" si="0"/>
        <v>67</v>
      </c>
      <c r="H39" s="52">
        <f t="shared" si="0"/>
        <v>0</v>
      </c>
      <c r="I39" s="17"/>
    </row>
    <row r="40" ht="13.5" customHeight="1">
      <c r="A40" s="1"/>
      <c r="B40" s="58" t="s">
        <v>334</v>
      </c>
      <c r="C40" s="45">
        <v>768</v>
      </c>
      <c r="D40" s="45">
        <v>825</v>
      </c>
      <c r="E40" s="25">
        <f t="shared" si="1"/>
        <v>825</v>
      </c>
      <c r="F40" s="45">
        <v>831</v>
      </c>
      <c r="G40" s="45">
        <v>835</v>
      </c>
      <c r="H40" s="56">
        <f t="shared" si="1"/>
        <v>835</v>
      </c>
      <c r="I40" s="17"/>
    </row>
    <row r="41" ht="13.5" customHeight="1">
      <c r="A41" s="1"/>
      <c r="B41" s="60" t="s">
        <v>316</v>
      </c>
      <c r="C41" s="51">
        <f>C40-Inputs!C207</f>
        <v>-27</v>
      </c>
      <c r="D41" s="47">
        <f t="shared" si="0"/>
        <v>57</v>
      </c>
      <c r="E41" s="51">
        <f>E40-Inputs!E207</f>
        <v>37</v>
      </c>
      <c r="F41" s="47">
        <f t="shared" si="2"/>
        <v>6</v>
      </c>
      <c r="G41" s="47">
        <f t="shared" si="0"/>
        <v>4</v>
      </c>
      <c r="H41" s="52">
        <f t="shared" si="0"/>
        <v>0</v>
      </c>
      <c r="I41" s="17"/>
    </row>
    <row r="42" ht="13.5" customHeight="1">
      <c r="A42" s="1"/>
      <c r="B42" s="58" t="s">
        <v>335</v>
      </c>
      <c r="C42" s="45">
        <v>8505</v>
      </c>
      <c r="D42" s="45">
        <v>8610</v>
      </c>
      <c r="E42" s="25">
        <f t="shared" si="1"/>
        <v>8610</v>
      </c>
      <c r="F42" s="45">
        <v>8552</v>
      </c>
      <c r="G42" s="45">
        <v>8709</v>
      </c>
      <c r="H42" s="56">
        <f t="shared" si="1"/>
        <v>8709</v>
      </c>
      <c r="I42" s="17"/>
    </row>
    <row r="43" ht="13.5" customHeight="1">
      <c r="A43" s="1"/>
      <c r="B43" s="60" t="s">
        <v>316</v>
      </c>
      <c r="C43" s="51">
        <f>C42-Inputs!C208</f>
        <v>30</v>
      </c>
      <c r="D43" s="47">
        <f t="shared" si="0"/>
        <v>105</v>
      </c>
      <c r="E43" s="51">
        <f>E42-Inputs!E208</f>
        <v>1632</v>
      </c>
      <c r="F43" s="47">
        <f t="shared" si="2"/>
        <v>-58</v>
      </c>
      <c r="G43" s="47">
        <f t="shared" si="0"/>
        <v>157</v>
      </c>
      <c r="H43" s="52">
        <f t="shared" si="0"/>
        <v>0</v>
      </c>
      <c r="I43" s="17"/>
    </row>
    <row r="44" ht="40.5" customHeight="1">
      <c r="A44" s="1"/>
      <c r="B44" s="58" t="s">
        <v>336</v>
      </c>
      <c r="C44" s="45">
        <v>67396</v>
      </c>
      <c r="D44" s="45">
        <v>67717</v>
      </c>
      <c r="E44" s="25">
        <f t="shared" si="1"/>
        <v>67717</v>
      </c>
      <c r="F44" s="45">
        <v>74709</v>
      </c>
      <c r="G44" s="45">
        <v>74599</v>
      </c>
      <c r="H44" s="23">
        <f>G44-'Cash Flow Statement'!H33-'Cash Flow Statement'!H36</f>
        <v>74849</v>
      </c>
      <c r="I44" s="32" t="s">
        <v>337</v>
      </c>
    </row>
    <row r="45" ht="13.5" customHeight="1">
      <c r="A45" s="1"/>
      <c r="B45" s="60" t="s">
        <v>316</v>
      </c>
      <c r="C45" s="51">
        <f>C44-Inputs!C209</f>
        <v>-110</v>
      </c>
      <c r="D45" s="47">
        <f t="shared" si="0"/>
        <v>321</v>
      </c>
      <c r="E45" s="51">
        <f>E44-Inputs!E209</f>
        <v>7011</v>
      </c>
      <c r="F45" s="47">
        <f t="shared" si="2"/>
        <v>6992</v>
      </c>
      <c r="G45" s="47">
        <f t="shared" si="0"/>
        <v>-110</v>
      </c>
      <c r="H45" s="52">
        <f t="shared" si="0"/>
        <v>250</v>
      </c>
      <c r="I45" s="17"/>
    </row>
    <row r="46" ht="40.5" customHeight="1">
      <c r="A46" s="1"/>
      <c r="B46" s="58" t="s">
        <v>338</v>
      </c>
      <c r="C46" s="45">
        <v>11729</v>
      </c>
      <c r="D46" s="45">
        <v>11391</v>
      </c>
      <c r="E46" s="25">
        <f t="shared" si="1"/>
        <v>11391</v>
      </c>
      <c r="F46" s="45">
        <v>14624</v>
      </c>
      <c r="G46" s="45">
        <v>13955</v>
      </c>
      <c r="H46" s="23">
        <f>G46-'Cash Flow Statement'!H15</f>
        <v>13125</v>
      </c>
      <c r="I46" s="32" t="s">
        <v>339</v>
      </c>
    </row>
    <row r="47" ht="13.5" customHeight="1">
      <c r="A47" s="1"/>
      <c r="B47" s="60" t="s">
        <v>316</v>
      </c>
      <c r="C47" s="51">
        <f>C46-Inputs!C210</f>
        <v>-524</v>
      </c>
      <c r="D47" s="47">
        <f t="shared" si="0"/>
        <v>-338</v>
      </c>
      <c r="E47" s="51">
        <f>E46-Inputs!E210</f>
        <v>731</v>
      </c>
      <c r="F47" s="47">
        <f t="shared" si="2"/>
        <v>3233</v>
      </c>
      <c r="G47" s="47">
        <f t="shared" si="0"/>
        <v>-669</v>
      </c>
      <c r="H47" s="52">
        <f t="shared" si="0"/>
        <v>-830</v>
      </c>
      <c r="I47" s="17"/>
    </row>
    <row r="48" ht="13.5" customHeight="1">
      <c r="A48" s="1"/>
      <c r="B48" s="58" t="s">
        <v>340</v>
      </c>
      <c r="C48" s="45">
        <v>1796</v>
      </c>
      <c r="D48" s="45">
        <v>2112</v>
      </c>
      <c r="E48" s="25">
        <f t="shared" si="1"/>
        <v>2112</v>
      </c>
      <c r="F48" s="45">
        <v>2009</v>
      </c>
      <c r="G48" s="45">
        <v>2028</v>
      </c>
      <c r="H48" s="56">
        <f t="shared" si="1"/>
        <v>2028</v>
      </c>
      <c r="I48" s="17"/>
    </row>
    <row r="49" ht="13.5" customHeight="1">
      <c r="A49" s="1"/>
      <c r="B49" s="60" t="s">
        <v>316</v>
      </c>
      <c r="C49" s="51">
        <f>C48-Inputs!C211</f>
        <v>-95</v>
      </c>
      <c r="D49" s="47">
        <f t="shared" si="0"/>
        <v>316</v>
      </c>
      <c r="E49" s="51">
        <f>E48-Inputs!E211</f>
        <v>325</v>
      </c>
      <c r="F49" s="47">
        <f t="shared" si="2"/>
        <v>-103</v>
      </c>
      <c r="G49" s="47">
        <f t="shared" si="0"/>
        <v>19</v>
      </c>
      <c r="H49" s="52">
        <f t="shared" si="0"/>
        <v>0</v>
      </c>
      <c r="I49" s="17"/>
    </row>
    <row r="50" ht="13.5" customHeight="1">
      <c r="A50" s="1"/>
      <c r="B50" s="14" t="s">
        <v>341</v>
      </c>
      <c r="C50" s="49">
        <f t="shared" si="3"/>
        <v>146311</v>
      </c>
      <c r="D50" s="49">
        <f t="shared" si="3"/>
        <v>151879</v>
      </c>
      <c r="E50" s="49">
        <f t="shared" si="3"/>
        <v>151879</v>
      </c>
      <c r="F50" s="49">
        <f t="shared" si="3"/>
        <v>156232</v>
      </c>
      <c r="G50" s="49">
        <f t="shared" si="3"/>
        <v>152098</v>
      </c>
      <c r="H50" s="50">
        <f t="shared" si="3"/>
        <v>152989.15613286302</v>
      </c>
      <c r="I50" s="17"/>
    </row>
    <row r="51" ht="13.5" customHeight="1">
      <c r="A51" s="1"/>
      <c r="B51" s="60" t="s">
        <v>316</v>
      </c>
      <c r="C51" s="51">
        <f>C50-Inputs!C212</f>
        <v>-2274</v>
      </c>
      <c r="D51" s="47">
        <f t="shared" si="0"/>
        <v>5568</v>
      </c>
      <c r="E51" s="51">
        <f>E50-Inputs!E212</f>
        <v>14704</v>
      </c>
      <c r="F51" s="47">
        <f t="shared" si="2"/>
        <v>4353</v>
      </c>
      <c r="G51" s="47">
        <f t="shared" si="0"/>
        <v>-4134</v>
      </c>
      <c r="H51" s="52">
        <f t="shared" si="0"/>
        <v>891.1561328630196</v>
      </c>
      <c r="I51" s="17"/>
    </row>
    <row r="52" ht="13.5" customHeight="1">
      <c r="A52" s="1"/>
      <c r="B52" s="14" t="s">
        <v>342</v>
      </c>
      <c r="C52" s="22"/>
      <c r="D52" s="22"/>
      <c r="E52" s="22"/>
      <c r="F52" s="22"/>
      <c r="G52" s="22"/>
      <c r="H52" s="42"/>
      <c r="I52" s="17"/>
    </row>
    <row r="53" ht="13.5" customHeight="1">
      <c r="A53" s="1"/>
      <c r="B53" s="58" t="s">
        <v>343</v>
      </c>
      <c r="C53" s="45">
        <v>1663</v>
      </c>
      <c r="D53" s="45">
        <v>2347</v>
      </c>
      <c r="E53" s="25">
        <f t="shared" si="1"/>
        <v>2347</v>
      </c>
      <c r="F53" s="45">
        <v>2053</v>
      </c>
      <c r="G53" s="45">
        <v>2023</v>
      </c>
      <c r="H53" s="56">
        <f t="shared" si="1"/>
        <v>2023</v>
      </c>
      <c r="I53" s="17"/>
    </row>
    <row r="54" ht="13.5" customHeight="1">
      <c r="A54" s="1"/>
      <c r="B54" s="60" t="s">
        <v>316</v>
      </c>
      <c r="C54" s="51">
        <f>C53-Inputs!C213</f>
        <v>-18</v>
      </c>
      <c r="D54" s="47">
        <f t="shared" si="0"/>
        <v>684</v>
      </c>
      <c r="E54" s="51">
        <f>E53-Inputs!E213</f>
        <v>314</v>
      </c>
      <c r="F54" s="47">
        <f t="shared" si="2"/>
        <v>-294</v>
      </c>
      <c r="G54" s="47">
        <f t="shared" si="0"/>
        <v>-30</v>
      </c>
      <c r="H54" s="52">
        <f t="shared" si="0"/>
        <v>0</v>
      </c>
      <c r="I54" s="17"/>
    </row>
    <row r="55" ht="13.5" customHeight="1">
      <c r="A55" s="1"/>
      <c r="B55" s="58" t="s">
        <v>344</v>
      </c>
      <c r="C55" s="45">
        <v>7942</v>
      </c>
      <c r="D55" s="45">
        <v>6424</v>
      </c>
      <c r="E55" s="25">
        <f t="shared" si="1"/>
        <v>6424</v>
      </c>
      <c r="F55" s="45">
        <v>8655</v>
      </c>
      <c r="G55" s="45">
        <v>5775</v>
      </c>
      <c r="H55" s="56">
        <f t="shared" si="1"/>
        <v>5775</v>
      </c>
      <c r="I55" s="17"/>
    </row>
    <row r="56" ht="13.5" customHeight="1">
      <c r="A56" s="1"/>
      <c r="B56" s="60" t="s">
        <v>316</v>
      </c>
      <c r="C56" s="51">
        <f>C55-Inputs!C214</f>
        <v>-1003</v>
      </c>
      <c r="D56" s="47">
        <f t="shared" si="0"/>
        <v>-1518</v>
      </c>
      <c r="E56" s="51">
        <f>E55-Inputs!E214</f>
        <v>1335</v>
      </c>
      <c r="F56" s="47">
        <f t="shared" si="2"/>
        <v>2231</v>
      </c>
      <c r="G56" s="47">
        <f t="shared" si="0"/>
        <v>-2880</v>
      </c>
      <c r="H56" s="52">
        <f t="shared" si="0"/>
        <v>0</v>
      </c>
      <c r="I56" s="17"/>
    </row>
    <row r="57" ht="13.5" customHeight="1">
      <c r="A57" s="1"/>
      <c r="B57" s="58" t="s">
        <v>345</v>
      </c>
      <c r="C57" s="45">
        <v>3867</v>
      </c>
      <c r="D57" s="45">
        <v>4756</v>
      </c>
      <c r="E57" s="25">
        <f t="shared" si="1"/>
        <v>4756</v>
      </c>
      <c r="F57" s="45">
        <v>4039</v>
      </c>
      <c r="G57" s="45">
        <v>4395</v>
      </c>
      <c r="H57" s="56">
        <f t="shared" si="1"/>
        <v>4395</v>
      </c>
      <c r="I57" s="17"/>
    </row>
    <row r="58" ht="13.5" customHeight="1">
      <c r="A58" s="1"/>
      <c r="B58" s="60" t="s">
        <v>316</v>
      </c>
      <c r="C58" s="51">
        <f>C57-Inputs!C215</f>
        <v>-107</v>
      </c>
      <c r="D58" s="47">
        <f t="shared" si="0"/>
        <v>889</v>
      </c>
      <c r="E58" s="51">
        <f>E57-Inputs!E215</f>
        <v>724</v>
      </c>
      <c r="F58" s="47">
        <f t="shared" si="2"/>
        <v>-717</v>
      </c>
      <c r="G58" s="47">
        <f t="shared" si="0"/>
        <v>356</v>
      </c>
      <c r="H58" s="52">
        <f t="shared" si="0"/>
        <v>0</v>
      </c>
      <c r="I58" s="17"/>
    </row>
    <row r="59" ht="13.5" customHeight="1">
      <c r="A59" s="1"/>
      <c r="B59" s="58" t="s">
        <v>346</v>
      </c>
      <c r="C59" s="45">
        <v>3508</v>
      </c>
      <c r="D59" s="45">
        <v>4114</v>
      </c>
      <c r="E59" s="25">
        <f t="shared" si="1"/>
        <v>4114</v>
      </c>
      <c r="F59" s="45">
        <v>3941</v>
      </c>
      <c r="G59" s="45">
        <v>3364</v>
      </c>
      <c r="H59" s="56">
        <f t="shared" si="1"/>
        <v>3364</v>
      </c>
      <c r="I59" s="17"/>
    </row>
    <row r="60" ht="13.5" customHeight="1">
      <c r="A60" s="1"/>
      <c r="B60" s="60" t="s">
        <v>316</v>
      </c>
      <c r="C60" s="51">
        <f>C59-Inputs!C216</f>
        <v>155</v>
      </c>
      <c r="D60" s="47">
        <f t="shared" si="0"/>
        <v>606</v>
      </c>
      <c r="E60" s="51">
        <f>E59-Inputs!E216</f>
        <v>509</v>
      </c>
      <c r="F60" s="47">
        <f t="shared" si="2"/>
        <v>-173</v>
      </c>
      <c r="G60" s="47">
        <f t="shared" si="0"/>
        <v>-577</v>
      </c>
      <c r="H60" s="52">
        <f t="shared" si="0"/>
        <v>0</v>
      </c>
      <c r="I60" s="17"/>
    </row>
    <row r="61" ht="13.5" customHeight="1">
      <c r="A61" s="1"/>
      <c r="B61" s="58" t="s">
        <v>347</v>
      </c>
      <c r="C61" s="45">
        <v>13878</v>
      </c>
      <c r="D61" s="45">
        <v>16101</v>
      </c>
      <c r="E61" s="25">
        <f t="shared" si="1"/>
        <v>16101</v>
      </c>
      <c r="F61" s="45">
        <v>17034</v>
      </c>
      <c r="G61" s="45">
        <v>16160</v>
      </c>
      <c r="H61" s="56">
        <f t="shared" si="1"/>
        <v>16160</v>
      </c>
      <c r="I61" s="17"/>
    </row>
    <row r="62" ht="13.5" customHeight="1">
      <c r="A62" s="1"/>
      <c r="B62" s="60" t="s">
        <v>316</v>
      </c>
      <c r="C62" s="51">
        <f>C61-Inputs!C217</f>
        <v>-1144</v>
      </c>
      <c r="D62" s="47">
        <f t="shared" si="0"/>
        <v>2223</v>
      </c>
      <c r="E62" s="51">
        <f>E61-Inputs!E217</f>
        <v>2194</v>
      </c>
      <c r="F62" s="47">
        <f t="shared" si="2"/>
        <v>933</v>
      </c>
      <c r="G62" s="47">
        <f t="shared" si="0"/>
        <v>-874</v>
      </c>
      <c r="H62" s="52">
        <f t="shared" si="0"/>
        <v>0</v>
      </c>
      <c r="I62" s="17"/>
    </row>
    <row r="63" ht="13.5" customHeight="1">
      <c r="A63" s="1"/>
      <c r="B63" s="58" t="s">
        <v>348</v>
      </c>
      <c r="C63" s="45">
        <v>807</v>
      </c>
      <c r="D63" s="45">
        <v>800</v>
      </c>
      <c r="E63" s="25">
        <f t="shared" si="1"/>
        <v>800</v>
      </c>
      <c r="F63" s="45">
        <v>798</v>
      </c>
      <c r="G63" s="45">
        <v>770</v>
      </c>
      <c r="H63" s="56">
        <f t="shared" si="1"/>
        <v>770</v>
      </c>
      <c r="I63" s="17"/>
    </row>
    <row r="64" ht="13.5" customHeight="1">
      <c r="A64" s="1"/>
      <c r="B64" s="60" t="s">
        <v>316</v>
      </c>
      <c r="C64" s="51">
        <f>C63-Inputs!C218</f>
        <v>-13</v>
      </c>
      <c r="D64" s="47">
        <f t="shared" si="0"/>
        <v>-7</v>
      </c>
      <c r="E64" s="51">
        <f>E63-Inputs!E218</f>
        <v>32</v>
      </c>
      <c r="F64" s="47">
        <f t="shared" si="2"/>
        <v>-2</v>
      </c>
      <c r="G64" s="47">
        <f t="shared" si="0"/>
        <v>-28</v>
      </c>
      <c r="H64" s="52">
        <f t="shared" si="0"/>
        <v>0</v>
      </c>
      <c r="I64" s="17"/>
    </row>
    <row r="65" ht="13.5" customHeight="1">
      <c r="A65" s="1"/>
      <c r="B65" s="58" t="s">
        <v>349</v>
      </c>
      <c r="C65" s="45">
        <v>3477</v>
      </c>
      <c r="D65" s="45">
        <v>4116</v>
      </c>
      <c r="E65" s="25">
        <f t="shared" si="1"/>
        <v>4116</v>
      </c>
      <c r="F65" s="45">
        <v>3582</v>
      </c>
      <c r="G65" s="45">
        <v>3425</v>
      </c>
      <c r="H65" s="56">
        <f t="shared" si="1"/>
        <v>3425</v>
      </c>
      <c r="I65" s="17"/>
    </row>
    <row r="66" ht="13.5" customHeight="1">
      <c r="A66" s="1"/>
      <c r="B66" s="60" t="s">
        <v>316</v>
      </c>
      <c r="C66" s="51">
        <f>C65-Inputs!C219</f>
        <v>-455</v>
      </c>
      <c r="D66" s="47">
        <f t="shared" si="0"/>
        <v>639</v>
      </c>
      <c r="E66" s="51">
        <f>E65-Inputs!E219</f>
        <v>407</v>
      </c>
      <c r="F66" s="47">
        <f t="shared" si="2"/>
        <v>-534</v>
      </c>
      <c r="G66" s="47">
        <f t="shared" si="0"/>
        <v>-157</v>
      </c>
      <c r="H66" s="52">
        <f t="shared" si="0"/>
        <v>0</v>
      </c>
      <c r="I66" s="17"/>
    </row>
    <row r="67" ht="13.5" customHeight="1">
      <c r="A67" s="1"/>
      <c r="B67" s="14" t="s">
        <v>350</v>
      </c>
      <c r="C67" s="49">
        <f t="shared" si="4" ref="C67:H67">C53+C55+C57+C59+C61+C63+C65</f>
        <v>35142</v>
      </c>
      <c r="D67" s="49">
        <f t="shared" si="4"/>
        <v>38658</v>
      </c>
      <c r="E67" s="49">
        <f t="shared" si="4"/>
        <v>38658</v>
      </c>
      <c r="F67" s="49">
        <f t="shared" si="4"/>
        <v>40102</v>
      </c>
      <c r="G67" s="49">
        <f t="shared" si="4"/>
        <v>35912</v>
      </c>
      <c r="H67" s="50">
        <f t="shared" si="4"/>
        <v>35912</v>
      </c>
      <c r="I67" s="17"/>
    </row>
    <row r="68" ht="13.5" customHeight="1">
      <c r="A68" s="1"/>
      <c r="B68" s="60" t="s">
        <v>316</v>
      </c>
      <c r="C68" s="51">
        <f>C67-Inputs!C220</f>
        <v>-2584</v>
      </c>
      <c r="D68" s="47">
        <f t="shared" si="0"/>
        <v>3516</v>
      </c>
      <c r="E68" s="51">
        <f>E67-Inputs!E220</f>
        <v>5516</v>
      </c>
      <c r="F68" s="47">
        <f t="shared" si="2"/>
        <v>1444</v>
      </c>
      <c r="G68" s="47">
        <f t="shared" si="0"/>
        <v>-4190</v>
      </c>
      <c r="H68" s="52">
        <f t="shared" si="0"/>
        <v>0</v>
      </c>
      <c r="I68" s="17"/>
    </row>
    <row r="69" ht="13.5" customHeight="1">
      <c r="A69" s="1"/>
      <c r="B69" s="58" t="s">
        <v>351</v>
      </c>
      <c r="C69" s="45">
        <v>55174</v>
      </c>
      <c r="D69" s="45">
        <v>54836</v>
      </c>
      <c r="E69" s="25">
        <f t="shared" si="1"/>
        <v>54836</v>
      </c>
      <c r="F69" s="45">
        <v>57706</v>
      </c>
      <c r="G69" s="45">
        <v>56212</v>
      </c>
      <c r="H69" s="23">
        <f>G69+'Cash Flow Statement'!H45</f>
        <v>56212</v>
      </c>
      <c r="I69" s="17"/>
    </row>
    <row r="70" ht="13.5" customHeight="1">
      <c r="A70" s="1"/>
      <c r="B70" s="60" t="s">
        <v>316</v>
      </c>
      <c r="C70" s="51">
        <f>C69-Inputs!C221</f>
        <v>-45</v>
      </c>
      <c r="D70" s="47">
        <f t="shared" si="0"/>
        <v>-338</v>
      </c>
      <c r="E70" s="51">
        <f>E69-Inputs!E221</f>
        <v>4952</v>
      </c>
      <c r="F70" s="47">
        <f t="shared" si="2"/>
        <v>2870</v>
      </c>
      <c r="G70" s="47">
        <f t="shared" si="0"/>
        <v>-1494</v>
      </c>
      <c r="H70" s="52">
        <f t="shared" si="0"/>
        <v>0</v>
      </c>
      <c r="I70" s="17"/>
    </row>
    <row r="71" ht="13.5" customHeight="1">
      <c r="A71" s="1"/>
      <c r="B71" s="58" t="s">
        <v>352</v>
      </c>
      <c r="C71" s="45">
        <v>9735</v>
      </c>
      <c r="D71" s="45">
        <v>9018</v>
      </c>
      <c r="E71" s="25">
        <f t="shared" si="1"/>
        <v>9018</v>
      </c>
      <c r="F71" s="45">
        <v>8763</v>
      </c>
      <c r="G71" s="45">
        <v>8603</v>
      </c>
      <c r="H71" s="56">
        <f t="shared" si="1"/>
        <v>8603</v>
      </c>
      <c r="I71" s="17"/>
    </row>
    <row r="72" ht="13.5" customHeight="1">
      <c r="A72" s="1"/>
      <c r="B72" s="60" t="s">
        <v>316</v>
      </c>
      <c r="C72" s="51">
        <f>C71-Inputs!C222</f>
        <v>-147</v>
      </c>
      <c r="D72" s="47">
        <f t="shared" si="0"/>
        <v>-717</v>
      </c>
      <c r="E72" s="51">
        <f>E71-Inputs!E222</f>
        <v>-414</v>
      </c>
      <c r="F72" s="47">
        <f t="shared" si="2"/>
        <v>-255</v>
      </c>
      <c r="G72" s="47">
        <f t="shared" si="0"/>
        <v>-160</v>
      </c>
      <c r="H72" s="52">
        <f t="shared" si="0"/>
        <v>0</v>
      </c>
      <c r="I72" s="17"/>
    </row>
    <row r="73" ht="13.5" customHeight="1">
      <c r="A73" s="1"/>
      <c r="B73" s="58" t="s">
        <v>353</v>
      </c>
      <c r="C73" s="45">
        <v>3863</v>
      </c>
      <c r="D73" s="45">
        <v>4271</v>
      </c>
      <c r="E73" s="25">
        <f t="shared" si="1"/>
        <v>4271</v>
      </c>
      <c r="F73" s="45">
        <v>4195</v>
      </c>
      <c r="G73" s="45">
        <v>4272</v>
      </c>
      <c r="H73" s="56">
        <f t="shared" si="1"/>
        <v>4272</v>
      </c>
      <c r="I73" s="17"/>
    </row>
    <row r="74" ht="13.5" customHeight="1">
      <c r="A74" s="1"/>
      <c r="B74" s="60" t="s">
        <v>316</v>
      </c>
      <c r="C74" s="51">
        <f>C73-Inputs!C223</f>
        <v>-50</v>
      </c>
      <c r="D74" s="47">
        <f t="shared" si="0"/>
        <v>408</v>
      </c>
      <c r="E74" s="51">
        <f>E73-Inputs!E223</f>
        <v>649</v>
      </c>
      <c r="F74" s="47">
        <f t="shared" si="2"/>
        <v>-76</v>
      </c>
      <c r="G74" s="47">
        <f t="shared" si="0"/>
        <v>77</v>
      </c>
      <c r="H74" s="52">
        <f t="shared" si="0"/>
        <v>0</v>
      </c>
      <c r="I74" s="17"/>
    </row>
    <row r="75" ht="24.75" customHeight="1">
      <c r="A75" s="1"/>
      <c r="B75" s="58" t="s">
        <v>354</v>
      </c>
      <c r="C75" s="45">
        <v>2646</v>
      </c>
      <c r="D75" s="45">
        <v>2547</v>
      </c>
      <c r="E75" s="25">
        <f t="shared" si="1"/>
        <v>2547</v>
      </c>
      <c r="F75" s="45">
        <v>2643</v>
      </c>
      <c r="G75" s="45">
        <v>2515</v>
      </c>
      <c r="H75" s="56">
        <f t="shared" si="1"/>
        <v>2515</v>
      </c>
      <c r="I75" s="17"/>
    </row>
    <row r="76" ht="13.5" customHeight="1">
      <c r="A76" s="1"/>
      <c r="B76" s="60" t="s">
        <v>316</v>
      </c>
      <c r="C76" s="51">
        <f>C75-Inputs!C224</f>
        <v>-89</v>
      </c>
      <c r="D76" s="47">
        <f t="shared" si="0"/>
        <v>-99</v>
      </c>
      <c r="E76" s="51">
        <f>E75-Inputs!E224</f>
        <v>-108</v>
      </c>
      <c r="F76" s="47">
        <f t="shared" si="2"/>
        <v>96</v>
      </c>
      <c r="G76" s="47">
        <f t="shared" si="0"/>
        <v>-128</v>
      </c>
      <c r="H76" s="52">
        <f t="shared" si="0"/>
        <v>0</v>
      </c>
      <c r="I76" s="17"/>
    </row>
    <row r="77" ht="13.5" customHeight="1">
      <c r="A77" s="1"/>
      <c r="B77" s="58" t="s">
        <v>355</v>
      </c>
      <c r="C77" s="45">
        <v>11762</v>
      </c>
      <c r="D77" s="45">
        <v>9810</v>
      </c>
      <c r="E77" s="25">
        <f t="shared" si="1"/>
        <v>9810</v>
      </c>
      <c r="F77" s="45">
        <v>9767</v>
      </c>
      <c r="G77" s="45">
        <v>10044</v>
      </c>
      <c r="H77" s="56">
        <f t="shared" si="1"/>
        <v>10044</v>
      </c>
      <c r="I77" s="17"/>
    </row>
    <row r="78" ht="13.5" customHeight="1">
      <c r="A78" s="1"/>
      <c r="B78" s="60" t="s">
        <v>316</v>
      </c>
      <c r="C78" s="51">
        <f>C77-Inputs!C225</f>
        <v>240</v>
      </c>
      <c r="D78" s="47">
        <f t="shared" si="0"/>
        <v>-1952</v>
      </c>
      <c r="E78" s="51">
        <f>E77-Inputs!E225</f>
        <v>-1238</v>
      </c>
      <c r="F78" s="47">
        <f t="shared" si="2"/>
        <v>-43</v>
      </c>
      <c r="G78" s="47">
        <f t="shared" si="0"/>
        <v>277</v>
      </c>
      <c r="H78" s="52">
        <f t="shared" si="0"/>
        <v>0</v>
      </c>
      <c r="I78" s="17"/>
    </row>
    <row r="79" ht="13.5" customHeight="1">
      <c r="A79" s="1"/>
      <c r="B79" s="14" t="s">
        <v>356</v>
      </c>
      <c r="C79" s="49">
        <f t="shared" si="5" ref="C79:H79">C67+C69+C71+C73+C75+C77</f>
        <v>118322</v>
      </c>
      <c r="D79" s="49">
        <f t="shared" si="5"/>
        <v>119140</v>
      </c>
      <c r="E79" s="49">
        <f t="shared" si="5"/>
        <v>119140</v>
      </c>
      <c r="F79" s="49">
        <f t="shared" si="5"/>
        <v>123176</v>
      </c>
      <c r="G79" s="49">
        <f t="shared" si="5"/>
        <v>117558</v>
      </c>
      <c r="H79" s="50">
        <f t="shared" si="5"/>
        <v>117558</v>
      </c>
      <c r="I79" s="17"/>
    </row>
    <row r="80" ht="13.5" customHeight="1">
      <c r="A80" s="1"/>
      <c r="B80" s="60" t="s">
        <v>316</v>
      </c>
      <c r="C80" s="51">
        <f>C79-Inputs!C226</f>
        <v>-2676</v>
      </c>
      <c r="D80" s="47">
        <f t="shared" si="0"/>
        <v>818</v>
      </c>
      <c r="E80" s="51">
        <f>E79-Inputs!E226</f>
        <v>9357</v>
      </c>
      <c r="F80" s="47">
        <f t="shared" si="2"/>
        <v>4036</v>
      </c>
      <c r="G80" s="47">
        <f t="shared" si="0"/>
        <v>-5618</v>
      </c>
      <c r="H80" s="52">
        <f t="shared" si="0"/>
        <v>0</v>
      </c>
      <c r="I80" s="17"/>
    </row>
    <row r="81" ht="13.5" customHeight="1">
      <c r="A81" s="1"/>
      <c r="B81" s="14" t="s">
        <v>357</v>
      </c>
      <c r="C81" s="22"/>
      <c r="D81" s="22"/>
      <c r="E81" s="22"/>
      <c r="F81" s="22"/>
      <c r="G81" s="22"/>
      <c r="H81" s="42"/>
      <c r="I81" s="17"/>
    </row>
    <row r="82" ht="24.75" customHeight="1">
      <c r="A82" s="1"/>
      <c r="B82" s="58" t="s">
        <v>358</v>
      </c>
      <c r="C82" s="45">
        <v>62819</v>
      </c>
      <c r="D82" s="45">
        <v>63318</v>
      </c>
      <c r="E82" s="25">
        <f t="shared" si="1"/>
        <v>63318</v>
      </c>
      <c r="F82" s="45">
        <v>63936</v>
      </c>
      <c r="G82" s="45">
        <v>64600</v>
      </c>
      <c r="H82" s="23">
        <f>G82+'Cash Flow Statement'!H16</f>
        <v>65100</v>
      </c>
      <c r="I82" s="17"/>
    </row>
    <row r="83" ht="13.5" customHeight="1">
      <c r="A83" s="1"/>
      <c r="B83" s="60" t="s">
        <v>316</v>
      </c>
      <c r="C83" s="51">
        <f>C82-Inputs!C227</f>
        <v>427</v>
      </c>
      <c r="D83" s="47">
        <f t="shared" si="0"/>
        <v>499</v>
      </c>
      <c r="E83" s="51">
        <f>E82-Inputs!E227</f>
        <v>1938</v>
      </c>
      <c r="F83" s="47">
        <f t="shared" si="2"/>
        <v>618</v>
      </c>
      <c r="G83" s="47">
        <f t="shared" si="0"/>
        <v>664</v>
      </c>
      <c r="H83" s="52">
        <f t="shared" si="0"/>
        <v>500</v>
      </c>
      <c r="I83" s="17"/>
    </row>
    <row r="84" ht="13.5" customHeight="1">
      <c r="A84" s="1"/>
      <c r="B84" s="58" t="s">
        <v>359</v>
      </c>
      <c r="C84" s="45">
        <v>151581</v>
      </c>
      <c r="D84" s="45">
        <v>155648</v>
      </c>
      <c r="E84" s="25">
        <f t="shared" si="1"/>
        <v>155648</v>
      </c>
      <c r="F84" s="45">
        <v>155327</v>
      </c>
      <c r="G84" s="45">
        <v>155937</v>
      </c>
      <c r="H84" s="23">
        <f>G84+'Income Statement'!H57+'Cash Flow Statement'!H48</f>
        <v>156428.15613286302</v>
      </c>
      <c r="I84" s="17"/>
    </row>
    <row r="85" ht="13.5" customHeight="1">
      <c r="A85" s="1"/>
      <c r="B85" s="60" t="s">
        <v>316</v>
      </c>
      <c r="C85" s="51">
        <f>C84-Inputs!C228</f>
        <v>214</v>
      </c>
      <c r="D85" s="47">
        <f t="shared" si="0"/>
        <v>4067</v>
      </c>
      <c r="E85" s="51">
        <f>E84-Inputs!E228</f>
        <v>4485</v>
      </c>
      <c r="F85" s="47">
        <f t="shared" si="2"/>
        <v>-321</v>
      </c>
      <c r="G85" s="47">
        <f t="shared" si="0"/>
        <v>610</v>
      </c>
      <c r="H85" s="52">
        <f t="shared" si="0"/>
        <v>491.1561328630196</v>
      </c>
      <c r="I85" s="17"/>
    </row>
    <row r="86" ht="13.5" customHeight="1">
      <c r="A86" s="1"/>
      <c r="B86" s="58" t="s">
        <v>360</v>
      </c>
      <c r="C86" s="45">
        <v>-170512</v>
      </c>
      <c r="D86" s="45">
        <v>-170605</v>
      </c>
      <c r="E86" s="25">
        <f t="shared" si="1"/>
        <v>-170605</v>
      </c>
      <c r="F86" s="45">
        <v>-170874</v>
      </c>
      <c r="G86" s="45">
        <v>-170934</v>
      </c>
      <c r="H86" s="23">
        <f>G86+'Cash Flow Statement'!H51</f>
        <v>-170984</v>
      </c>
      <c r="I86" s="17"/>
    </row>
    <row r="87" ht="13.5" customHeight="1">
      <c r="A87" s="1"/>
      <c r="B87" s="60" t="s">
        <v>316</v>
      </c>
      <c r="C87" s="51">
        <f>C86-Inputs!C229</f>
        <v>-303</v>
      </c>
      <c r="D87" s="47">
        <f t="shared" si="0"/>
        <v>-93</v>
      </c>
      <c r="E87" s="51">
        <f>E86-Inputs!E229</f>
        <v>-637</v>
      </c>
      <c r="F87" s="47">
        <f t="shared" si="2"/>
        <v>-269</v>
      </c>
      <c r="G87" s="47">
        <f t="shared" si="0"/>
        <v>-60</v>
      </c>
      <c r="H87" s="52">
        <f t="shared" si="0"/>
        <v>-50</v>
      </c>
      <c r="I87" s="17"/>
    </row>
    <row r="88" ht="24.75" customHeight="1">
      <c r="A88" s="1"/>
      <c r="B88" s="58" t="s">
        <v>361</v>
      </c>
      <c r="C88" s="45">
        <v>-15983</v>
      </c>
      <c r="D88" s="45">
        <v>-15713</v>
      </c>
      <c r="E88" s="25">
        <f t="shared" si="1"/>
        <v>-15713</v>
      </c>
      <c r="F88" s="45">
        <v>-15415</v>
      </c>
      <c r="G88" s="45">
        <v>-15151</v>
      </c>
      <c r="H88" s="23">
        <f>G88+'Cash Flow Statement'!H57</f>
        <v>-15201</v>
      </c>
      <c r="I88" s="32" t="s">
        <v>362</v>
      </c>
    </row>
    <row r="89" ht="13.5" customHeight="1">
      <c r="A89" s="1"/>
      <c r="B89" s="60" t="s">
        <v>316</v>
      </c>
      <c r="C89" s="51">
        <f>C88-Inputs!C230</f>
        <v>58</v>
      </c>
      <c r="D89" s="47">
        <f t="shared" si="0"/>
        <v>270</v>
      </c>
      <c r="E89" s="51">
        <f>E88-Inputs!E230</f>
        <v>-444</v>
      </c>
      <c r="F89" s="47">
        <f t="shared" si="2"/>
        <v>298</v>
      </c>
      <c r="G89" s="47">
        <f t="shared" si="0"/>
        <v>264</v>
      </c>
      <c r="H89" s="52">
        <f t="shared" si="0"/>
        <v>-50</v>
      </c>
      <c r="I89" s="17"/>
    </row>
    <row r="90" ht="13.5" customHeight="1">
      <c r="A90" s="1"/>
      <c r="B90" s="14" t="s">
        <v>363</v>
      </c>
      <c r="C90" s="49">
        <f t="shared" si="6" ref="C90:H90">C82+C84+C86+C88</f>
        <v>27905</v>
      </c>
      <c r="D90" s="49">
        <f t="shared" si="6"/>
        <v>32648</v>
      </c>
      <c r="E90" s="49">
        <f t="shared" si="6"/>
        <v>32648</v>
      </c>
      <c r="F90" s="49">
        <f t="shared" si="6"/>
        <v>32974</v>
      </c>
      <c r="G90" s="49">
        <f t="shared" si="6"/>
        <v>34452</v>
      </c>
      <c r="H90" s="50">
        <f t="shared" si="6"/>
        <v>35343.15613286302</v>
      </c>
      <c r="I90" s="17"/>
    </row>
    <row r="91" ht="13.5" customHeight="1">
      <c r="A91" s="1"/>
      <c r="B91" s="60" t="s">
        <v>316</v>
      </c>
      <c r="C91" s="51">
        <f>C90-Inputs!C231</f>
        <v>396</v>
      </c>
      <c r="D91" s="47">
        <f t="shared" si="0"/>
        <v>4743</v>
      </c>
      <c r="E91" s="51">
        <f>E90-Inputs!E231</f>
        <v>5341</v>
      </c>
      <c r="F91" s="47">
        <f t="shared" si="2"/>
        <v>326</v>
      </c>
      <c r="G91" s="47">
        <f t="shared" si="0"/>
        <v>1478</v>
      </c>
      <c r="H91" s="52">
        <f t="shared" si="0"/>
        <v>891.1561328630196</v>
      </c>
      <c r="I91" s="17"/>
    </row>
    <row r="92" ht="13.5" customHeight="1">
      <c r="A92" s="1"/>
      <c r="B92" s="58" t="s">
        <v>364</v>
      </c>
      <c r="C92" s="45">
        <v>85</v>
      </c>
      <c r="D92" s="45">
        <v>93</v>
      </c>
      <c r="E92" s="25">
        <f t="shared" si="1"/>
        <v>93</v>
      </c>
      <c r="F92" s="45">
        <v>81</v>
      </c>
      <c r="G92" s="45">
        <v>89</v>
      </c>
      <c r="H92" s="56">
        <f t="shared" si="1"/>
        <v>89</v>
      </c>
      <c r="I92" s="17"/>
    </row>
    <row r="93" ht="13.5" customHeight="1">
      <c r="A93" s="1"/>
      <c r="B93" s="60" t="s">
        <v>316</v>
      </c>
      <c r="C93" s="51">
        <f>C92-Inputs!C232</f>
        <v>6</v>
      </c>
      <c r="D93" s="47">
        <f t="shared" si="0"/>
        <v>8</v>
      </c>
      <c r="E93" s="51">
        <f>E92-Inputs!E232</f>
        <v>7</v>
      </c>
      <c r="F93" s="47">
        <f t="shared" si="2"/>
        <v>-12</v>
      </c>
      <c r="G93" s="47">
        <f t="shared" si="0"/>
        <v>8</v>
      </c>
      <c r="H93" s="52">
        <f t="shared" si="0"/>
        <v>0</v>
      </c>
      <c r="I93" s="17"/>
    </row>
    <row r="94" ht="13.5" customHeight="1">
      <c r="A94" s="1"/>
      <c r="B94" s="14" t="s">
        <v>365</v>
      </c>
      <c r="C94" s="49">
        <f t="shared" si="7" ref="C94:H94">C90+C92</f>
        <v>27990</v>
      </c>
      <c r="D94" s="49">
        <f t="shared" si="7"/>
        <v>32741</v>
      </c>
      <c r="E94" s="49">
        <f t="shared" si="7"/>
        <v>32741</v>
      </c>
      <c r="F94" s="49">
        <f t="shared" si="7"/>
        <v>33055</v>
      </c>
      <c r="G94" s="49">
        <f t="shared" si="7"/>
        <v>34541</v>
      </c>
      <c r="H94" s="50">
        <f t="shared" si="7"/>
        <v>35432.15613286302</v>
      </c>
      <c r="I94" s="17"/>
    </row>
    <row r="95" ht="13.5" customHeight="1">
      <c r="A95" s="1"/>
      <c r="B95" s="60" t="s">
        <v>316</v>
      </c>
      <c r="C95" s="51">
        <f>C94-Inputs!C233</f>
        <v>402</v>
      </c>
      <c r="D95" s="47">
        <f t="shared" si="0"/>
        <v>4751</v>
      </c>
      <c r="E95" s="51">
        <f>E94-Inputs!E233</f>
        <v>5348</v>
      </c>
      <c r="F95" s="47">
        <f t="shared" si="2"/>
        <v>314</v>
      </c>
      <c r="G95" s="47">
        <f t="shared" si="0"/>
        <v>1486</v>
      </c>
      <c r="H95" s="52">
        <f t="shared" si="0"/>
        <v>891.1561328630196</v>
      </c>
      <c r="I95" s="17"/>
    </row>
    <row r="96" ht="13.5" customHeight="1">
      <c r="A96" s="1"/>
      <c r="B96" s="14" t="s">
        <v>366</v>
      </c>
      <c r="C96" s="49">
        <f t="shared" si="8" ref="C96:H96">C79+C94</f>
        <v>146312</v>
      </c>
      <c r="D96" s="49">
        <f t="shared" si="8"/>
        <v>151881</v>
      </c>
      <c r="E96" s="49">
        <f t="shared" si="8"/>
        <v>151881</v>
      </c>
      <c r="F96" s="49">
        <f t="shared" si="8"/>
        <v>156231</v>
      </c>
      <c r="G96" s="49">
        <f t="shared" si="8"/>
        <v>152099</v>
      </c>
      <c r="H96" s="50">
        <f t="shared" si="8"/>
        <v>152990.15613286302</v>
      </c>
      <c r="I96" s="17"/>
    </row>
    <row r="97" ht="13.5" customHeight="1">
      <c r="A97" s="1"/>
      <c r="B97" s="60" t="s">
        <v>316</v>
      </c>
      <c r="C97" s="51">
        <f>C96-Inputs!C234</f>
        <v>-2273</v>
      </c>
      <c r="D97" s="47">
        <f t="shared" si="0"/>
        <v>5569</v>
      </c>
      <c r="E97" s="51">
        <f>E96-Inputs!E234</f>
        <v>14706</v>
      </c>
      <c r="F97" s="47">
        <f t="shared" si="2"/>
        <v>4350</v>
      </c>
      <c r="G97" s="47">
        <f t="shared" si="0"/>
        <v>-4132</v>
      </c>
      <c r="H97" s="52">
        <f t="shared" si="0"/>
        <v>891.1561328630196</v>
      </c>
      <c r="I97" s="17"/>
    </row>
    <row r="98" ht="13.5" customHeight="1">
      <c r="A98" s="1"/>
      <c r="B98" s="17"/>
      <c r="C98" s="20"/>
      <c r="D98" s="20"/>
      <c r="E98" s="20"/>
      <c r="F98" s="20"/>
      <c r="G98" s="20"/>
      <c r="H98" s="55"/>
      <c r="I98" s="17"/>
    </row>
    <row r="99" ht="13.5" customHeight="1">
      <c r="A99" s="1"/>
      <c r="B99" s="14" t="s">
        <v>91</v>
      </c>
      <c r="C99" s="22"/>
      <c r="D99" s="22"/>
      <c r="E99" s="22"/>
      <c r="F99" s="22"/>
      <c r="G99" s="22"/>
      <c r="H99" s="42"/>
      <c r="I99" s="17"/>
    </row>
    <row r="100" ht="13.5" customHeight="1">
      <c r="A100" s="1"/>
      <c r="B100" s="17" t="s">
        <v>367</v>
      </c>
      <c r="C100" s="25">
        <f t="shared" si="9" ref="C100:H100">C50-C79-C94</f>
        <v>-1</v>
      </c>
      <c r="D100" s="25">
        <f t="shared" si="9"/>
        <v>-2</v>
      </c>
      <c r="E100" s="25">
        <f t="shared" si="9"/>
        <v>-2</v>
      </c>
      <c r="F100" s="25">
        <f t="shared" si="9"/>
        <v>1</v>
      </c>
      <c r="G100" s="25">
        <f t="shared" si="9"/>
        <v>-1</v>
      </c>
      <c r="H100" s="56">
        <f t="shared" si="9"/>
        <v>-1</v>
      </c>
      <c r="I100" s="17"/>
    </row>
    <row r="101" ht="40.5" customHeight="1">
      <c r="A101" s="1"/>
      <c r="B101" s="17" t="s">
        <v>368</v>
      </c>
      <c r="C101" s="19" t="b">
        <f t="shared" si="10" ref="C101:G101">ABS(C100)&lt;=3</f>
        <v>1</v>
      </c>
      <c r="D101" s="19" t="b">
        <f t="shared" si="10"/>
        <v>1</v>
      </c>
      <c r="E101" s="19" t="b">
        <f t="shared" si="10"/>
        <v>1</v>
      </c>
      <c r="F101" s="19" t="b">
        <f t="shared" si="10"/>
        <v>1</v>
      </c>
      <c r="G101" s="19" t="b">
        <f t="shared" si="10"/>
        <v>1</v>
      </c>
      <c r="H101" s="57" t="b">
        <f>ABS(H100-G100)&lt;0.001</f>
        <v>1</v>
      </c>
      <c r="I101" s="32" t="s">
        <v>369</v>
      </c>
    </row>
    <row r="102" ht="13.5" customHeight="1">
      <c r="A102" s="1"/>
      <c r="B102" s="43" t="s">
        <v>370</v>
      </c>
      <c r="C102" s="67">
        <v>146312</v>
      </c>
      <c r="D102" s="67">
        <v>151880</v>
      </c>
      <c r="E102" s="47">
        <f t="shared" si="1"/>
        <v>151880</v>
      </c>
      <c r="F102" s="67">
        <v>156229</v>
      </c>
      <c r="G102" s="67">
        <v>152099</v>
      </c>
      <c r="H102" s="52"/>
      <c r="I102" s="17"/>
    </row>
    <row r="103" ht="24.75" customHeight="1">
      <c r="A103" s="1"/>
      <c r="B103" s="58" t="s">
        <v>371</v>
      </c>
      <c r="C103" s="19" t="b">
        <f t="shared" si="11" ref="C103:G103">ABS(C50-C102)&lt;=3</f>
        <v>1</v>
      </c>
      <c r="D103" s="19" t="b">
        <f t="shared" si="11"/>
        <v>1</v>
      </c>
      <c r="E103" s="19" t="b">
        <f t="shared" si="11"/>
        <v>1</v>
      </c>
      <c r="F103" s="19" t="b">
        <f t="shared" si="11"/>
        <v>1</v>
      </c>
      <c r="G103" s="19" t="b">
        <f t="shared" si="11"/>
        <v>1</v>
      </c>
      <c r="H103" s="57"/>
      <c r="I103" s="17"/>
    </row>
    <row r="104" ht="13.5" customHeight="1">
      <c r="A104" s="1"/>
      <c r="B104" s="43" t="s">
        <v>372</v>
      </c>
      <c r="C104" s="67">
        <v>118322</v>
      </c>
      <c r="D104" s="67">
        <v>119139</v>
      </c>
      <c r="E104" s="47">
        <f t="shared" si="1"/>
        <v>119139</v>
      </c>
      <c r="F104" s="67">
        <v>123174</v>
      </c>
      <c r="G104" s="67">
        <v>117558</v>
      </c>
      <c r="H104" s="52"/>
      <c r="I104" s="17"/>
    </row>
    <row r="105" ht="24.75" customHeight="1">
      <c r="A105" s="1"/>
      <c r="B105" s="58" t="s">
        <v>373</v>
      </c>
      <c r="C105" s="19" t="b">
        <f t="shared" si="12" ref="C105:G105">ABS(C79-C104)&lt;=3</f>
        <v>1</v>
      </c>
      <c r="D105" s="19" t="b">
        <f t="shared" si="12"/>
        <v>1</v>
      </c>
      <c r="E105" s="19" t="b">
        <f t="shared" si="12"/>
        <v>1</v>
      </c>
      <c r="F105" s="19" t="b">
        <f t="shared" si="12"/>
        <v>1</v>
      </c>
      <c r="G105" s="19" t="b">
        <f t="shared" si="12"/>
        <v>1</v>
      </c>
      <c r="H105" s="57"/>
      <c r="I105" s="17"/>
    </row>
    <row r="106" ht="13.5" customHeight="1">
      <c r="A106" s="1"/>
      <c r="B106" s="43" t="s">
        <v>374</v>
      </c>
      <c r="C106" s="67">
        <v>27990</v>
      </c>
      <c r="D106" s="67">
        <v>32740</v>
      </c>
      <c r="E106" s="47">
        <f t="shared" si="1"/>
        <v>32740</v>
      </c>
      <c r="F106" s="67">
        <v>33056</v>
      </c>
      <c r="G106" s="67">
        <v>34541</v>
      </c>
      <c r="H106" s="52"/>
      <c r="I106" s="17"/>
    </row>
    <row r="107" ht="24.75" customHeight="1">
      <c r="A107" s="1"/>
      <c r="B107" s="58" t="s">
        <v>375</v>
      </c>
      <c r="C107" s="19" t="b">
        <f t="shared" si="13" ref="C107:G107">ABS(C94-C106)&lt;=3</f>
        <v>1</v>
      </c>
      <c r="D107" s="19" t="b">
        <f t="shared" si="13"/>
        <v>1</v>
      </c>
      <c r="E107" s="19" t="b">
        <f t="shared" si="13"/>
        <v>1</v>
      </c>
      <c r="F107" s="19" t="b">
        <f t="shared" si="13"/>
        <v>1</v>
      </c>
      <c r="G107" s="19" t="b">
        <f t="shared" si="13"/>
        <v>1</v>
      </c>
      <c r="H107" s="57"/>
      <c r="I107" s="17"/>
    </row>
    <row r="108" ht="24.75" customHeight="1">
      <c r="A108" s="1"/>
      <c r="B108" s="17" t="s">
        <v>376</v>
      </c>
      <c r="C108" s="25">
        <f t="shared" si="14" ref="C108:H108">C10+C12</f>
        <v>11599</v>
      </c>
      <c r="D108" s="25">
        <f t="shared" si="14"/>
        <v>13641</v>
      </c>
      <c r="E108" s="25">
        <f t="shared" si="14"/>
        <v>13641</v>
      </c>
      <c r="F108" s="25">
        <f t="shared" si="14"/>
        <v>10864</v>
      </c>
      <c r="G108" s="25">
        <f t="shared" si="14"/>
        <v>7217</v>
      </c>
      <c r="H108" s="56">
        <f t="shared" si="14"/>
        <v>8498.156132863038</v>
      </c>
      <c r="I108" s="17"/>
    </row>
    <row r="109" ht="24.75" customHeight="1">
      <c r="A109" s="1"/>
      <c r="B109" s="17" t="s">
        <v>377</v>
      </c>
      <c r="C109" s="25">
        <f t="shared" si="15" ref="C109:H109">C18+C20+C36</f>
        <v>12159</v>
      </c>
      <c r="D109" s="25">
        <f t="shared" si="15"/>
        <v>16183</v>
      </c>
      <c r="E109" s="25">
        <f t="shared" si="15"/>
        <v>16183</v>
      </c>
      <c r="F109" s="25">
        <f t="shared" si="15"/>
        <v>13524</v>
      </c>
      <c r="G109" s="25">
        <f t="shared" si="15"/>
        <v>13782</v>
      </c>
      <c r="H109" s="56">
        <f t="shared" si="15"/>
        <v>13482</v>
      </c>
      <c r="I109" s="17"/>
    </row>
    <row r="110" ht="13.5" customHeight="1">
      <c r="A110" s="1"/>
      <c r="B110" s="17" t="s">
        <v>378</v>
      </c>
      <c r="C110" s="25">
        <f t="shared" si="16" ref="C110:H110">C55+C69</f>
        <v>63116</v>
      </c>
      <c r="D110" s="25">
        <f t="shared" si="16"/>
        <v>61260</v>
      </c>
      <c r="E110" s="25">
        <f t="shared" si="16"/>
        <v>61260</v>
      </c>
      <c r="F110" s="25">
        <f t="shared" si="16"/>
        <v>66361</v>
      </c>
      <c r="G110" s="25">
        <f t="shared" si="16"/>
        <v>61987</v>
      </c>
      <c r="H110" s="56">
        <f t="shared" si="16"/>
        <v>61987</v>
      </c>
      <c r="I110" s="17"/>
    </row>
    <row r="111" ht="24.75" customHeight="1">
      <c r="A111" s="1"/>
      <c r="B111" s="17" t="s">
        <v>379</v>
      </c>
      <c r="C111" s="25">
        <f t="shared" si="17" ref="C111:H111">C110-C108-C14</f>
        <v>48231</v>
      </c>
      <c r="D111" s="25">
        <f t="shared" si="17"/>
        <v>46789</v>
      </c>
      <c r="E111" s="25">
        <f t="shared" si="17"/>
        <v>46789</v>
      </c>
      <c r="F111" s="25">
        <f t="shared" si="17"/>
        <v>54533</v>
      </c>
      <c r="G111" s="25">
        <f t="shared" si="17"/>
        <v>53810</v>
      </c>
      <c r="H111" s="56">
        <f t="shared" si="17"/>
        <v>52528.843867136966</v>
      </c>
      <c r="I111" s="17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28510B8-5CCA-1945-9D48-6A36CB7E8F94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60.00390625" customWidth="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</row>
    <row r="2" ht="13.5" customHeight="1">
      <c r="A2" s="1"/>
      <c r="B2" s="2" t="s">
        <v>0</v>
      </c>
      <c r="C2" s="1"/>
      <c r="D2" s="1"/>
      <c r="E2" s="1"/>
      <c r="F2" s="1"/>
      <c r="G2" s="1"/>
      <c r="H2" s="1"/>
      <c r="I2" s="1"/>
    </row>
    <row r="3" ht="13.5" customHeight="1">
      <c r="A3" s="1"/>
      <c r="B3" s="3" t="s">
        <v>380</v>
      </c>
      <c r="C3" s="1"/>
      <c r="D3" s="1"/>
      <c r="E3" s="1"/>
      <c r="F3" s="1"/>
      <c r="G3" s="1"/>
      <c r="H3" s="1"/>
      <c r="I3" s="1"/>
    </row>
    <row r="4" ht="13.5" customHeight="1">
      <c r="A4" s="1"/>
      <c r="B4" s="4" t="s">
        <v>2</v>
      </c>
      <c r="C4" s="1"/>
      <c r="D4" s="1"/>
      <c r="E4" s="1"/>
      <c r="F4" s="1"/>
      <c r="G4" s="1"/>
      <c r="H4" s="1"/>
      <c r="I4" s="1"/>
    </row>
    <row r="5" ht="13.5" customHeight="1">
      <c r="A5" s="1"/>
      <c r="B5" s="5" t="s">
        <v>62</v>
      </c>
      <c r="C5" s="6" t="s">
        <v>63</v>
      </c>
      <c r="D5" s="6" t="s">
        <v>64</v>
      </c>
      <c r="E5" s="6" t="s">
        <v>65</v>
      </c>
      <c r="F5" s="6" t="s">
        <v>66</v>
      </c>
      <c r="G5" s="6" t="s">
        <v>67</v>
      </c>
      <c r="H5" s="7" t="s">
        <v>68</v>
      </c>
      <c r="I5" s="5" t="s">
        <v>69</v>
      </c>
    </row>
    <row r="6" ht="13.5" customHeight="1">
      <c r="A6" s="1"/>
      <c r="B6" s="8" t="s">
        <v>70</v>
      </c>
      <c r="C6" s="9">
        <v>45930</v>
      </c>
      <c r="D6" s="9">
        <v>46022</v>
      </c>
      <c r="E6" s="9">
        <v>46022</v>
      </c>
      <c r="F6" s="9">
        <v>46112</v>
      </c>
      <c r="G6" s="9">
        <v>46203</v>
      </c>
      <c r="H6" s="10">
        <v>46295</v>
      </c>
      <c r="I6" s="8"/>
    </row>
    <row r="7" ht="13.5" customHeight="1">
      <c r="A7" s="1"/>
      <c r="B7" s="11" t="s">
        <v>71</v>
      </c>
      <c r="C7" s="12">
        <v>92</v>
      </c>
      <c r="D7" s="12">
        <v>92</v>
      </c>
      <c r="E7" s="12">
        <v>365</v>
      </c>
      <c r="F7" s="12">
        <v>90</v>
      </c>
      <c r="G7" s="12">
        <v>91</v>
      </c>
      <c r="H7" s="13">
        <v>92</v>
      </c>
      <c r="I7" s="11"/>
    </row>
    <row r="8" ht="13.5" customHeight="1">
      <c r="A8" s="1"/>
      <c r="B8" s="1"/>
      <c r="C8" s="1"/>
      <c r="D8" s="1"/>
      <c r="E8" s="1"/>
      <c r="F8" s="1"/>
      <c r="G8" s="1"/>
      <c r="H8" s="41"/>
      <c r="I8" s="1"/>
    </row>
    <row r="9" ht="24.75" customHeight="1">
      <c r="A9" s="1"/>
      <c r="B9" s="14" t="s">
        <v>381</v>
      </c>
      <c r="C9" s="22"/>
      <c r="D9" s="22"/>
      <c r="E9" s="22"/>
      <c r="F9" s="22"/>
      <c r="G9" s="22"/>
      <c r="H9" s="42"/>
      <c r="I9" s="17"/>
    </row>
    <row r="10" ht="13.5" customHeight="1">
      <c r="A10" s="1"/>
      <c r="B10" s="17" t="s">
        <v>250</v>
      </c>
      <c r="C10" s="24">
        <f>'Income Statement'!C57</f>
        <v>1744</v>
      </c>
      <c r="D10" s="24">
        <f>'Income Statement'!D57</f>
        <v>5600</v>
      </c>
      <c r="E10" s="24">
        <f>'Income Statement'!E57</f>
        <v>10593</v>
      </c>
      <c r="F10" s="24">
        <f>'Income Statement'!F57</f>
        <v>1216</v>
      </c>
      <c r="G10" s="24">
        <f>'Income Statement'!G57</f>
        <v>2166</v>
      </c>
      <c r="H10" s="23">
        <f>'Income Statement'!H57</f>
        <v>2084.1501328630375</v>
      </c>
      <c r="I10" s="17"/>
    </row>
    <row r="11" ht="13.5" customHeight="1">
      <c r="A11" s="1"/>
      <c r="B11" s="17" t="s">
        <v>382</v>
      </c>
      <c r="C11" s="45">
        <v>1283</v>
      </c>
      <c r="D11" s="45">
        <v>1297</v>
      </c>
      <c r="E11" s="45">
        <v>5021</v>
      </c>
      <c r="F11" s="25">
        <f t="shared" si="0" ref="F11:H11">F14+F15</f>
        <v>1274</v>
      </c>
      <c r="G11" s="25">
        <f t="shared" si="0"/>
        <v>1350</v>
      </c>
      <c r="H11" s="56">
        <f t="shared" si="0"/>
        <v>1370</v>
      </c>
      <c r="I11" s="17"/>
    </row>
    <row r="12" ht="13.5" customHeight="1">
      <c r="A12" s="1"/>
      <c r="B12" s="60" t="s">
        <v>238</v>
      </c>
      <c r="C12" s="51">
        <f>IF(ISNUMBER(Inputs!C138),C11-Inputs!C138,"n.a.")</f>
        <v>15</v>
      </c>
      <c r="D12" s="51">
        <f>IF(ISNUMBER(Inputs!D138),D11-Inputs!D138,"n.a.")</f>
        <v>185</v>
      </c>
      <c r="E12" s="51">
        <f>IF(ISNUMBER(Inputs!E138),E11-Inputs!E138,"n.a.")</f>
        <v>354</v>
      </c>
      <c r="F12" s="51">
        <f>IF(ISNUMBER(Inputs!F138),F11-Inputs!F138,"n.a.")</f>
        <v>97</v>
      </c>
      <c r="G12" s="51">
        <f>IF(ISNUMBER(Inputs!G138),G11-Inputs!G138,"n.a.")</f>
        <v>85</v>
      </c>
      <c r="H12" s="52">
        <f t="shared" si="2" ref="H12:H61">H11-C11</f>
        <v>87</v>
      </c>
      <c r="I12" s="17"/>
    </row>
    <row r="13" ht="13.5" customHeight="1">
      <c r="A13" s="1"/>
      <c r="B13" s="60" t="s">
        <v>85</v>
      </c>
      <c r="C13" s="51">
        <f>IF(ISNUMBER(Inputs!G138),C11-Inputs!G138,"n.a.")</f>
        <v>18</v>
      </c>
      <c r="D13" s="47">
        <f t="shared" si="1" ref="D13:H91">D11-C11</f>
        <v>14</v>
      </c>
      <c r="E13" s="47" t="s">
        <v>38</v>
      </c>
      <c r="F13" s="47">
        <f t="shared" si="3" ref="F13:F91">F11-D11</f>
        <v>-23</v>
      </c>
      <c r="G13" s="47">
        <f t="shared" si="1"/>
        <v>76</v>
      </c>
      <c r="H13" s="52">
        <f t="shared" si="1"/>
        <v>20</v>
      </c>
      <c r="I13" s="17"/>
    </row>
    <row r="14" ht="24.75" customHeight="1">
      <c r="A14" s="1"/>
      <c r="B14" s="58" t="s">
        <v>383</v>
      </c>
      <c r="C14" s="25" t="s">
        <v>38</v>
      </c>
      <c r="D14" s="25" t="s">
        <v>38</v>
      </c>
      <c r="E14" s="25" t="s">
        <v>38</v>
      </c>
      <c r="F14" s="45">
        <v>555</v>
      </c>
      <c r="G14" s="45">
        <v>533</v>
      </c>
      <c r="H14" s="46">
        <v>540</v>
      </c>
      <c r="I14" s="32" t="s">
        <v>384</v>
      </c>
    </row>
    <row r="15" ht="24.75" customHeight="1">
      <c r="A15" s="1"/>
      <c r="B15" s="58" t="s">
        <v>385</v>
      </c>
      <c r="C15" s="25" t="s">
        <v>38</v>
      </c>
      <c r="D15" s="25" t="s">
        <v>38</v>
      </c>
      <c r="E15" s="25" t="s">
        <v>38</v>
      </c>
      <c r="F15" s="45">
        <v>719</v>
      </c>
      <c r="G15" s="45">
        <v>817</v>
      </c>
      <c r="H15" s="46">
        <v>830</v>
      </c>
      <c r="I15" s="32" t="s">
        <v>386</v>
      </c>
    </row>
    <row r="16" ht="13.5" customHeight="1">
      <c r="A16" s="1"/>
      <c r="B16" s="17" t="s">
        <v>387</v>
      </c>
      <c r="C16" s="45">
        <v>444</v>
      </c>
      <c r="D16" s="45">
        <v>430</v>
      </c>
      <c r="E16" s="45">
        <v>1715</v>
      </c>
      <c r="F16" s="45">
        <v>506</v>
      </c>
      <c r="G16" s="45">
        <v>498</v>
      </c>
      <c r="H16" s="46">
        <v>500</v>
      </c>
      <c r="I16" s="17"/>
    </row>
    <row r="17" ht="13.5" customHeight="1">
      <c r="A17" s="1"/>
      <c r="B17" s="60" t="s">
        <v>238</v>
      </c>
      <c r="C17" s="51">
        <f>IF(ISNUMBER(Inputs!C142),C16-Inputs!C142,"n.a.")</f>
        <v>114</v>
      </c>
      <c r="D17" s="51">
        <f>IF(ISNUMBER(Inputs!D142),D16-Inputs!D142,"n.a.")</f>
        <v>85</v>
      </c>
      <c r="E17" s="51">
        <f>IF(ISNUMBER(Inputs!E142),E16-Inputs!E142,"n.a.")</f>
        <v>404</v>
      </c>
      <c r="F17" s="51">
        <f>IF(ISNUMBER(Inputs!F142),F16-Inputs!F142,"n.a.")</f>
        <v>105</v>
      </c>
      <c r="G17" s="51">
        <f>IF(ISNUMBER(Inputs!G142),G16-Inputs!G142,"n.a.")</f>
        <v>57</v>
      </c>
      <c r="H17" s="52">
        <f t="shared" si="2"/>
        <v>56</v>
      </c>
      <c r="I17" s="17"/>
    </row>
    <row r="18" ht="13.5" customHeight="1">
      <c r="A18" s="1"/>
      <c r="B18" s="60" t="s">
        <v>85</v>
      </c>
      <c r="C18" s="51">
        <f>IF(ISNUMBER(Inputs!G142),C16-Inputs!G142,"n.a.")</f>
        <v>3</v>
      </c>
      <c r="D18" s="47">
        <f t="shared" si="1"/>
        <v>-14</v>
      </c>
      <c r="E18" s="47" t="s">
        <v>38</v>
      </c>
      <c r="F18" s="47">
        <f t="shared" si="3"/>
        <v>76</v>
      </c>
      <c r="G18" s="47">
        <f t="shared" si="1"/>
        <v>-8</v>
      </c>
      <c r="H18" s="52">
        <f t="shared" si="1"/>
        <v>2</v>
      </c>
      <c r="I18" s="17"/>
    </row>
    <row r="19" ht="24.75" customHeight="1">
      <c r="A19" s="1"/>
      <c r="B19" s="17" t="s">
        <v>388</v>
      </c>
      <c r="C19" s="45">
        <v>298</v>
      </c>
      <c r="D19" s="45">
        <v>-4063</v>
      </c>
      <c r="E19" s="45">
        <v>-3159</v>
      </c>
      <c r="F19" s="45">
        <v>2565</v>
      </c>
      <c r="G19" s="45">
        <v>-302</v>
      </c>
      <c r="H19" s="46">
        <v>300</v>
      </c>
      <c r="I19" s="32" t="s">
        <v>389</v>
      </c>
    </row>
    <row r="20" ht="13.5" customHeight="1">
      <c r="A20" s="1"/>
      <c r="B20" s="60" t="s">
        <v>238</v>
      </c>
      <c r="C20" s="51">
        <f>IF(ISNUMBER(Inputs!C143),C19-Inputs!C143,"n.a.")</f>
        <v>-575</v>
      </c>
      <c r="D20" s="51">
        <f>IF(ISNUMBER(Inputs!D143),D19-Inputs!D143,"n.a.")</f>
        <v>-1808</v>
      </c>
      <c r="E20" s="51">
        <f>IF(ISNUMBER(Inputs!E143),E19-Inputs!E143,"n.a.")</f>
        <v>-2728</v>
      </c>
      <c r="F20" s="51">
        <f>IF(ISNUMBER(Inputs!F143),F19-Inputs!F143,"n.a.")</f>
        <v>478</v>
      </c>
      <c r="G20" s="51">
        <f>IF(ISNUMBER(Inputs!G143),G19-Inputs!G143,"n.a.")</f>
        <v>1178</v>
      </c>
      <c r="H20" s="52">
        <f t="shared" si="2"/>
        <v>2</v>
      </c>
      <c r="I20" s="17"/>
    </row>
    <row r="21" ht="13.5" customHeight="1">
      <c r="A21" s="1"/>
      <c r="B21" s="60" t="s">
        <v>85</v>
      </c>
      <c r="C21" s="51">
        <f>IF(ISNUMBER(Inputs!G143),C19-Inputs!G143,"n.a.")</f>
        <v>1778</v>
      </c>
      <c r="D21" s="47">
        <f t="shared" si="1"/>
        <v>-4361</v>
      </c>
      <c r="E21" s="47" t="s">
        <v>38</v>
      </c>
      <c r="F21" s="47">
        <f t="shared" si="3"/>
        <v>6628</v>
      </c>
      <c r="G21" s="47">
        <f t="shared" si="1"/>
        <v>-2867</v>
      </c>
      <c r="H21" s="52">
        <f t="shared" si="1"/>
        <v>602</v>
      </c>
      <c r="I21" s="17"/>
    </row>
    <row r="22" ht="24.75" customHeight="1">
      <c r="A22" s="1"/>
      <c r="B22" s="17" t="s">
        <v>390</v>
      </c>
      <c r="C22" s="25">
        <f t="shared" si="4" ref="C22:G22">C25-C10-C11-C16-C19</f>
        <v>-688</v>
      </c>
      <c r="D22" s="25">
        <f t="shared" si="4"/>
        <v>776</v>
      </c>
      <c r="E22" s="25">
        <f t="shared" si="4"/>
        <v>-977</v>
      </c>
      <c r="F22" s="25">
        <f t="shared" si="4"/>
        <v>-392</v>
      </c>
      <c r="G22" s="25">
        <f t="shared" si="4"/>
        <v>-1115</v>
      </c>
      <c r="H22" s="46">
        <v>-600</v>
      </c>
      <c r="I22" s="32" t="s">
        <v>391</v>
      </c>
    </row>
    <row r="23" ht="13.5" customHeight="1">
      <c r="A23" s="1"/>
      <c r="B23" s="60" t="s">
        <v>238</v>
      </c>
      <c r="C23" s="51">
        <f>IF(ISNUMBER(Inputs!C179),C22-Inputs!C179,"n.a.")</f>
        <v>-1428</v>
      </c>
      <c r="D23" s="51">
        <f>IF(ISNUMBER(Inputs!D179),D22-Inputs!D179,"n.a.")</f>
        <v>-1437</v>
      </c>
      <c r="E23" s="51">
        <f>IF(ISNUMBER(Inputs!E179),E22-Inputs!E179,"n.a.")</f>
        <v>-2852</v>
      </c>
      <c r="F23" s="51">
        <f>IF(ISNUMBER(Inputs!F179),F22-Inputs!F179,"n.a.")</f>
        <v>-42</v>
      </c>
      <c r="G23" s="51">
        <f>IF(ISNUMBER(Inputs!G179),G22-Inputs!G179,"n.a.")</f>
        <v>-396</v>
      </c>
      <c r="H23" s="52">
        <f t="shared" si="2"/>
        <v>88</v>
      </c>
      <c r="I23" s="17"/>
    </row>
    <row r="24" ht="13.5" customHeight="1">
      <c r="A24" s="1"/>
      <c r="B24" s="60" t="s">
        <v>85</v>
      </c>
      <c r="C24" s="51">
        <f>IF(ISNUMBER(Inputs!G179),C22-Inputs!G179,"n.a.")</f>
        <v>31</v>
      </c>
      <c r="D24" s="47">
        <f t="shared" si="1"/>
        <v>1464</v>
      </c>
      <c r="E24" s="47" t="s">
        <v>38</v>
      </c>
      <c r="F24" s="47">
        <f t="shared" si="3"/>
        <v>-1168</v>
      </c>
      <c r="G24" s="47">
        <f t="shared" si="1"/>
        <v>-723</v>
      </c>
      <c r="H24" s="52">
        <f t="shared" si="1"/>
        <v>515</v>
      </c>
      <c r="I24" s="17"/>
    </row>
    <row r="25" ht="24.75" customHeight="1">
      <c r="A25" s="1"/>
      <c r="B25" s="14" t="s">
        <v>392</v>
      </c>
      <c r="C25" s="59">
        <v>3081</v>
      </c>
      <c r="D25" s="59">
        <v>4040</v>
      </c>
      <c r="E25" s="59">
        <v>13193</v>
      </c>
      <c r="F25" s="59">
        <v>5169</v>
      </c>
      <c r="G25" s="59">
        <v>2597</v>
      </c>
      <c r="H25" s="50">
        <f>H10+H11+H16+H19+H22</f>
        <v>3654.1501328630375</v>
      </c>
      <c r="I25" s="17"/>
    </row>
    <row r="26" ht="13.5" customHeight="1">
      <c r="A26" s="1"/>
      <c r="B26" s="60" t="s">
        <v>238</v>
      </c>
      <c r="C26" s="51">
        <f>IF(ISNUMBER(Inputs!C175),C25-Inputs!C175,"n.a.")</f>
        <v>200</v>
      </c>
      <c r="D26" s="51">
        <f>IF(ISNUMBER(Inputs!D175),D25-Inputs!D175,"n.a.")</f>
        <v>-290</v>
      </c>
      <c r="E26" s="51">
        <f>IF(ISNUMBER(Inputs!E175),E25-Inputs!E175,"n.a.")</f>
        <v>-252</v>
      </c>
      <c r="F26" s="51">
        <f>IF(ISNUMBER(Inputs!F175),F25-Inputs!F175,"n.a.")</f>
        <v>799</v>
      </c>
      <c r="G26" s="51">
        <f>IF(ISNUMBER(Inputs!G175),G25-Inputs!G175,"n.a.")</f>
        <v>896</v>
      </c>
      <c r="H26" s="52">
        <f t="shared" si="2"/>
        <v>573.1501328630375</v>
      </c>
      <c r="I26" s="17"/>
    </row>
    <row r="27" ht="13.5" customHeight="1">
      <c r="A27" s="1"/>
      <c r="B27" s="60" t="s">
        <v>85</v>
      </c>
      <c r="C27" s="51">
        <f>IF(ISNUMBER(Inputs!G175),C25-Inputs!G175,"n.a.")</f>
        <v>1380</v>
      </c>
      <c r="D27" s="47">
        <f t="shared" si="1"/>
        <v>959</v>
      </c>
      <c r="E27" s="47" t="s">
        <v>38</v>
      </c>
      <c r="F27" s="47">
        <f t="shared" si="3"/>
        <v>1129</v>
      </c>
      <c r="G27" s="47">
        <f t="shared" si="1"/>
        <v>-2572</v>
      </c>
      <c r="H27" s="52">
        <f t="shared" si="1"/>
        <v>1057.1501328630375</v>
      </c>
      <c r="I27" s="17"/>
    </row>
    <row r="28" ht="13.5" customHeight="1">
      <c r="A28" s="1"/>
      <c r="B28" s="43" t="s">
        <v>74</v>
      </c>
      <c r="C28" s="38">
        <f>_xlfn.IFERROR(C25/Inputs!C175-1,"n.a.")</f>
        <v>0.0694203401596667</v>
      </c>
      <c r="D28" s="38">
        <f>_xlfn.IFERROR(D25/Inputs!D175-1,"n.a.")</f>
        <v>-0.06697459584295617</v>
      </c>
      <c r="E28" s="38">
        <f>_xlfn.IFERROR(E25/Inputs!E175-1,"n.a.")</f>
        <v>-0.018743027147638536</v>
      </c>
      <c r="F28" s="38">
        <f>_xlfn.IFERROR(F25/Inputs!F175-1,"n.a.")</f>
        <v>0.18283752860411906</v>
      </c>
      <c r="G28" s="38">
        <f>_xlfn.IFERROR(G25/Inputs!G175-1,"n.a.")</f>
        <v>0.5267489711934157</v>
      </c>
      <c r="H28" s="44">
        <f>_xlfn.IFERROR(H25/C25-1,"n.a.")</f>
        <v>0.18602730699871395</v>
      </c>
      <c r="I28" s="17"/>
    </row>
    <row r="29" ht="13.5" customHeight="1">
      <c r="A29" s="1"/>
      <c r="B29" s="14" t="s">
        <v>393</v>
      </c>
      <c r="C29" s="22"/>
      <c r="D29" s="22"/>
      <c r="E29" s="22"/>
      <c r="F29" s="22"/>
      <c r="G29" s="22"/>
      <c r="H29" s="42"/>
      <c r="I29" s="17"/>
    </row>
    <row r="30" ht="24.75" customHeight="1">
      <c r="A30" s="1"/>
      <c r="B30" s="17" t="s">
        <v>394</v>
      </c>
      <c r="C30" s="45">
        <v>-410</v>
      </c>
      <c r="D30" s="45">
        <v>-550</v>
      </c>
      <c r="E30" s="45">
        <v>-1617</v>
      </c>
      <c r="F30" s="45">
        <v>-384</v>
      </c>
      <c r="G30" s="45">
        <v>-359</v>
      </c>
      <c r="H30" s="46">
        <v>-430</v>
      </c>
      <c r="I30" s="32" t="s">
        <v>395</v>
      </c>
    </row>
    <row r="31" ht="13.5" customHeight="1">
      <c r="A31" s="1"/>
      <c r="B31" s="60" t="s">
        <v>238</v>
      </c>
      <c r="C31" s="51">
        <f>IF(ISNUMBER(Inputs!C144),C30-Inputs!C144,"n.a.")</f>
        <v>-465</v>
      </c>
      <c r="D31" s="51">
        <f>IF(ISNUMBER(Inputs!D144),D30-Inputs!D144,"n.a.")</f>
        <v>-128</v>
      </c>
      <c r="E31" s="51">
        <f>IF(ISNUMBER(Inputs!E144),E30-Inputs!E144,"n.a.")</f>
        <v>-490</v>
      </c>
      <c r="F31" s="51">
        <f>IF(ISNUMBER(Inputs!F144),F30-Inputs!F144,"n.a.")</f>
        <v>-63</v>
      </c>
      <c r="G31" s="51">
        <f>IF(ISNUMBER(Inputs!G144),G30-Inputs!G144,"n.a.")</f>
        <v>-23</v>
      </c>
      <c r="H31" s="52">
        <f t="shared" si="2"/>
        <v>-20</v>
      </c>
      <c r="I31" s="17"/>
    </row>
    <row r="32" ht="13.5" customHeight="1">
      <c r="A32" s="1"/>
      <c r="B32" s="60" t="s">
        <v>85</v>
      </c>
      <c r="C32" s="51">
        <f>IF(ISNUMBER(Inputs!G144),C30-Inputs!G144,"n.a.")</f>
        <v>-74</v>
      </c>
      <c r="D32" s="47">
        <f t="shared" si="1"/>
        <v>-140</v>
      </c>
      <c r="E32" s="47" t="s">
        <v>38</v>
      </c>
      <c r="F32" s="47">
        <f t="shared" si="3"/>
        <v>166</v>
      </c>
      <c r="G32" s="47">
        <f t="shared" si="1"/>
        <v>25</v>
      </c>
      <c r="H32" s="52">
        <f t="shared" si="1"/>
        <v>-71</v>
      </c>
      <c r="I32" s="17"/>
    </row>
    <row r="33" ht="24.75" customHeight="1">
      <c r="A33" s="1"/>
      <c r="B33" s="17" t="s">
        <v>396</v>
      </c>
      <c r="C33" s="45">
        <v>-58</v>
      </c>
      <c r="D33" s="45">
        <v>-391</v>
      </c>
      <c r="E33" s="45">
        <v>-8294</v>
      </c>
      <c r="F33" s="45">
        <v>-10465</v>
      </c>
      <c r="G33" s="45">
        <v>-15</v>
      </c>
      <c r="H33" s="46">
        <v>-250</v>
      </c>
      <c r="I33" s="32" t="s">
        <v>397</v>
      </c>
    </row>
    <row r="34" ht="13.5" customHeight="1">
      <c r="A34" s="1"/>
      <c r="B34" s="60" t="s">
        <v>238</v>
      </c>
      <c r="C34" s="51">
        <f>IF(ISNUMBER(Inputs!C145),C33-Inputs!C145,"n.a.")</f>
        <v>2455</v>
      </c>
      <c r="D34" s="51">
        <f>IF(ISNUMBER(Inputs!D145),D33-Inputs!D145,"n.a.")</f>
        <v>150</v>
      </c>
      <c r="E34" s="51">
        <f>IF(ISNUMBER(Inputs!E145),E33-Inputs!E145,"n.a.")</f>
        <v>-5005</v>
      </c>
      <c r="F34" s="51">
        <f>IF(ISNUMBER(Inputs!F145),F33-Inputs!F145,"n.a.")</f>
        <v>-3367</v>
      </c>
      <c r="G34" s="51">
        <f>IF(ISNUMBER(Inputs!G145),G33-Inputs!G145,"n.a.")</f>
        <v>732</v>
      </c>
      <c r="H34" s="52">
        <f t="shared" si="2"/>
        <v>-192</v>
      </c>
      <c r="I34" s="17"/>
    </row>
    <row r="35" ht="13.5" customHeight="1">
      <c r="A35" s="1"/>
      <c r="B35" s="60" t="s">
        <v>85</v>
      </c>
      <c r="C35" s="51">
        <f>IF(ISNUMBER(Inputs!G145),C33-Inputs!G145,"n.a.")</f>
        <v>689</v>
      </c>
      <c r="D35" s="47">
        <f t="shared" si="1"/>
        <v>-333</v>
      </c>
      <c r="E35" s="47" t="s">
        <v>38</v>
      </c>
      <c r="F35" s="47">
        <f t="shared" si="3"/>
        <v>-10074</v>
      </c>
      <c r="G35" s="47">
        <f t="shared" si="1"/>
        <v>10450</v>
      </c>
      <c r="H35" s="52">
        <f t="shared" si="1"/>
        <v>-235</v>
      </c>
      <c r="I35" s="17"/>
    </row>
    <row r="36" ht="13.5" customHeight="1">
      <c r="A36" s="1"/>
      <c r="B36" s="17" t="s">
        <v>398</v>
      </c>
      <c r="C36" s="45">
        <v>0</v>
      </c>
      <c r="D36" s="45">
        <v>0</v>
      </c>
      <c r="E36" s="45">
        <v>-1</v>
      </c>
      <c r="F36" s="45">
        <v>1</v>
      </c>
      <c r="G36" s="45">
        <v>0</v>
      </c>
      <c r="H36" s="46">
        <v>0</v>
      </c>
      <c r="I36" s="17"/>
    </row>
    <row r="37" ht="24.75" customHeight="1">
      <c r="A37" s="1"/>
      <c r="B37" s="17" t="s">
        <v>399</v>
      </c>
      <c r="C37" s="25">
        <f t="shared" si="5" ref="C37:G37">C38-C30-C33-C36</f>
        <v>31</v>
      </c>
      <c r="D37" s="25">
        <f t="shared" si="5"/>
        <v>2358</v>
      </c>
      <c r="E37" s="25">
        <f t="shared" si="5"/>
        <v>-390</v>
      </c>
      <c r="F37" s="25">
        <f t="shared" si="5"/>
        <v>359</v>
      </c>
      <c r="G37" s="25">
        <f t="shared" si="5"/>
        <v>-107</v>
      </c>
      <c r="H37" s="46">
        <v>0</v>
      </c>
      <c r="I37" s="32" t="s">
        <v>400</v>
      </c>
    </row>
    <row r="38" ht="24.75" customHeight="1">
      <c r="A38" s="1"/>
      <c r="B38" s="14" t="s">
        <v>401</v>
      </c>
      <c r="C38" s="59">
        <v>-437</v>
      </c>
      <c r="D38" s="59">
        <v>1417</v>
      </c>
      <c r="E38" s="59">
        <v>-10302</v>
      </c>
      <c r="F38" s="59">
        <v>-10489</v>
      </c>
      <c r="G38" s="59">
        <v>-481</v>
      </c>
      <c r="H38" s="50">
        <f>H30+H33+H36+H37</f>
        <v>-680</v>
      </c>
      <c r="I38" s="17"/>
    </row>
    <row r="39" ht="13.5" customHeight="1">
      <c r="A39" s="1"/>
      <c r="B39" s="60" t="s">
        <v>238</v>
      </c>
      <c r="C39" s="51">
        <f>IF(ISNUMBER(Inputs!C146),C38-Inputs!C146,"n.a.")</f>
        <v>1150</v>
      </c>
      <c r="D39" s="51">
        <f>IF(ISNUMBER(Inputs!D146),D38-Inputs!D146,"n.a.")</f>
        <v>2796</v>
      </c>
      <c r="E39" s="51">
        <f>IF(ISNUMBER(Inputs!E146),E38-Inputs!E146,"n.a.")</f>
        <v>-5365</v>
      </c>
      <c r="F39" s="51">
        <f>IF(ISNUMBER(Inputs!F146),F38-Inputs!F146,"n.a.")</f>
        <v>2490</v>
      </c>
      <c r="G39" s="51">
        <f>IF(ISNUMBER(Inputs!G146),G38-Inputs!G146,"n.a.")</f>
        <v>-2179</v>
      </c>
      <c r="H39" s="52">
        <f t="shared" si="2"/>
        <v>-243</v>
      </c>
      <c r="I39" s="17"/>
    </row>
    <row r="40" ht="13.5" customHeight="1">
      <c r="A40" s="1"/>
      <c r="B40" s="60" t="s">
        <v>85</v>
      </c>
      <c r="C40" s="51">
        <f>IF(ISNUMBER(Inputs!G146),C38-Inputs!G146,"n.a.")</f>
        <v>-2135</v>
      </c>
      <c r="D40" s="47">
        <f t="shared" si="1"/>
        <v>1854</v>
      </c>
      <c r="E40" s="47" t="s">
        <v>38</v>
      </c>
      <c r="F40" s="47">
        <f t="shared" si="3"/>
        <v>-11906</v>
      </c>
      <c r="G40" s="47">
        <f t="shared" si="1"/>
        <v>10008</v>
      </c>
      <c r="H40" s="52">
        <f t="shared" si="1"/>
        <v>-199</v>
      </c>
      <c r="I40" s="17"/>
    </row>
    <row r="41" ht="13.5" customHeight="1">
      <c r="A41" s="1"/>
      <c r="B41" s="14" t="s">
        <v>402</v>
      </c>
      <c r="C41" s="22"/>
      <c r="D41" s="22"/>
      <c r="E41" s="22"/>
      <c r="F41" s="22"/>
      <c r="G41" s="22"/>
      <c r="H41" s="42"/>
      <c r="I41" s="17"/>
    </row>
    <row r="42" ht="13.5" customHeight="1">
      <c r="A42" s="1"/>
      <c r="B42" s="58" t="s">
        <v>403</v>
      </c>
      <c r="C42" s="25" t="s">
        <v>38</v>
      </c>
      <c r="D42" s="25" t="s">
        <v>38</v>
      </c>
      <c r="E42" s="25" t="s">
        <v>38</v>
      </c>
      <c r="F42" s="45">
        <v>7437</v>
      </c>
      <c r="G42" s="45">
        <v>0</v>
      </c>
      <c r="H42" s="56" t="s">
        <v>38</v>
      </c>
      <c r="I42" s="17"/>
    </row>
    <row r="43" ht="13.5" customHeight="1">
      <c r="A43" s="1"/>
      <c r="B43" s="58" t="s">
        <v>404</v>
      </c>
      <c r="C43" s="25" t="s">
        <v>38</v>
      </c>
      <c r="D43" s="25" t="s">
        <v>38</v>
      </c>
      <c r="E43" s="25" t="s">
        <v>38</v>
      </c>
      <c r="F43" s="45">
        <v>-2928</v>
      </c>
      <c r="G43" s="45">
        <v>-4213</v>
      </c>
      <c r="H43" s="56" t="s">
        <v>38</v>
      </c>
      <c r="I43" s="17"/>
    </row>
    <row r="44" ht="24.75" customHeight="1">
      <c r="A44" s="1"/>
      <c r="B44" s="58" t="s">
        <v>405</v>
      </c>
      <c r="C44" s="25" t="s">
        <v>38</v>
      </c>
      <c r="D44" s="25" t="s">
        <v>38</v>
      </c>
      <c r="E44" s="25" t="s">
        <v>38</v>
      </c>
      <c r="F44" s="45">
        <v>0</v>
      </c>
      <c r="G44" s="45">
        <v>1</v>
      </c>
      <c r="H44" s="56" t="s">
        <v>38</v>
      </c>
      <c r="I44" s="17"/>
    </row>
    <row r="45" ht="13.5" customHeight="1">
      <c r="A45" s="1"/>
      <c r="B45" s="17" t="s">
        <v>406</v>
      </c>
      <c r="C45" s="45">
        <v>-1108</v>
      </c>
      <c r="D45" s="45">
        <v>-1810</v>
      </c>
      <c r="E45" s="45">
        <v>2873</v>
      </c>
      <c r="F45" s="25">
        <f t="shared" si="6" ref="F45:G45">F42+F43+F44</f>
        <v>4509</v>
      </c>
      <c r="G45" s="25">
        <f t="shared" si="6"/>
        <v>-4212</v>
      </c>
      <c r="H45" s="46">
        <v>0</v>
      </c>
      <c r="I45" s="32" t="s">
        <v>407</v>
      </c>
    </row>
    <row r="46" ht="13.5" customHeight="1">
      <c r="A46" s="1"/>
      <c r="B46" s="60" t="s">
        <v>238</v>
      </c>
      <c r="C46" s="51">
        <f>IF(ISNUMBER(Inputs!C147),C45-Inputs!C147,"n.a.")</f>
        <v>151</v>
      </c>
      <c r="D46" s="51">
        <f>IF(ISNUMBER(Inputs!D147),D45-Inputs!D147,"n.a.")</f>
        <v>-1707</v>
      </c>
      <c r="E46" s="51">
        <f>IF(ISNUMBER(Inputs!E147),E45-Inputs!E147,"n.a.")</f>
        <v>3753</v>
      </c>
      <c r="F46" s="51">
        <f>IF(ISNUMBER(Inputs!F147),F45-Inputs!F147,"n.a.")</f>
        <v>-2583</v>
      </c>
      <c r="G46" s="51">
        <f>IF(ISNUMBER(Inputs!G147),G45-Inputs!G147,"n.a.")</f>
        <v>-2911</v>
      </c>
      <c r="H46" s="52">
        <f t="shared" si="2"/>
        <v>1108</v>
      </c>
      <c r="I46" s="17"/>
    </row>
    <row r="47" ht="13.5" customHeight="1">
      <c r="A47" s="1"/>
      <c r="B47" s="60" t="s">
        <v>85</v>
      </c>
      <c r="C47" s="51">
        <f>IF(ISNUMBER(Inputs!G147),C45-Inputs!G147,"n.a.")</f>
        <v>193</v>
      </c>
      <c r="D47" s="47">
        <f t="shared" si="1"/>
        <v>-702</v>
      </c>
      <c r="E47" s="47" t="s">
        <v>38</v>
      </c>
      <c r="F47" s="47">
        <f t="shared" si="3"/>
        <v>6319</v>
      </c>
      <c r="G47" s="47">
        <f t="shared" si="1"/>
        <v>-8721</v>
      </c>
      <c r="H47" s="52">
        <f t="shared" si="1"/>
        <v>4212</v>
      </c>
      <c r="I47" s="17"/>
    </row>
    <row r="48" ht="13.5" customHeight="1">
      <c r="A48" s="1"/>
      <c r="B48" s="17" t="s">
        <v>408</v>
      </c>
      <c r="C48" s="45">
        <v>-1569</v>
      </c>
      <c r="D48" s="45">
        <v>-1573</v>
      </c>
      <c r="E48" s="45">
        <v>-6255</v>
      </c>
      <c r="F48" s="45">
        <v>-1576</v>
      </c>
      <c r="G48" s="45">
        <v>-1590</v>
      </c>
      <c r="H48" s="23">
        <f>-'Share Count'!H25*'Share Count'!H13</f>
        <v>-1592.994</v>
      </c>
      <c r="I48" s="17"/>
    </row>
    <row r="49" ht="13.5" customHeight="1">
      <c r="A49" s="1"/>
      <c r="B49" s="60" t="s">
        <v>238</v>
      </c>
      <c r="C49" s="51">
        <f>IF(ISNUMBER(Inputs!C148),C48-Inputs!C148,"n.a.")</f>
        <v>-27</v>
      </c>
      <c r="D49" s="51">
        <f>IF(ISNUMBER(Inputs!D148),D48-Inputs!D148,"n.a.")</f>
        <v>-27</v>
      </c>
      <c r="E49" s="51">
        <f>IF(ISNUMBER(Inputs!E148),E48-Inputs!E148,"n.a.")</f>
        <v>-108</v>
      </c>
      <c r="F49" s="51">
        <f>IF(ISNUMBER(Inputs!F148),F48-Inputs!F148,"n.a.")</f>
        <v>-27</v>
      </c>
      <c r="G49" s="51">
        <f>IF(ISNUMBER(Inputs!G148),G48-Inputs!G148,"n.a.")</f>
        <v>-27</v>
      </c>
      <c r="H49" s="52">
        <f t="shared" si="2"/>
        <v>-23.993999999999915</v>
      </c>
      <c r="I49" s="17"/>
    </row>
    <row r="50" ht="13.5" customHeight="1">
      <c r="A50" s="1"/>
      <c r="B50" s="60" t="s">
        <v>85</v>
      </c>
      <c r="C50" s="51">
        <f>IF(ISNUMBER(Inputs!G148),C48-Inputs!G148,"n.a.")</f>
        <v>-6</v>
      </c>
      <c r="D50" s="47">
        <f t="shared" si="1"/>
        <v>-4</v>
      </c>
      <c r="E50" s="47" t="s">
        <v>38</v>
      </c>
      <c r="F50" s="47">
        <f t="shared" si="3"/>
        <v>-3</v>
      </c>
      <c r="G50" s="47">
        <f t="shared" si="1"/>
        <v>-14</v>
      </c>
      <c r="H50" s="52">
        <f t="shared" si="1"/>
        <v>-2.9939999999999145</v>
      </c>
      <c r="I50" s="17"/>
    </row>
    <row r="51" ht="24.75" customHeight="1">
      <c r="A51" s="1"/>
      <c r="B51" s="17" t="s">
        <v>409</v>
      </c>
      <c r="C51" s="25">
        <f t="shared" si="7" ref="C51:G51">C54-C45-C48</f>
        <v>-335</v>
      </c>
      <c r="D51" s="25">
        <f t="shared" si="7"/>
        <v>-23</v>
      </c>
      <c r="E51" s="25">
        <f t="shared" si="7"/>
        <v>-447</v>
      </c>
      <c r="F51" s="25">
        <f t="shared" si="7"/>
        <v>-214</v>
      </c>
      <c r="G51" s="25">
        <f t="shared" si="7"/>
        <v>74</v>
      </c>
      <c r="H51" s="46">
        <v>-50</v>
      </c>
      <c r="I51" s="32" t="s">
        <v>410</v>
      </c>
    </row>
    <row r="52" ht="13.5" customHeight="1">
      <c r="A52" s="1"/>
      <c r="B52" s="60" t="s">
        <v>238</v>
      </c>
      <c r="C52" s="51">
        <f>IF(ISNUMBER(Inputs!C180),C51-Inputs!C180,"n.a.")</f>
        <v>-370</v>
      </c>
      <c r="D52" s="51">
        <f>IF(ISNUMBER(Inputs!D180),D51-Inputs!D180,"n.a.")</f>
        <v>3</v>
      </c>
      <c r="E52" s="51">
        <f>IF(ISNUMBER(Inputs!E180),E51-Inputs!E180,"n.a.")</f>
        <v>-395</v>
      </c>
      <c r="F52" s="51">
        <f>IF(ISNUMBER(Inputs!F180),F51-Inputs!F180,"n.a.")</f>
        <v>-114</v>
      </c>
      <c r="G52" s="51">
        <f>IF(ISNUMBER(Inputs!G180),G51-Inputs!G180,"n.a.")</f>
        <v>65</v>
      </c>
      <c r="H52" s="52">
        <f t="shared" si="2"/>
        <v>285</v>
      </c>
      <c r="I52" s="17"/>
    </row>
    <row r="53" ht="13.5" customHeight="1">
      <c r="A53" s="1"/>
      <c r="B53" s="60" t="s">
        <v>85</v>
      </c>
      <c r="C53" s="51">
        <f>IF(ISNUMBER(Inputs!G180),C51-Inputs!G180,"n.a.")</f>
        <v>-344</v>
      </c>
      <c r="D53" s="47">
        <f t="shared" si="1"/>
        <v>312</v>
      </c>
      <c r="E53" s="47" t="s">
        <v>38</v>
      </c>
      <c r="F53" s="47">
        <f t="shared" si="3"/>
        <v>-191</v>
      </c>
      <c r="G53" s="47">
        <f t="shared" si="1"/>
        <v>288</v>
      </c>
      <c r="H53" s="52">
        <f t="shared" si="1"/>
        <v>-124</v>
      </c>
      <c r="I53" s="17"/>
    </row>
    <row r="54" ht="24.75" customHeight="1">
      <c r="A54" s="1"/>
      <c r="B54" s="14" t="s">
        <v>411</v>
      </c>
      <c r="C54" s="59">
        <v>-3012</v>
      </c>
      <c r="D54" s="59">
        <v>-3406</v>
      </c>
      <c r="E54" s="59">
        <v>-3829</v>
      </c>
      <c r="F54" s="59">
        <v>2719</v>
      </c>
      <c r="G54" s="59">
        <v>-5728</v>
      </c>
      <c r="H54" s="50">
        <f>H45+H48+H51</f>
        <v>-1642.994</v>
      </c>
      <c r="I54" s="17"/>
    </row>
    <row r="55" ht="13.5" customHeight="1">
      <c r="A55" s="1"/>
      <c r="B55" s="60" t="s">
        <v>238</v>
      </c>
      <c r="C55" s="51">
        <f>IF(ISNUMBER(Inputs!C149),C54-Inputs!C149,"n.a.")</f>
        <v>-246</v>
      </c>
      <c r="D55" s="51">
        <f>IF(ISNUMBER(Inputs!D149),D54-Inputs!D149,"n.a.")</f>
        <v>-1731</v>
      </c>
      <c r="E55" s="51">
        <f>IF(ISNUMBER(Inputs!E149),E54-Inputs!E149,"n.a.")</f>
        <v>3250</v>
      </c>
      <c r="F55" s="51">
        <f>IF(ISNUMBER(Inputs!F149),F54-Inputs!F149,"n.a.")</f>
        <v>-2724</v>
      </c>
      <c r="G55" s="51">
        <f>IF(ISNUMBER(Inputs!G149),G54-Inputs!G149,"n.a.")</f>
        <v>-2873</v>
      </c>
      <c r="H55" s="52">
        <f t="shared" si="2"/>
        <v>1369.006</v>
      </c>
      <c r="I55" s="17"/>
    </row>
    <row r="56" ht="13.5" customHeight="1">
      <c r="A56" s="1"/>
      <c r="B56" s="60" t="s">
        <v>85</v>
      </c>
      <c r="C56" s="51">
        <f>IF(ISNUMBER(Inputs!G149),C54-Inputs!G149,"n.a.")</f>
        <v>-157</v>
      </c>
      <c r="D56" s="47">
        <f t="shared" si="1"/>
        <v>-394</v>
      </c>
      <c r="E56" s="47" t="s">
        <v>38</v>
      </c>
      <c r="F56" s="47">
        <f t="shared" si="3"/>
        <v>6125</v>
      </c>
      <c r="G56" s="47">
        <f t="shared" si="1"/>
        <v>-8447</v>
      </c>
      <c r="H56" s="52">
        <f t="shared" si="1"/>
        <v>4085.0060000000003</v>
      </c>
      <c r="I56" s="17"/>
    </row>
    <row r="57" ht="13.5" customHeight="1">
      <c r="A57" s="1"/>
      <c r="B57" s="17" t="s">
        <v>412</v>
      </c>
      <c r="C57" s="45">
        <v>-59</v>
      </c>
      <c r="D57" s="45">
        <v>-10</v>
      </c>
      <c r="E57" s="45">
        <v>418</v>
      </c>
      <c r="F57" s="45">
        <v>-177</v>
      </c>
      <c r="G57" s="45">
        <v>-35</v>
      </c>
      <c r="H57" s="46">
        <v>-50</v>
      </c>
      <c r="I57" s="32" t="s">
        <v>413</v>
      </c>
    </row>
    <row r="58" ht="13.5" customHeight="1">
      <c r="A58" s="1"/>
      <c r="B58" s="60" t="s">
        <v>238</v>
      </c>
      <c r="C58" s="51">
        <f>IF(ISNUMBER(Inputs!C150),C57-Inputs!C150,"n.a.")</f>
        <v>-266</v>
      </c>
      <c r="D58" s="51">
        <f>IF(ISNUMBER(Inputs!D150),D57-Inputs!D150,"n.a.")</f>
        <v>320</v>
      </c>
      <c r="E58" s="51">
        <f>IF(ISNUMBER(Inputs!E150),E57-Inputs!E150,"n.a.")</f>
        <v>777</v>
      </c>
      <c r="F58" s="51">
        <f>IF(ISNUMBER(Inputs!F150),F57-Inputs!F150,"n.a.")</f>
        <v>-344</v>
      </c>
      <c r="G58" s="51">
        <f>IF(ISNUMBER(Inputs!G150),G57-Inputs!G150,"n.a.")</f>
        <v>-355</v>
      </c>
      <c r="H58" s="52">
        <f t="shared" si="2"/>
        <v>9</v>
      </c>
      <c r="I58" s="17"/>
    </row>
    <row r="59" ht="13.5" customHeight="1">
      <c r="A59" s="1"/>
      <c r="B59" s="60" t="s">
        <v>85</v>
      </c>
      <c r="C59" s="51">
        <f>IF(ISNUMBER(Inputs!G150),C57-Inputs!G150,"n.a.")</f>
        <v>-379</v>
      </c>
      <c r="D59" s="47">
        <f t="shared" si="1"/>
        <v>49</v>
      </c>
      <c r="E59" s="47" t="s">
        <v>38</v>
      </c>
      <c r="F59" s="47">
        <f t="shared" si="3"/>
        <v>-167</v>
      </c>
      <c r="G59" s="47">
        <f t="shared" si="1"/>
        <v>142</v>
      </c>
      <c r="H59" s="52">
        <f t="shared" si="1"/>
        <v>-15</v>
      </c>
      <c r="I59" s="17"/>
    </row>
    <row r="60" ht="24.75" customHeight="1">
      <c r="A60" s="1"/>
      <c r="B60" s="14" t="s">
        <v>414</v>
      </c>
      <c r="C60" s="49">
        <f t="shared" si="8" ref="C60:H60">C25+C38+C54+C57</f>
        <v>-427</v>
      </c>
      <c r="D60" s="49">
        <f t="shared" si="8"/>
        <v>2041</v>
      </c>
      <c r="E60" s="49">
        <f t="shared" si="8"/>
        <v>-520</v>
      </c>
      <c r="F60" s="49">
        <f t="shared" si="8"/>
        <v>-2778</v>
      </c>
      <c r="G60" s="49">
        <f t="shared" si="8"/>
        <v>-3647</v>
      </c>
      <c r="H60" s="50">
        <f t="shared" si="8"/>
        <v>1281.1561328630376</v>
      </c>
      <c r="I60" s="17"/>
    </row>
    <row r="61" ht="13.5" customHeight="1">
      <c r="A61" s="1"/>
      <c r="B61" s="60" t="s">
        <v>238</v>
      </c>
      <c r="C61" s="51">
        <f>IF(ISNUMBER(Inputs!C158),C60-Inputs!C158,"n.a.")</f>
        <v>837</v>
      </c>
      <c r="D61" s="51">
        <f>IF(ISNUMBER(Inputs!D158),D60-Inputs!D158,"n.a.")</f>
        <v>1095</v>
      </c>
      <c r="E61" s="51">
        <f>IF(ISNUMBER(Inputs!E158),E60-Inputs!E158,"n.a.")</f>
        <v>-1591</v>
      </c>
      <c r="F61" s="51">
        <f>IF(ISNUMBER(Inputs!F158),F60-Inputs!F158,"n.a.")</f>
        <v>221</v>
      </c>
      <c r="G61" s="51">
        <f>IF(ISNUMBER(Inputs!G158),G60-Inputs!G158,"n.a.")</f>
        <v>-4512</v>
      </c>
      <c r="H61" s="52">
        <f t="shared" si="2"/>
        <v>1708.1561328630376</v>
      </c>
      <c r="I61" s="17"/>
    </row>
    <row r="62" ht="13.5" customHeight="1">
      <c r="A62" s="1"/>
      <c r="B62" s="60" t="s">
        <v>85</v>
      </c>
      <c r="C62" s="51">
        <f>IF(ISNUMBER(Inputs!G158),C60-Inputs!G158,"n.a.")</f>
        <v>-1292</v>
      </c>
      <c r="D62" s="47">
        <f t="shared" si="1"/>
        <v>2468</v>
      </c>
      <c r="E62" s="47" t="s">
        <v>38</v>
      </c>
      <c r="F62" s="47">
        <f t="shared" si="3"/>
        <v>-4819</v>
      </c>
      <c r="G62" s="47">
        <f t="shared" si="1"/>
        <v>-869</v>
      </c>
      <c r="H62" s="52">
        <f t="shared" si="1"/>
        <v>4928.156132863038</v>
      </c>
      <c r="I62" s="17"/>
    </row>
    <row r="63" ht="24.75" customHeight="1">
      <c r="A63" s="1"/>
      <c r="B63" s="58" t="s">
        <v>415</v>
      </c>
      <c r="C63" s="24">
        <f>Inputs!C177</f>
        <v>12026</v>
      </c>
      <c r="D63" s="24">
        <f>'Balance Sheet'!C108</f>
        <v>11599</v>
      </c>
      <c r="E63" s="24">
        <f>Inputs!E177</f>
        <v>14161</v>
      </c>
      <c r="F63" s="24">
        <f>'Balance Sheet'!D108</f>
        <v>13641</v>
      </c>
      <c r="G63" s="24">
        <f>'Balance Sheet'!F108</f>
        <v>10864</v>
      </c>
      <c r="H63" s="23">
        <f>'Balance Sheet'!G108</f>
        <v>7217</v>
      </c>
      <c r="I63" s="17"/>
    </row>
    <row r="64" ht="24.75" customHeight="1">
      <c r="A64" s="1"/>
      <c r="B64" s="58" t="s">
        <v>416</v>
      </c>
      <c r="C64" s="25">
        <f t="shared" si="9" ref="C64:H64">C63+C60</f>
        <v>11599</v>
      </c>
      <c r="D64" s="25">
        <f t="shared" si="9"/>
        <v>13640</v>
      </c>
      <c r="E64" s="25">
        <f t="shared" si="9"/>
        <v>13641</v>
      </c>
      <c r="F64" s="25">
        <f t="shared" si="9"/>
        <v>10863</v>
      </c>
      <c r="G64" s="25">
        <f t="shared" si="9"/>
        <v>7217</v>
      </c>
      <c r="H64" s="56">
        <f t="shared" si="9"/>
        <v>8498.156132863038</v>
      </c>
      <c r="I64" s="17"/>
    </row>
    <row r="65" ht="13.5" customHeight="1">
      <c r="A65" s="1"/>
      <c r="B65" s="58" t="s">
        <v>417</v>
      </c>
      <c r="C65" s="24">
        <f>'Balance Sheet'!C108</f>
        <v>11599</v>
      </c>
      <c r="D65" s="24">
        <f>'Balance Sheet'!D108</f>
        <v>13641</v>
      </c>
      <c r="E65" s="24">
        <f>'Balance Sheet'!E108</f>
        <v>13641</v>
      </c>
      <c r="F65" s="24">
        <f>'Balance Sheet'!F108</f>
        <v>10864</v>
      </c>
      <c r="G65" s="24">
        <f>'Balance Sheet'!G108</f>
        <v>7217</v>
      </c>
      <c r="H65" s="23">
        <f>'Balance Sheet'!H108</f>
        <v>8498.156132863038</v>
      </c>
      <c r="I65" s="17"/>
    </row>
    <row r="66" ht="27.75" customHeight="1">
      <c r="A66" s="1"/>
      <c r="B66" s="17" t="s">
        <v>418</v>
      </c>
      <c r="C66" s="19" t="b">
        <f t="shared" si="10" ref="C66:H66">ABS(C64-C65)&lt;=2</f>
        <v>1</v>
      </c>
      <c r="D66" s="19" t="b">
        <f t="shared" si="10"/>
        <v>1</v>
      </c>
      <c r="E66" s="19" t="b">
        <f t="shared" si="10"/>
        <v>1</v>
      </c>
      <c r="F66" s="19" t="b">
        <f t="shared" si="10"/>
        <v>1</v>
      </c>
      <c r="G66" s="19" t="b">
        <f t="shared" si="10"/>
        <v>1</v>
      </c>
      <c r="H66" s="57" t="b">
        <f t="shared" si="10"/>
        <v>1</v>
      </c>
      <c r="I66" s="32" t="s">
        <v>419</v>
      </c>
    </row>
    <row r="67" ht="13.5" customHeight="1">
      <c r="A67" s="1"/>
      <c r="B67" s="17"/>
      <c r="C67" s="20"/>
      <c r="D67" s="20"/>
      <c r="E67" s="20"/>
      <c r="F67" s="20"/>
      <c r="G67" s="20"/>
      <c r="H67" s="55"/>
      <c r="I67" s="17"/>
    </row>
    <row r="68" ht="36" customHeight="1">
      <c r="A68" s="1"/>
      <c r="B68" s="14" t="s">
        <v>420</v>
      </c>
      <c r="C68" s="22"/>
      <c r="D68" s="22"/>
      <c r="E68" s="22"/>
      <c r="F68" s="22"/>
      <c r="G68" s="22"/>
      <c r="H68" s="42"/>
      <c r="I68" s="17"/>
    </row>
    <row r="69" ht="24.75" customHeight="1">
      <c r="A69" s="1"/>
      <c r="B69" s="17" t="s">
        <v>421</v>
      </c>
      <c r="C69" s="25">
        <f t="shared" si="11" ref="C69:H69">C25</f>
        <v>3081</v>
      </c>
      <c r="D69" s="25">
        <f t="shared" si="11"/>
        <v>4040</v>
      </c>
      <c r="E69" s="25">
        <f t="shared" si="11"/>
        <v>13193</v>
      </c>
      <c r="F69" s="25">
        <f t="shared" si="11"/>
        <v>5169</v>
      </c>
      <c r="G69" s="25">
        <f t="shared" si="11"/>
        <v>2597</v>
      </c>
      <c r="H69" s="56">
        <f t="shared" si="11"/>
        <v>3654.1501328630375</v>
      </c>
      <c r="I69" s="17"/>
    </row>
    <row r="70" ht="24.75" customHeight="1">
      <c r="A70" s="1"/>
      <c r="B70" s="58" t="s">
        <v>422</v>
      </c>
      <c r="C70" s="25">
        <f t="shared" si="12" ref="C70:H70">-C19</f>
        <v>-298</v>
      </c>
      <c r="D70" s="25">
        <f t="shared" si="12"/>
        <v>4063</v>
      </c>
      <c r="E70" s="25">
        <f t="shared" si="12"/>
        <v>3159</v>
      </c>
      <c r="F70" s="25">
        <f t="shared" si="12"/>
        <v>-2565</v>
      </c>
      <c r="G70" s="25">
        <f t="shared" si="12"/>
        <v>302</v>
      </c>
      <c r="H70" s="56">
        <f t="shared" si="12"/>
        <v>-300</v>
      </c>
      <c r="I70" s="17"/>
    </row>
    <row r="71" ht="24.75" customHeight="1">
      <c r="A71" s="1"/>
      <c r="B71" s="14" t="s">
        <v>423</v>
      </c>
      <c r="C71" s="49">
        <f t="shared" si="13" ref="C71:H73">C69+C70</f>
        <v>2783</v>
      </c>
      <c r="D71" s="49">
        <f t="shared" si="13"/>
        <v>8103</v>
      </c>
      <c r="E71" s="49">
        <f t="shared" si="13"/>
        <v>16352</v>
      </c>
      <c r="F71" s="49">
        <f t="shared" si="13"/>
        <v>2604</v>
      </c>
      <c r="G71" s="49">
        <f t="shared" si="13"/>
        <v>2899</v>
      </c>
      <c r="H71" s="50">
        <f t="shared" si="13"/>
        <v>3354.1501328630375</v>
      </c>
      <c r="I71" s="17"/>
    </row>
    <row r="72" ht="13.5" customHeight="1">
      <c r="A72" s="1"/>
      <c r="B72" s="58" t="s">
        <v>424</v>
      </c>
      <c r="C72" s="25">
        <f t="shared" si="14" ref="C72:H72">C30</f>
        <v>-410</v>
      </c>
      <c r="D72" s="25">
        <f t="shared" si="14"/>
        <v>-550</v>
      </c>
      <c r="E72" s="25">
        <f t="shared" si="14"/>
        <v>-1617</v>
      </c>
      <c r="F72" s="25">
        <f t="shared" si="14"/>
        <v>-384</v>
      </c>
      <c r="G72" s="25">
        <f t="shared" si="14"/>
        <v>-359</v>
      </c>
      <c r="H72" s="56">
        <f t="shared" si="14"/>
        <v>-430</v>
      </c>
      <c r="I72" s="17"/>
    </row>
    <row r="73" ht="13.5" customHeight="1">
      <c r="A73" s="1"/>
      <c r="B73" s="14" t="s">
        <v>425</v>
      </c>
      <c r="C73" s="49">
        <f t="shared" si="13"/>
        <v>2373</v>
      </c>
      <c r="D73" s="49">
        <f t="shared" si="13"/>
        <v>7553</v>
      </c>
      <c r="E73" s="49">
        <f t="shared" si="13"/>
        <v>14735</v>
      </c>
      <c r="F73" s="49">
        <f t="shared" si="13"/>
        <v>2220</v>
      </c>
      <c r="G73" s="49">
        <f t="shared" si="13"/>
        <v>2540</v>
      </c>
      <c r="H73" s="50">
        <f t="shared" si="13"/>
        <v>2924.1501328630375</v>
      </c>
      <c r="I73" s="17"/>
    </row>
    <row r="74" ht="13.5" customHeight="1">
      <c r="A74" s="1"/>
      <c r="B74" s="43" t="s">
        <v>74</v>
      </c>
      <c r="C74" s="38">
        <f>_xlfn.IFERROR(C73/Inputs!C176-1,"n.a.")</f>
        <v>0.14970930232558133</v>
      </c>
      <c r="D74" s="38">
        <f>_xlfn.IFERROR(D73/Inputs!D176-1,"n.a.")</f>
        <v>0.22553950997890637</v>
      </c>
      <c r="E74" s="38">
        <f>_xlfn.IFERROR(E73/Inputs!E176-1,"n.a.")</f>
        <v>0.15577692368028861</v>
      </c>
      <c r="F74" s="38">
        <f>_xlfn.IFERROR(F73/Inputs!F176-1,"n.a.")</f>
        <v>0.13149847094801226</v>
      </c>
      <c r="G74" s="38">
        <f>_xlfn.IFERROR(G73/Inputs!G176-1,"n.a.")</f>
        <v>-0.10720562390158173</v>
      </c>
      <c r="H74" s="44">
        <f t="shared" si="18" ref="H74:H90">_xlfn.IFERROR(H73/C73-1,"n.a.")</f>
        <v>0.23225880019512757</v>
      </c>
      <c r="I74" s="17"/>
    </row>
    <row r="75" ht="13.5" customHeight="1">
      <c r="A75" s="1"/>
      <c r="B75" s="43" t="s">
        <v>85</v>
      </c>
      <c r="C75" s="51">
        <f>IF(ISNUMBER(Inputs!G176),C73-Inputs!G176,"n.a.")</f>
        <v>-472</v>
      </c>
      <c r="D75" s="47">
        <f t="shared" si="1"/>
        <v>5180</v>
      </c>
      <c r="E75" s="47" t="s">
        <v>38</v>
      </c>
      <c r="F75" s="47">
        <f t="shared" si="3"/>
        <v>-5333</v>
      </c>
      <c r="G75" s="47">
        <f t="shared" si="1"/>
        <v>320</v>
      </c>
      <c r="H75" s="52">
        <f t="shared" si="1"/>
        <v>384.15013286303747</v>
      </c>
      <c r="I75" s="17"/>
    </row>
    <row r="76" ht="13.5" customHeight="1">
      <c r="A76" s="1"/>
      <c r="B76" s="32" t="s">
        <v>426</v>
      </c>
      <c r="C76" s="38">
        <f>C73/'Income Statement'!C10</f>
        <v>0.1453064723531933</v>
      </c>
      <c r="D76" s="38">
        <f>D73/'Income Statement'!D10</f>
        <v>0.38367367672457586</v>
      </c>
      <c r="E76" s="38">
        <f>E73/'Income Statement'!E10</f>
        <v>0.21818316428518547</v>
      </c>
      <c r="F76" s="38">
        <f>F73/'Income Statement'!F10</f>
        <v>0.13947351887918577</v>
      </c>
      <c r="G76" s="38">
        <f>G73/'Income Statement'!G10</f>
        <v>0.14800139843841045</v>
      </c>
      <c r="H76" s="40">
        <f>H73/'Income Statement'!H10</f>
        <v>0.17353375705538351</v>
      </c>
      <c r="I76" s="17"/>
    </row>
    <row r="77" ht="13.5" customHeight="1">
      <c r="A77" s="1"/>
      <c r="B77" s="43" t="s">
        <v>111</v>
      </c>
      <c r="C77" s="61">
        <f>_xlfn.IFERROR((C76-Inputs!C176/Inputs!C104)*10000,"n.a.")</f>
        <v>74.12298114818111</v>
      </c>
      <c r="D77" s="61">
        <f>_xlfn.IFERROR((D76-Inputs!D176/Inputs!D104)*10000,"n.a.")</f>
        <v>325.65604030449504</v>
      </c>
      <c r="E77" s="61">
        <f>_xlfn.IFERROR((E76-Inputs!E176/Inputs!E104)*10000,"n.a.")</f>
        <v>150.21562449416658</v>
      </c>
      <c r="F77" s="61">
        <f>_xlfn.IFERROR((F76-Inputs!F176/Inputs!F104)*10000,"n.a.")</f>
        <v>45.44696927463065</v>
      </c>
      <c r="G77" s="61">
        <f>_xlfn.IFERROR((G76-Inputs!G176/Inputs!G104)*10000,"n.a.")</f>
        <v>-195.78268169352987</v>
      </c>
      <c r="H77" s="63">
        <f t="shared" si="19" ref="H77:H93">_xlfn.IFERROR((H76-C76)*10000,"n.a.")</f>
        <v>282.2728470219021</v>
      </c>
      <c r="I77" s="17"/>
    </row>
    <row r="78" ht="13.5" customHeight="1">
      <c r="A78" s="1"/>
      <c r="B78" s="43" t="s">
        <v>427</v>
      </c>
      <c r="C78" s="67">
        <v>2373</v>
      </c>
      <c r="D78" s="67">
        <v>7553</v>
      </c>
      <c r="E78" s="67">
        <v>14734</v>
      </c>
      <c r="F78" s="67">
        <v>2220</v>
      </c>
      <c r="G78" s="67">
        <v>2540</v>
      </c>
      <c r="H78" s="52"/>
      <c r="I78" s="17"/>
    </row>
    <row r="79" ht="24.75" customHeight="1">
      <c r="A79" s="1"/>
      <c r="B79" s="58" t="s">
        <v>428</v>
      </c>
      <c r="C79" s="19" t="b">
        <f t="shared" si="15" ref="C79:G79">ABS(C73-C78)&lt;=2</f>
        <v>1</v>
      </c>
      <c r="D79" s="19" t="b">
        <f t="shared" si="15"/>
        <v>1</v>
      </c>
      <c r="E79" s="19" t="b">
        <f t="shared" si="15"/>
        <v>1</v>
      </c>
      <c r="F79" s="19" t="b">
        <f t="shared" si="15"/>
        <v>1</v>
      </c>
      <c r="G79" s="19" t="b">
        <f t="shared" si="15"/>
        <v>1</v>
      </c>
      <c r="H79" s="57"/>
      <c r="I79" s="17"/>
    </row>
    <row r="80" ht="13.5" customHeight="1">
      <c r="A80" s="1"/>
      <c r="B80" s="17"/>
      <c r="C80" s="20"/>
      <c r="D80" s="20"/>
      <c r="E80" s="20"/>
      <c r="F80" s="20"/>
      <c r="G80" s="20"/>
      <c r="H80" s="55"/>
      <c r="I80" s="17"/>
    </row>
    <row r="81" ht="36" customHeight="1">
      <c r="A81" s="1"/>
      <c r="B81" s="14" t="s">
        <v>429</v>
      </c>
      <c r="C81" s="22"/>
      <c r="D81" s="22"/>
      <c r="E81" s="22"/>
      <c r="F81" s="22"/>
      <c r="G81" s="22"/>
      <c r="H81" s="42"/>
      <c r="I81" s="17"/>
    </row>
    <row r="82" ht="13.5" customHeight="1">
      <c r="A82" s="1"/>
      <c r="B82" s="17" t="s">
        <v>274</v>
      </c>
      <c r="C82" s="24">
        <f>'Income Statement'!C82</f>
        <v>3033</v>
      </c>
      <c r="D82" s="24">
        <f>'Income Statement'!D82</f>
        <v>4745</v>
      </c>
      <c r="E82" s="24">
        <f>'Income Statement'!E82</f>
        <v>12714</v>
      </c>
      <c r="F82" s="24">
        <f>'Income Statement'!F82</f>
        <v>2130</v>
      </c>
      <c r="G82" s="24">
        <f>'Income Statement'!G82</f>
        <v>3292</v>
      </c>
      <c r="H82" s="23">
        <f>'Income Statement'!H82</f>
        <v>3203.0001563094556</v>
      </c>
      <c r="I82" s="17"/>
    </row>
    <row r="83" ht="13.5" customHeight="1">
      <c r="A83" s="1"/>
      <c r="B83" s="58" t="s">
        <v>430</v>
      </c>
      <c r="C83" s="45">
        <v>300</v>
      </c>
      <c r="D83" s="45">
        <v>300</v>
      </c>
      <c r="E83" s="45">
        <v>1300</v>
      </c>
      <c r="F83" s="45">
        <v>300</v>
      </c>
      <c r="G83" s="45">
        <v>400</v>
      </c>
      <c r="H83" s="46">
        <v>400</v>
      </c>
      <c r="I83" s="17"/>
    </row>
    <row r="84" ht="24.75" customHeight="1">
      <c r="A84" s="1"/>
      <c r="B84" s="58" t="s">
        <v>431</v>
      </c>
      <c r="C84" s="45">
        <v>700</v>
      </c>
      <c r="D84" s="45">
        <v>700</v>
      </c>
      <c r="E84" s="45">
        <v>2900</v>
      </c>
      <c r="F84" s="45">
        <v>700</v>
      </c>
      <c r="G84" s="45">
        <v>700</v>
      </c>
      <c r="H84" s="46">
        <v>700</v>
      </c>
      <c r="I84" s="17"/>
    </row>
    <row r="85" ht="13.5" customHeight="1">
      <c r="A85" s="1"/>
      <c r="B85" s="58" t="s">
        <v>432</v>
      </c>
      <c r="C85" s="25">
        <f t="shared" si="16" ref="C85:H85">C16</f>
        <v>444</v>
      </c>
      <c r="D85" s="25">
        <f t="shared" si="16"/>
        <v>430</v>
      </c>
      <c r="E85" s="25">
        <f t="shared" si="16"/>
        <v>1715</v>
      </c>
      <c r="F85" s="25">
        <f t="shared" si="16"/>
        <v>506</v>
      </c>
      <c r="G85" s="25">
        <f t="shared" si="16"/>
        <v>498</v>
      </c>
      <c r="H85" s="56">
        <f t="shared" si="16"/>
        <v>500</v>
      </c>
      <c r="I85" s="17"/>
    </row>
    <row r="86" ht="24.75" customHeight="1">
      <c r="A86" s="1"/>
      <c r="B86" s="58" t="s">
        <v>433</v>
      </c>
      <c r="C86" s="45">
        <v>0</v>
      </c>
      <c r="D86" s="45">
        <v>300</v>
      </c>
      <c r="E86" s="45">
        <v>700</v>
      </c>
      <c r="F86" s="45">
        <v>300</v>
      </c>
      <c r="G86" s="45">
        <v>0</v>
      </c>
      <c r="H86" s="46">
        <v>0</v>
      </c>
      <c r="I86" s="32" t="s">
        <v>434</v>
      </c>
    </row>
    <row r="87" ht="13.5" customHeight="1">
      <c r="A87" s="1"/>
      <c r="B87" s="58" t="s">
        <v>435</v>
      </c>
      <c r="C87" s="45">
        <v>0</v>
      </c>
      <c r="D87" s="45">
        <v>0</v>
      </c>
      <c r="E87" s="45">
        <v>0</v>
      </c>
      <c r="F87" s="45">
        <v>0</v>
      </c>
      <c r="G87" s="45">
        <v>-100</v>
      </c>
      <c r="H87" s="46">
        <v>0</v>
      </c>
      <c r="I87" s="17"/>
    </row>
    <row r="88" ht="13.5" customHeight="1">
      <c r="A88" s="1"/>
      <c r="B88" s="43" t="s">
        <v>436</v>
      </c>
      <c r="C88" s="47">
        <f t="shared" si="17" ref="C88:H88">SUM(C82:C87)</f>
        <v>4477</v>
      </c>
      <c r="D88" s="47">
        <f t="shared" si="17"/>
        <v>6475</v>
      </c>
      <c r="E88" s="47">
        <f t="shared" si="17"/>
        <v>19329</v>
      </c>
      <c r="F88" s="47">
        <f t="shared" si="17"/>
        <v>3936</v>
      </c>
      <c r="G88" s="47">
        <f t="shared" si="17"/>
        <v>4790</v>
      </c>
      <c r="H88" s="52">
        <f t="shared" si="17"/>
        <v>4803.000156309456</v>
      </c>
      <c r="I88" s="17"/>
    </row>
    <row r="89" ht="53.25" customHeight="1">
      <c r="A89" s="1"/>
      <c r="B89" s="14" t="s">
        <v>437</v>
      </c>
      <c r="C89" s="59">
        <v>4600</v>
      </c>
      <c r="D89" s="59">
        <v>6500</v>
      </c>
      <c r="E89" s="59">
        <v>19200</v>
      </c>
      <c r="F89" s="59">
        <v>4000</v>
      </c>
      <c r="G89" s="59">
        <v>4800</v>
      </c>
      <c r="H89" s="50">
        <f>H88</f>
        <v>4803.000156309456</v>
      </c>
      <c r="I89" s="32" t="s">
        <v>438</v>
      </c>
    </row>
    <row r="90" ht="13.5" customHeight="1">
      <c r="A90" s="1"/>
      <c r="B90" s="43" t="s">
        <v>74</v>
      </c>
      <c r="C90" s="38">
        <f>_xlfn.IFERROR(C89/Inputs!C157-1,"n.a.")</f>
        <v>0.21052631578947367</v>
      </c>
      <c r="D90" s="38">
        <f>_xlfn.IFERROR(D89/Inputs!D157-1,"n.a.")</f>
        <v>0.1607142857142858</v>
      </c>
      <c r="E90" s="38">
        <f>_xlfn.IFERROR(E89/Inputs!E157-1,"n.a.")</f>
        <v>0.1707317073170731</v>
      </c>
      <c r="F90" s="38">
        <f>_xlfn.IFERROR(F89/Inputs!F157-1,"n.a.")</f>
        <v>0.17647058823529416</v>
      </c>
      <c r="G90" s="38">
        <f>_xlfn.IFERROR(G89/Inputs!G157-1,"n.a.")</f>
        <v>0.02127659574468077</v>
      </c>
      <c r="H90" s="44">
        <f t="shared" si="18"/>
        <v>0.044130468762925146</v>
      </c>
      <c r="I90" s="17"/>
    </row>
    <row r="91" ht="13.5" customHeight="1">
      <c r="A91" s="1"/>
      <c r="B91" s="43" t="s">
        <v>85</v>
      </c>
      <c r="C91" s="51">
        <f>IF(ISNUMBER(Inputs!G157),C89-Inputs!G157,"n.a.")</f>
        <v>-100</v>
      </c>
      <c r="D91" s="47">
        <f t="shared" si="1"/>
        <v>1900</v>
      </c>
      <c r="E91" s="47" t="s">
        <v>38</v>
      </c>
      <c r="F91" s="47">
        <f t="shared" si="3"/>
        <v>-2500</v>
      </c>
      <c r="G91" s="47">
        <f t="shared" si="1"/>
        <v>800</v>
      </c>
      <c r="H91" s="52">
        <f t="shared" si="1"/>
        <v>3.000156309455633</v>
      </c>
      <c r="I91" s="17"/>
    </row>
    <row r="92" ht="13.5" customHeight="1">
      <c r="A92" s="1"/>
      <c r="B92" s="32" t="s">
        <v>439</v>
      </c>
      <c r="C92" s="38">
        <f>C89/'Income Statement'!C10</f>
        <v>0.2816728920458025</v>
      </c>
      <c r="D92" s="38">
        <f>D89/'Income Statement'!D10</f>
        <v>0.3301838870263131</v>
      </c>
      <c r="E92" s="38">
        <f>E89/'Income Statement'!E10</f>
        <v>0.2842970311690235</v>
      </c>
      <c r="F92" s="38">
        <f>F89/'Income Statement'!F10</f>
        <v>0.25130363762015456</v>
      </c>
      <c r="G92" s="38">
        <f>G89/'Income Statement'!G10</f>
        <v>0.27968768208833467</v>
      </c>
      <c r="H92" s="40">
        <f>H89/'Income Statement'!H10</f>
        <v>0.28503415501649043</v>
      </c>
      <c r="I92" s="17"/>
    </row>
    <row r="93" ht="13.5" customHeight="1">
      <c r="A93" s="1"/>
      <c r="B93" s="43" t="s">
        <v>111</v>
      </c>
      <c r="C93" s="61">
        <f>_xlfn.IFERROR((C92-Inputs!C157/Inputs!C104)*10000,"n.a.")</f>
        <v>277.9795885499542</v>
      </c>
      <c r="D93" s="61">
        <f>_xlfn.IFERROR((D92-Inputs!D157/Inputs!D104)*10000,"n.a.")</f>
        <v>111.50103627463936</v>
      </c>
      <c r="E93" s="61">
        <f>_xlfn.IFERROR((E92-Inputs!E157/Inputs!E104)*10000,"n.a.")</f>
        <v>229.5494393813413</v>
      </c>
      <c r="F93" s="61">
        <f>_xlfn.IFERROR((F92-Inputs!F157/Inputs!F104)*10000,"n.a.")</f>
        <v>174.82029752745183</v>
      </c>
      <c r="G93" s="61">
        <f>_xlfn.IFERROR((G92-Inputs!G157/Inputs!G104)*10000,"n.a.")</f>
        <v>28.425386589890913</v>
      </c>
      <c r="H93" s="63">
        <f t="shared" si="19"/>
        <v>33.6126297068795</v>
      </c>
      <c r="I93" s="17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6817D68-AB34-2388-02F8-2E3D4E905C1E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60.00390625" customWidth="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</row>
    <row r="2" ht="13.5" customHeight="1">
      <c r="A2" s="1"/>
      <c r="B2" s="2" t="s">
        <v>0</v>
      </c>
      <c r="C2" s="1"/>
      <c r="D2" s="1"/>
      <c r="E2" s="1"/>
      <c r="F2" s="1"/>
      <c r="G2" s="1"/>
      <c r="H2" s="1"/>
      <c r="I2" s="1"/>
    </row>
    <row r="3" ht="13.5" customHeight="1">
      <c r="A3" s="1"/>
      <c r="B3" s="3" t="s">
        <v>440</v>
      </c>
      <c r="C3" s="1"/>
      <c r="D3" s="1"/>
      <c r="E3" s="1"/>
      <c r="F3" s="1"/>
      <c r="G3" s="1"/>
      <c r="H3" s="1"/>
      <c r="I3" s="1"/>
    </row>
    <row r="4" ht="13.5" customHeight="1">
      <c r="A4" s="1"/>
      <c r="B4" s="4" t="s">
        <v>2</v>
      </c>
      <c r="C4" s="1"/>
      <c r="D4" s="1"/>
      <c r="E4" s="1"/>
      <c r="F4" s="1"/>
      <c r="G4" s="1"/>
      <c r="H4" s="1"/>
      <c r="I4" s="1"/>
    </row>
    <row r="5" ht="13.5" customHeight="1">
      <c r="A5" s="1"/>
      <c r="B5" s="5" t="s">
        <v>62</v>
      </c>
      <c r="C5" s="6" t="s">
        <v>63</v>
      </c>
      <c r="D5" s="6" t="s">
        <v>64</v>
      </c>
      <c r="E5" s="6" t="s">
        <v>65</v>
      </c>
      <c r="F5" s="6" t="s">
        <v>66</v>
      </c>
      <c r="G5" s="6" t="s">
        <v>67</v>
      </c>
      <c r="H5" s="7" t="s">
        <v>68</v>
      </c>
      <c r="I5" s="5" t="s">
        <v>69</v>
      </c>
    </row>
    <row r="6" ht="13.5" customHeight="1">
      <c r="A6" s="1"/>
      <c r="B6" s="8" t="s">
        <v>70</v>
      </c>
      <c r="C6" s="9">
        <v>45930</v>
      </c>
      <c r="D6" s="9">
        <v>46022</v>
      </c>
      <c r="E6" s="9">
        <v>46022</v>
      </c>
      <c r="F6" s="9">
        <v>46112</v>
      </c>
      <c r="G6" s="9">
        <v>46203</v>
      </c>
      <c r="H6" s="10">
        <v>46295</v>
      </c>
      <c r="I6" s="8"/>
    </row>
    <row r="7" ht="13.5" customHeight="1">
      <c r="A7" s="1"/>
      <c r="B7" s="11" t="s">
        <v>71</v>
      </c>
      <c r="C7" s="12">
        <v>92</v>
      </c>
      <c r="D7" s="12">
        <v>92</v>
      </c>
      <c r="E7" s="12">
        <v>365</v>
      </c>
      <c r="F7" s="12">
        <v>90</v>
      </c>
      <c r="G7" s="12">
        <v>91</v>
      </c>
      <c r="H7" s="13">
        <v>92</v>
      </c>
      <c r="I7" s="11"/>
    </row>
    <row r="8" ht="13.5" customHeight="1">
      <c r="A8" s="1"/>
      <c r="B8" s="1"/>
      <c r="C8" s="1"/>
      <c r="D8" s="1"/>
      <c r="E8" s="1"/>
      <c r="F8" s="1"/>
      <c r="G8" s="1"/>
      <c r="H8" s="41"/>
      <c r="I8" s="1"/>
    </row>
    <row r="9" ht="24.75" customHeight="1">
      <c r="A9" s="1"/>
      <c r="B9" s="14" t="s">
        <v>441</v>
      </c>
      <c r="C9" s="22"/>
      <c r="D9" s="22"/>
      <c r="E9" s="22"/>
      <c r="F9" s="22"/>
      <c r="G9" s="22"/>
      <c r="H9" s="42"/>
      <c r="I9" s="17"/>
    </row>
    <row r="10" ht="13.5" customHeight="1">
      <c r="A10" s="1"/>
      <c r="B10" s="58" t="s">
        <v>442</v>
      </c>
      <c r="C10" s="45">
        <v>8143</v>
      </c>
      <c r="D10" s="24">
        <f>Inputs!E246</f>
        <v>9531</v>
      </c>
      <c r="E10" s="24">
        <f>Inputs!C246</f>
        <v>33342</v>
      </c>
      <c r="F10" s="45">
        <v>7861</v>
      </c>
      <c r="G10" s="45">
        <v>8417</v>
      </c>
      <c r="H10" s="56">
        <f t="shared" si="3" ref="H10:H17">C10*(1+H16)*(1+H15)*(1+H14)</f>
        <v>8402.720985</v>
      </c>
      <c r="I10" s="17"/>
    </row>
    <row r="11" ht="13.5" customHeight="1">
      <c r="A11" s="1"/>
      <c r="B11" s="60" t="s">
        <v>74</v>
      </c>
      <c r="C11" s="38">
        <f>_xlfn.IFERROR(C10/Inputs!C118-1,"n.a.")</f>
        <v>0.09258016905943922</v>
      </c>
      <c r="D11" s="38">
        <f>_xlfn.IFERROR(D10/Inputs!D118-1,"n.a.")</f>
        <v>0.11617285396416444</v>
      </c>
      <c r="E11" s="38">
        <f>_xlfn.IFERROR(E10/Inputs!E118-1,"n.a.")</f>
        <v>0.06639800422183839</v>
      </c>
      <c r="F11" s="38">
        <f>_xlfn.IFERROR(F10/Inputs!F118-1,"n.a.")</f>
        <v>0.09089647515958932</v>
      </c>
      <c r="G11" s="38">
        <f>_xlfn.IFERROR(G10/Inputs!G118-1,"n.a.")</f>
        <v>-0.005317891751358994</v>
      </c>
      <c r="H11" s="44">
        <f t="shared" si="4" ref="H11:H25">_xlfn.IFERROR(H10/C10-1,"n.a.")</f>
        <v>0.03189500000000001</v>
      </c>
      <c r="I11" s="17"/>
    </row>
    <row r="12" ht="13.5" customHeight="1">
      <c r="A12" s="1"/>
      <c r="B12" s="60" t="s">
        <v>85</v>
      </c>
      <c r="C12" s="51">
        <f>IF(ISNUMBER(Inputs!G118),C10-Inputs!G118,"n.a.")</f>
        <v>-319</v>
      </c>
      <c r="D12" s="47">
        <f t="shared" si="0" ref="D12:H26">D10-C10</f>
        <v>1388</v>
      </c>
      <c r="E12" s="47" t="s">
        <v>38</v>
      </c>
      <c r="F12" s="47">
        <f t="shared" si="5" ref="F12:F26">F10-D10</f>
        <v>-1670</v>
      </c>
      <c r="G12" s="47">
        <f t="shared" si="0"/>
        <v>556</v>
      </c>
      <c r="H12" s="52">
        <f t="shared" si="0"/>
        <v>-14.279015000000072</v>
      </c>
      <c r="I12" s="17"/>
    </row>
    <row r="13" ht="13.5" customHeight="1">
      <c r="A13" s="1"/>
      <c r="B13" s="60" t="s">
        <v>119</v>
      </c>
      <c r="C13" s="39" t="s">
        <v>38</v>
      </c>
      <c r="D13" s="39" t="s">
        <v>38</v>
      </c>
      <c r="E13" s="53">
        <v>0.069</v>
      </c>
      <c r="F13" s="39" t="s">
        <v>38</v>
      </c>
      <c r="G13" s="53">
        <v>-0.01</v>
      </c>
      <c r="H13" s="44">
        <f t="shared" si="6" ref="H13:H20">(1+H16)*(1+H15)-1</f>
        <v>0.03499999999999992</v>
      </c>
      <c r="I13" s="17"/>
    </row>
    <row r="14" ht="13.5" customHeight="1">
      <c r="A14" s="1"/>
      <c r="B14" s="60" t="s">
        <v>120</v>
      </c>
      <c r="C14" s="39" t="str">
        <f t="shared" si="1" ref="C14:G28">_xlfn.IFERROR((1+C11)/(1+C13)-1,"n.a.")</f>
        <v>n.a.</v>
      </c>
      <c r="D14" s="39" t="str">
        <f t="shared" si="1"/>
        <v>n.a.</v>
      </c>
      <c r="E14" s="39">
        <f t="shared" si="1"/>
        <v>-0.0024340465651652154</v>
      </c>
      <c r="F14" s="39" t="str">
        <f t="shared" si="1"/>
        <v>n.a.</v>
      </c>
      <c r="G14" s="39">
        <f t="shared" si="1"/>
        <v>0.004729402271354655</v>
      </c>
      <c r="H14" s="54">
        <v>-0.003</v>
      </c>
      <c r="I14" s="17"/>
    </row>
    <row r="15" ht="13.5" customHeight="1">
      <c r="A15" s="1"/>
      <c r="B15" s="60" t="s">
        <v>121</v>
      </c>
      <c r="C15" s="39" t="s">
        <v>38</v>
      </c>
      <c r="D15" s="39" t="s">
        <v>38</v>
      </c>
      <c r="E15" s="39" t="s">
        <v>38</v>
      </c>
      <c r="F15" s="39" t="s">
        <v>38</v>
      </c>
      <c r="G15" s="39" t="s">
        <v>38</v>
      </c>
      <c r="H15" s="54">
        <v>0</v>
      </c>
      <c r="I15" s="17"/>
    </row>
    <row r="16" ht="24.75" customHeight="1">
      <c r="A16" s="1"/>
      <c r="B16" s="60" t="s">
        <v>90</v>
      </c>
      <c r="C16" s="39" t="str">
        <f t="shared" si="2" ref="C16:G30">IF(AND(ISNUMBER(C11),ISNUMBER(C15),ISNUMBER(C14)),(1+C11)/((1+C15)*(1+C14))-1,"n.a.")</f>
        <v>n.a.</v>
      </c>
      <c r="D16" s="39" t="str">
        <f t="shared" si="2"/>
        <v>n.a.</v>
      </c>
      <c r="E16" s="39" t="str">
        <f t="shared" si="2"/>
        <v>n.a.</v>
      </c>
      <c r="F16" s="39" t="str">
        <f t="shared" si="2"/>
        <v>n.a.</v>
      </c>
      <c r="G16" s="39" t="str">
        <f t="shared" si="2"/>
        <v>n.a.</v>
      </c>
      <c r="H16" s="54">
        <v>0.035</v>
      </c>
      <c r="I16" s="32" t="s">
        <v>443</v>
      </c>
    </row>
    <row r="17" ht="13.5" customHeight="1">
      <c r="A17" s="1"/>
      <c r="B17" s="58" t="s">
        <v>444</v>
      </c>
      <c r="C17" s="45">
        <v>5251</v>
      </c>
      <c r="D17" s="24">
        <f>Inputs!E247</f>
        <v>6973</v>
      </c>
      <c r="E17" s="24">
        <f>Inputs!C247</f>
        <v>22189</v>
      </c>
      <c r="F17" s="45">
        <v>5242</v>
      </c>
      <c r="G17" s="45">
        <v>5633</v>
      </c>
      <c r="H17" s="56">
        <f t="shared" si="3"/>
        <v>5406.4295999999995</v>
      </c>
      <c r="I17" s="17"/>
    </row>
    <row r="18" ht="13.5" customHeight="1">
      <c r="A18" s="1"/>
      <c r="B18" s="60" t="s">
        <v>74</v>
      </c>
      <c r="C18" s="38">
        <f>_xlfn.IFERROR(C17/Inputs!C119-1,"n.a.")</f>
        <v>0.14550610820244336</v>
      </c>
      <c r="D18" s="38">
        <f>_xlfn.IFERROR(D17/Inputs!D119-1,"n.a.")</f>
        <v>0.20017211703958693</v>
      </c>
      <c r="E18" s="38">
        <f>_xlfn.IFERROR(E17/Inputs!E119-1,"n.a.")</f>
        <v>0.14205568994801587</v>
      </c>
      <c r="F18" s="38">
        <f>_xlfn.IFERROR(F17/Inputs!F119-1,"n.a.")</f>
        <v>0.15158172231985945</v>
      </c>
      <c r="G18" s="38">
        <f>_xlfn.IFERROR(G17/Inputs!G119-1,"n.a.")</f>
        <v>0.04064289673009425</v>
      </c>
      <c r="H18" s="44">
        <f t="shared" si="4"/>
        <v>0.02959999999999985</v>
      </c>
      <c r="I18" s="17"/>
    </row>
    <row r="19" ht="13.5" customHeight="1">
      <c r="A19" s="1"/>
      <c r="B19" s="60" t="s">
        <v>85</v>
      </c>
      <c r="C19" s="51">
        <f>IF(ISNUMBER(Inputs!G119),C17-Inputs!G119,"n.a.")</f>
        <v>-162</v>
      </c>
      <c r="D19" s="47">
        <f t="shared" si="0"/>
        <v>1722</v>
      </c>
      <c r="E19" s="47" t="s">
        <v>38</v>
      </c>
      <c r="F19" s="47">
        <f t="shared" si="5"/>
        <v>-1731</v>
      </c>
      <c r="G19" s="47">
        <f t="shared" si="0"/>
        <v>391</v>
      </c>
      <c r="H19" s="52">
        <f t="shared" si="0"/>
        <v>-226.57040000000052</v>
      </c>
      <c r="I19" s="17"/>
    </row>
    <row r="20" ht="13.5" customHeight="1">
      <c r="A20" s="1"/>
      <c r="B20" s="60" t="s">
        <v>119</v>
      </c>
      <c r="C20" s="39" t="s">
        <v>38</v>
      </c>
      <c r="D20" s="39" t="s">
        <v>38</v>
      </c>
      <c r="E20" s="53">
        <v>0.09</v>
      </c>
      <c r="F20" s="39" t="s">
        <v>38</v>
      </c>
      <c r="G20" s="53">
        <v>0.02</v>
      </c>
      <c r="H20" s="44">
        <f t="shared" si="6"/>
        <v>0.040000000000000036</v>
      </c>
      <c r="I20" s="17"/>
    </row>
    <row r="21" ht="13.5" customHeight="1">
      <c r="A21" s="1"/>
      <c r="B21" s="60" t="s">
        <v>120</v>
      </c>
      <c r="C21" s="39" t="str">
        <f t="shared" si="1"/>
        <v>n.a.</v>
      </c>
      <c r="D21" s="39" t="str">
        <f t="shared" si="1"/>
        <v>n.a.</v>
      </c>
      <c r="E21" s="39">
        <f t="shared" si="1"/>
        <v>0.04775751371377601</v>
      </c>
      <c r="F21" s="39" t="str">
        <f t="shared" si="1"/>
        <v>n.a.</v>
      </c>
      <c r="G21" s="39">
        <f t="shared" si="1"/>
        <v>0.02023813404911201</v>
      </c>
      <c r="H21" s="54">
        <v>-0.01</v>
      </c>
      <c r="I21" s="17"/>
    </row>
    <row r="22" ht="13.5" customHeight="1">
      <c r="A22" s="1"/>
      <c r="B22" s="60" t="s">
        <v>121</v>
      </c>
      <c r="C22" s="39" t="s">
        <v>38</v>
      </c>
      <c r="D22" s="39" t="s">
        <v>38</v>
      </c>
      <c r="E22" s="39" t="s">
        <v>38</v>
      </c>
      <c r="F22" s="39" t="s">
        <v>38</v>
      </c>
      <c r="G22" s="39" t="s">
        <v>38</v>
      </c>
      <c r="H22" s="54">
        <v>0</v>
      </c>
      <c r="I22" s="17"/>
    </row>
    <row r="23" ht="13.5" customHeight="1">
      <c r="A23" s="1"/>
      <c r="B23" s="60" t="s">
        <v>90</v>
      </c>
      <c r="C23" s="39" t="str">
        <f t="shared" si="2"/>
        <v>n.a.</v>
      </c>
      <c r="D23" s="39" t="str">
        <f t="shared" si="2"/>
        <v>n.a.</v>
      </c>
      <c r="E23" s="39" t="str">
        <f t="shared" si="2"/>
        <v>n.a.</v>
      </c>
      <c r="F23" s="39" t="str">
        <f t="shared" si="2"/>
        <v>n.a.</v>
      </c>
      <c r="G23" s="39" t="str">
        <f t="shared" si="2"/>
        <v>n.a.</v>
      </c>
      <c r="H23" s="54">
        <v>0.04</v>
      </c>
      <c r="I23" s="32" t="s">
        <v>445</v>
      </c>
    </row>
    <row r="24" ht="27.75" customHeight="1">
      <c r="A24" s="1"/>
      <c r="B24" s="58" t="s">
        <v>446</v>
      </c>
      <c r="C24" s="45">
        <v>2936</v>
      </c>
      <c r="D24" s="24">
        <f>Inputs!E248</f>
        <v>3182</v>
      </c>
      <c r="E24" s="24">
        <f>Inputs!C248</f>
        <v>12004</v>
      </c>
      <c r="F24" s="45">
        <v>2814</v>
      </c>
      <c r="G24" s="45">
        <v>3112</v>
      </c>
      <c r="H24" s="23">
        <f>'Revenue summary'!H31-H10-H17</f>
        <v>3041.462128524039</v>
      </c>
      <c r="I24" s="32" t="s">
        <v>447</v>
      </c>
    </row>
    <row r="25" ht="13.5" customHeight="1">
      <c r="A25" s="1"/>
      <c r="B25" s="60" t="s">
        <v>74</v>
      </c>
      <c r="C25" s="38">
        <f>_xlfn.IFERROR(C24/Inputs!C120-1,"n.a.")</f>
        <v>0.0013642564802183177</v>
      </c>
      <c r="D25" s="38">
        <f>_xlfn.IFERROR(D24/Inputs!D120-1,"n.a.")</f>
        <v>-0.0071762870514821</v>
      </c>
      <c r="E25" s="38">
        <f>_xlfn.IFERROR(E24/Inputs!E120-1,"n.a.")</f>
        <v>-0.004478354619339875</v>
      </c>
      <c r="F25" s="38">
        <f>_xlfn.IFERROR(F24/Inputs!F120-1,"n.a.")</f>
        <v>0.011139058569888505</v>
      </c>
      <c r="G25" s="38">
        <f>_xlfn.IFERROR(G24/Inputs!G120-1,"n.a.")</f>
        <v>0.002900418949403738</v>
      </c>
      <c r="H25" s="44">
        <f t="shared" si="4"/>
        <v>0.035920343502738206</v>
      </c>
      <c r="I25" s="17"/>
    </row>
    <row r="26" ht="13.5" customHeight="1">
      <c r="A26" s="1"/>
      <c r="B26" s="60" t="s">
        <v>85</v>
      </c>
      <c r="C26" s="51">
        <f>IF(ISNUMBER(Inputs!G120),C24-Inputs!G120,"n.a.")</f>
        <v>-167</v>
      </c>
      <c r="D26" s="47">
        <f t="shared" si="0"/>
        <v>246</v>
      </c>
      <c r="E26" s="47" t="s">
        <v>38</v>
      </c>
      <c r="F26" s="47">
        <f t="shared" si="5"/>
        <v>-368</v>
      </c>
      <c r="G26" s="47">
        <f t="shared" si="0"/>
        <v>298</v>
      </c>
      <c r="H26" s="52">
        <f t="shared" si="0"/>
        <v>-70.53787147596086</v>
      </c>
      <c r="I26" s="17"/>
    </row>
    <row r="27" ht="27.75" customHeight="1">
      <c r="A27" s="1"/>
      <c r="B27" s="60" t="s">
        <v>119</v>
      </c>
      <c r="C27" s="39" t="s">
        <v>38</v>
      </c>
      <c r="D27" s="39" t="s">
        <v>38</v>
      </c>
      <c r="E27" s="53">
        <v>-0.007</v>
      </c>
      <c r="F27" s="39" t="s">
        <v>38</v>
      </c>
      <c r="G27" s="53">
        <v>0.05</v>
      </c>
      <c r="H27" s="44">
        <f>(1+H25)/(1+H28)-1</f>
        <v>0.0734925839406615</v>
      </c>
      <c r="I27" s="32" t="s">
        <v>448</v>
      </c>
    </row>
    <row r="28" ht="13.5" customHeight="1">
      <c r="A28" s="1"/>
      <c r="B28" s="60" t="s">
        <v>120</v>
      </c>
      <c r="C28" s="39" t="str">
        <f t="shared" si="1"/>
        <v>n.a.</v>
      </c>
      <c r="D28" s="39" t="str">
        <f t="shared" si="1"/>
        <v>n.a.</v>
      </c>
      <c r="E28" s="39">
        <f t="shared" si="1"/>
        <v>0.002539421329969871</v>
      </c>
      <c r="F28" s="39" t="str">
        <f t="shared" si="1"/>
        <v>n.a.</v>
      </c>
      <c r="G28" s="39">
        <f t="shared" si="1"/>
        <v>-0.04485674385771077</v>
      </c>
      <c r="H28" s="54">
        <v>-0.035</v>
      </c>
      <c r="I28" s="32" t="s">
        <v>449</v>
      </c>
    </row>
    <row r="29" ht="13.5" customHeight="1">
      <c r="A29" s="1"/>
      <c r="B29" s="60" t="s">
        <v>121</v>
      </c>
      <c r="C29" s="39" t="s">
        <v>38</v>
      </c>
      <c r="D29" s="39" t="s">
        <v>38</v>
      </c>
      <c r="E29" s="39" t="s">
        <v>38</v>
      </c>
      <c r="F29" s="39" t="s">
        <v>38</v>
      </c>
      <c r="G29" s="39" t="s">
        <v>38</v>
      </c>
      <c r="H29" s="54">
        <v>0</v>
      </c>
      <c r="I29" s="17"/>
    </row>
    <row r="30" ht="27.75" customHeight="1">
      <c r="A30" s="1"/>
      <c r="B30" s="60" t="s">
        <v>90</v>
      </c>
      <c r="C30" s="39" t="str">
        <f t="shared" si="2"/>
        <v>n.a.</v>
      </c>
      <c r="D30" s="39" t="str">
        <f t="shared" si="2"/>
        <v>n.a.</v>
      </c>
      <c r="E30" s="39" t="str">
        <f t="shared" si="2"/>
        <v>n.a.</v>
      </c>
      <c r="F30" s="39" t="str">
        <f t="shared" si="2"/>
        <v>n.a.</v>
      </c>
      <c r="G30" s="39" t="str">
        <f t="shared" si="2"/>
        <v>n.a.</v>
      </c>
      <c r="H30" s="44">
        <f>(1+H25)/((1+H29)*(1+H28))-1</f>
        <v>0.0734925839406615</v>
      </c>
      <c r="I30" s="32" t="s">
        <v>450</v>
      </c>
    </row>
    <row r="31" ht="13.5" customHeight="1">
      <c r="A31" s="1"/>
      <c r="B31" s="14" t="s">
        <v>451</v>
      </c>
      <c r="C31" s="49">
        <f t="shared" si="7" ref="C31:H31">C10+C17+C24</f>
        <v>16330</v>
      </c>
      <c r="D31" s="49">
        <f t="shared" si="7"/>
        <v>19686</v>
      </c>
      <c r="E31" s="49">
        <f t="shared" si="7"/>
        <v>67535</v>
      </c>
      <c r="F31" s="49">
        <f t="shared" si="7"/>
        <v>15917</v>
      </c>
      <c r="G31" s="49">
        <f t="shared" si="7"/>
        <v>17162</v>
      </c>
      <c r="H31" s="50">
        <f t="shared" si="7"/>
        <v>16850.61271352404</v>
      </c>
      <c r="I31" s="17"/>
    </row>
    <row r="32" ht="13.5" customHeight="1">
      <c r="A32" s="1"/>
      <c r="B32" s="43" t="s">
        <v>452</v>
      </c>
      <c r="C32" s="39">
        <f t="shared" si="8" ref="C32:H32">_xlfn.IFERROR(C10/C31,"n.a.")</f>
        <v>0.4986527862829149</v>
      </c>
      <c r="D32" s="39">
        <f t="shared" si="8"/>
        <v>0.48415117342273695</v>
      </c>
      <c r="E32" s="39">
        <f t="shared" si="8"/>
        <v>0.4936995631894573</v>
      </c>
      <c r="F32" s="39">
        <f t="shared" si="8"/>
        <v>0.49387447383300875</v>
      </c>
      <c r="G32" s="39">
        <f t="shared" si="8"/>
        <v>0.49044400419531525</v>
      </c>
      <c r="H32" s="44">
        <f t="shared" si="8"/>
        <v>0.49865967059204364</v>
      </c>
      <c r="I32" s="17"/>
    </row>
    <row r="33" ht="13.5" customHeight="1">
      <c r="A33" s="1"/>
      <c r="B33" s="43" t="s">
        <v>453</v>
      </c>
      <c r="C33" s="39">
        <f t="shared" si="9" ref="C33:H33">_xlfn.IFERROR(C17/C31,"n.a.")</f>
        <v>0.3215554194733619</v>
      </c>
      <c r="D33" s="39">
        <f t="shared" si="9"/>
        <v>0.3542111144976125</v>
      </c>
      <c r="E33" s="39">
        <f t="shared" si="9"/>
        <v>0.3285555637817428</v>
      </c>
      <c r="F33" s="39">
        <f t="shared" si="9"/>
        <v>0.32933341710121256</v>
      </c>
      <c r="G33" s="39">
        <f t="shared" si="9"/>
        <v>0.3282251485840811</v>
      </c>
      <c r="H33" s="44">
        <f t="shared" si="9"/>
        <v>0.32084468926526827</v>
      </c>
      <c r="I33" s="17"/>
    </row>
    <row r="34" ht="13.5" customHeight="1">
      <c r="A34" s="1"/>
      <c r="B34" s="43" t="s">
        <v>454</v>
      </c>
      <c r="C34" s="39">
        <f t="shared" si="10" ref="C34:H34">_xlfn.IFERROR(C24/C31,"n.a.")</f>
        <v>0.1797917942437232</v>
      </c>
      <c r="D34" s="39">
        <f t="shared" si="10"/>
        <v>0.16163771207965053</v>
      </c>
      <c r="E34" s="39">
        <f t="shared" si="10"/>
        <v>0.17774487302879988</v>
      </c>
      <c r="F34" s="39">
        <f t="shared" si="10"/>
        <v>0.17679210906577872</v>
      </c>
      <c r="G34" s="39">
        <f t="shared" si="10"/>
        <v>0.18133084722060366</v>
      </c>
      <c r="H34" s="44">
        <f t="shared" si="10"/>
        <v>0.18049564014268807</v>
      </c>
      <c r="I34" s="17"/>
    </row>
    <row r="35" ht="27.75" customHeight="1">
      <c r="A35" s="1"/>
      <c r="B35" s="17" t="s">
        <v>455</v>
      </c>
      <c r="C35" s="30" t="b">
        <f>ABS(C31-'Revenue summary'!C31)&lt;=1</f>
        <v>1</v>
      </c>
      <c r="D35" s="30" t="b">
        <f>ABS(D31-'Revenue summary'!D31)&lt;=1</f>
        <v>1</v>
      </c>
      <c r="E35" s="30" t="b">
        <f>ABS(E31-'Revenue summary'!E31)&lt;=1</f>
        <v>1</v>
      </c>
      <c r="F35" s="30" t="b">
        <f>ABS(F31-'Revenue summary'!F31)&lt;=1</f>
        <v>1</v>
      </c>
      <c r="G35" s="30" t="b">
        <f>ABS(G31-'Revenue summary'!G31)&lt;=1</f>
        <v>1</v>
      </c>
      <c r="H35" s="84" t="b">
        <f>ABS(H31-'Revenue summary'!H31)&lt;=1</f>
        <v>1</v>
      </c>
      <c r="I35" s="32" t="s">
        <v>456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29D21C8-3698-6CB1-1418-2F3C92E50725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60.00390625" customWidth="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</row>
    <row r="2" ht="13.5" customHeight="1">
      <c r="A2" s="1"/>
      <c r="B2" s="2" t="s">
        <v>0</v>
      </c>
      <c r="C2" s="1"/>
      <c r="D2" s="1"/>
      <c r="E2" s="1"/>
      <c r="F2" s="1"/>
      <c r="G2" s="1"/>
      <c r="H2" s="1"/>
      <c r="I2" s="1"/>
    </row>
    <row r="3" ht="13.5" customHeight="1">
      <c r="A3" s="1"/>
      <c r="B3" s="3" t="s">
        <v>457</v>
      </c>
      <c r="C3" s="1"/>
      <c r="D3" s="1"/>
      <c r="E3" s="1"/>
      <c r="F3" s="1"/>
      <c r="G3" s="1"/>
      <c r="H3" s="1"/>
      <c r="I3" s="1"/>
    </row>
    <row r="4" ht="13.5" customHeight="1">
      <c r="A4" s="1"/>
      <c r="B4" s="4" t="s">
        <v>458</v>
      </c>
      <c r="C4" s="1"/>
      <c r="D4" s="1"/>
      <c r="E4" s="1"/>
      <c r="F4" s="1"/>
      <c r="G4" s="1"/>
      <c r="H4" s="1"/>
      <c r="I4" s="1"/>
    </row>
    <row r="5" ht="13.5" customHeight="1">
      <c r="A5" s="1"/>
      <c r="B5" s="5" t="s">
        <v>62</v>
      </c>
      <c r="C5" s="6" t="s">
        <v>63</v>
      </c>
      <c r="D5" s="6" t="s">
        <v>64</v>
      </c>
      <c r="E5" s="6" t="s">
        <v>65</v>
      </c>
      <c r="F5" s="6" t="s">
        <v>66</v>
      </c>
      <c r="G5" s="6" t="s">
        <v>67</v>
      </c>
      <c r="H5" s="7" t="s">
        <v>68</v>
      </c>
      <c r="I5" s="5" t="s">
        <v>69</v>
      </c>
    </row>
    <row r="6" ht="13.5" customHeight="1">
      <c r="A6" s="1"/>
      <c r="B6" s="8" t="s">
        <v>70</v>
      </c>
      <c r="C6" s="9">
        <v>45930</v>
      </c>
      <c r="D6" s="9">
        <v>46022</v>
      </c>
      <c r="E6" s="9">
        <v>46022</v>
      </c>
      <c r="F6" s="9">
        <v>46112</v>
      </c>
      <c r="G6" s="9">
        <v>46203</v>
      </c>
      <c r="H6" s="10">
        <v>46295</v>
      </c>
      <c r="I6" s="8"/>
    </row>
    <row r="7" ht="13.5" customHeight="1">
      <c r="A7" s="1"/>
      <c r="B7" s="11" t="s">
        <v>71</v>
      </c>
      <c r="C7" s="12">
        <v>92</v>
      </c>
      <c r="D7" s="12">
        <v>92</v>
      </c>
      <c r="E7" s="12">
        <v>365</v>
      </c>
      <c r="F7" s="12">
        <v>90</v>
      </c>
      <c r="G7" s="12">
        <v>91</v>
      </c>
      <c r="H7" s="13">
        <v>92</v>
      </c>
      <c r="I7" s="11"/>
    </row>
    <row r="8" ht="13.5" customHeight="1">
      <c r="A8" s="1"/>
      <c r="B8" s="1"/>
      <c r="C8" s="1"/>
      <c r="D8" s="1"/>
      <c r="E8" s="1"/>
      <c r="F8" s="1"/>
      <c r="G8" s="1"/>
      <c r="H8" s="41"/>
      <c r="I8" s="1"/>
    </row>
    <row r="9" ht="13.5" customHeight="1">
      <c r="A9" s="1"/>
      <c r="B9" s="14" t="s">
        <v>459</v>
      </c>
      <c r="C9" s="22"/>
      <c r="D9" s="22"/>
      <c r="E9" s="22"/>
      <c r="F9" s="22"/>
      <c r="G9" s="22"/>
      <c r="H9" s="42"/>
      <c r="I9" s="17"/>
    </row>
    <row r="10" ht="24.75" customHeight="1">
      <c r="A10" s="1"/>
      <c r="B10" s="17" t="s">
        <v>460</v>
      </c>
      <c r="C10" s="45">
        <v>948.9</v>
      </c>
      <c r="D10" s="45">
        <v>952.4</v>
      </c>
      <c r="E10" s="45">
        <v>948.7</v>
      </c>
      <c r="F10" s="45">
        <v>952.1</v>
      </c>
      <c r="G10" s="45">
        <v>953.3</v>
      </c>
      <c r="H10" s="46">
        <v>954</v>
      </c>
      <c r="I10" s="32" t="s">
        <v>461</v>
      </c>
    </row>
    <row r="11" ht="53.25" customHeight="1">
      <c r="A11" s="1"/>
      <c r="B11" s="43" t="s">
        <v>74</v>
      </c>
      <c r="C11" s="38">
        <f>_xlfn.IFERROR(C10/Inputs!C173-1,"n.a.")</f>
        <v>0.02739281074058031</v>
      </c>
      <c r="D11" s="38">
        <f>_xlfn.IFERROR(D10/Inputs!D173-1,"n.a.")</f>
        <v>0.010611205432937254</v>
      </c>
      <c r="E11" s="38">
        <f>_xlfn.IFERROR(E10/Inputs!E173-1,"n.a.")</f>
        <v>0.01227059325650881</v>
      </c>
      <c r="F11" s="38">
        <f>_xlfn.IFERROR(F10/Inputs!F173-1,"n.a.")</f>
        <v>0.007086947323884152</v>
      </c>
      <c r="G11" s="38">
        <f>_xlfn.IFERROR(G10/Inputs!G173-1,"n.a.")</f>
        <v>0.005590717299577941</v>
      </c>
      <c r="H11" s="44">
        <f t="shared" si="1" ref="H11:H14">_xlfn.IFERROR(H10/C10-1,"n.a.")</f>
        <v>0.0053746443250080045</v>
      </c>
      <c r="I11" s="32" t="s">
        <v>462</v>
      </c>
    </row>
    <row r="12" ht="13.5" customHeight="1">
      <c r="A12" s="1"/>
      <c r="B12" s="43" t="s">
        <v>463</v>
      </c>
      <c r="C12" s="51">
        <f>IF(ISNUMBER(Inputs!G173),C10-Inputs!G173,"n.a.")</f>
        <v>0.8999999999999773</v>
      </c>
      <c r="D12" s="47">
        <f t="shared" si="0" ref="D12:H15">D10-C10</f>
        <v>3.5</v>
      </c>
      <c r="E12" s="47" t="s">
        <v>38</v>
      </c>
      <c r="F12" s="47">
        <f t="shared" si="2" ref="F12:F15">F10-D10</f>
        <v>-0.2999999999999545</v>
      </c>
      <c r="G12" s="47">
        <f t="shared" si="0"/>
        <v>1.1999999999999318</v>
      </c>
      <c r="H12" s="52">
        <f t="shared" si="0"/>
        <v>0.7000000000000455</v>
      </c>
      <c r="I12" s="17"/>
    </row>
    <row r="13" ht="24.75" customHeight="1">
      <c r="A13" s="1"/>
      <c r="B13" s="17" t="s">
        <v>464</v>
      </c>
      <c r="C13" s="45">
        <v>933.9</v>
      </c>
      <c r="D13" s="45">
        <v>936.5</v>
      </c>
      <c r="E13" s="45">
        <v>932.3</v>
      </c>
      <c r="F13" s="45">
        <v>938.5</v>
      </c>
      <c r="G13" s="45">
        <v>941.2</v>
      </c>
      <c r="H13" s="46">
        <v>942.6</v>
      </c>
      <c r="I13" s="32" t="s">
        <v>465</v>
      </c>
    </row>
    <row r="14" ht="13.5" customHeight="1">
      <c r="A14" s="1"/>
      <c r="B14" s="43" t="s">
        <v>74</v>
      </c>
      <c r="C14" s="38">
        <f>_xlfn.IFERROR(C13/Inputs!C174-1,"n.a.")</f>
        <v>0.011152013858813259</v>
      </c>
      <c r="D14" s="38">
        <f>_xlfn.IFERROR(D13/Inputs!D174-1,"n.a.")</f>
        <v>0.011339092872570289</v>
      </c>
      <c r="E14" s="38">
        <f>_xlfn.IFERROR(E13/Inputs!E174-1,"n.a.")</f>
        <v>0.011390757214146285</v>
      </c>
      <c r="F14" s="38">
        <f>_xlfn.IFERROR(F13/Inputs!F174-1,"n.a.")</f>
        <v>0.011314655172413701</v>
      </c>
      <c r="G14" s="38">
        <f>_xlfn.IFERROR(G13/Inputs!G174-1,"n.a.")</f>
        <v>0.011173184357541999</v>
      </c>
      <c r="H14" s="44">
        <f t="shared" si="1"/>
        <v>0.009315772566655944</v>
      </c>
      <c r="I14" s="17"/>
    </row>
    <row r="15" ht="13.5" customHeight="1">
      <c r="A15" s="1"/>
      <c r="B15" s="43" t="s">
        <v>463</v>
      </c>
      <c r="C15" s="51">
        <f>IF(ISNUMBER(Inputs!G174),C13-Inputs!G174,"n.a.")</f>
        <v>3.1000000000000227</v>
      </c>
      <c r="D15" s="47">
        <f t="shared" si="0"/>
        <v>2.6000000000000227</v>
      </c>
      <c r="E15" s="47" t="s">
        <v>38</v>
      </c>
      <c r="F15" s="47">
        <f t="shared" si="2"/>
        <v>2</v>
      </c>
      <c r="G15" s="47">
        <f t="shared" si="0"/>
        <v>2.7000000000000455</v>
      </c>
      <c r="H15" s="52">
        <f t="shared" si="0"/>
        <v>1.3999999999999773</v>
      </c>
      <c r="I15" s="17"/>
    </row>
    <row r="16" ht="13.5" customHeight="1">
      <c r="A16" s="1"/>
      <c r="B16" s="17" t="s">
        <v>466</v>
      </c>
      <c r="C16" s="25">
        <f t="shared" si="3" ref="C16:H16">C10-C13</f>
        <v>15</v>
      </c>
      <c r="D16" s="25">
        <f t="shared" si="3"/>
        <v>15.899999999999977</v>
      </c>
      <c r="E16" s="25">
        <f t="shared" si="3"/>
        <v>16.40000000000009</v>
      </c>
      <c r="F16" s="25">
        <f t="shared" si="3"/>
        <v>13.600000000000023</v>
      </c>
      <c r="G16" s="25">
        <f t="shared" si="3"/>
        <v>12.099999999999909</v>
      </c>
      <c r="H16" s="56">
        <f t="shared" si="3"/>
        <v>11.399999999999977</v>
      </c>
      <c r="I16" s="17"/>
    </row>
    <row r="17" ht="13.5" customHeight="1">
      <c r="A17" s="1"/>
      <c r="B17" s="43" t="s">
        <v>467</v>
      </c>
      <c r="C17" s="39">
        <f t="shared" si="4" ref="C17:H17">C16/C13</f>
        <v>0.016061676839061997</v>
      </c>
      <c r="D17" s="39">
        <f t="shared" si="4"/>
        <v>0.01697810998398289</v>
      </c>
      <c r="E17" s="39">
        <f t="shared" si="4"/>
        <v>0.017590904215381415</v>
      </c>
      <c r="F17" s="39">
        <f t="shared" si="4"/>
        <v>0.014491209376664914</v>
      </c>
      <c r="G17" s="39">
        <f t="shared" si="4"/>
        <v>0.012855928601784859</v>
      </c>
      <c r="H17" s="44">
        <f t="shared" si="4"/>
        <v>0.012094207511139377</v>
      </c>
      <c r="I17" s="17"/>
    </row>
    <row r="18" ht="13.5" customHeight="1">
      <c r="A18" s="1"/>
      <c r="B18" s="60" t="s">
        <v>110</v>
      </c>
      <c r="C18" s="62" t="s">
        <v>38</v>
      </c>
      <c r="D18" s="62">
        <f t="shared" si="5" ref="D18:H18">(D17-C17)*10000</f>
        <v>9.164331449208925</v>
      </c>
      <c r="E18" s="62" t="s">
        <v>38</v>
      </c>
      <c r="F18" s="62">
        <f>(F17-D17)*10000</f>
        <v>-24.869006073179758</v>
      </c>
      <c r="G18" s="62">
        <f t="shared" si="5"/>
        <v>-16.352807748800554</v>
      </c>
      <c r="H18" s="63">
        <f t="shared" si="5"/>
        <v>-7.617210906454823</v>
      </c>
      <c r="I18" s="17"/>
    </row>
    <row r="19" ht="13.5" customHeight="1">
      <c r="A19" s="1"/>
      <c r="B19" s="17"/>
      <c r="C19" s="20"/>
      <c r="D19" s="20"/>
      <c r="E19" s="20"/>
      <c r="F19" s="20"/>
      <c r="G19" s="20"/>
      <c r="H19" s="55"/>
      <c r="I19" s="17"/>
    </row>
    <row r="20" ht="13.5" customHeight="1">
      <c r="A20" s="1"/>
      <c r="B20" s="14" t="s">
        <v>468</v>
      </c>
      <c r="C20" s="22"/>
      <c r="D20" s="22"/>
      <c r="E20" s="22"/>
      <c r="F20" s="22"/>
      <c r="G20" s="22"/>
      <c r="H20" s="42"/>
      <c r="I20" s="17"/>
    </row>
    <row r="21" ht="13.5" customHeight="1">
      <c r="A21" s="1"/>
      <c r="B21" s="17" t="s">
        <v>469</v>
      </c>
      <c r="C21" s="45">
        <v>934.735206</v>
      </c>
      <c r="D21" s="25" t="s">
        <v>38</v>
      </c>
      <c r="E21" s="25" t="s">
        <v>38</v>
      </c>
      <c r="F21" s="25" t="s">
        <v>38</v>
      </c>
      <c r="G21" s="45">
        <v>942.13439</v>
      </c>
      <c r="H21" s="56" t="s">
        <v>38</v>
      </c>
      <c r="I21" s="32" t="s">
        <v>470</v>
      </c>
    </row>
    <row r="22" ht="24.75" customHeight="1">
      <c r="A22" s="1"/>
      <c r="B22" s="17" t="s">
        <v>471</v>
      </c>
      <c r="C22" s="25" t="s">
        <v>38</v>
      </c>
      <c r="D22" s="25" t="s">
        <v>38</v>
      </c>
      <c r="E22" s="25" t="s">
        <v>38</v>
      </c>
      <c r="F22" s="45">
        <v>-350</v>
      </c>
      <c r="G22" s="45">
        <v>-116</v>
      </c>
      <c r="H22" s="56" t="s">
        <v>38</v>
      </c>
      <c r="I22" s="32" t="s">
        <v>472</v>
      </c>
    </row>
    <row r="23" ht="13.5" customHeight="1">
      <c r="A23" s="1"/>
      <c r="B23" s="17" t="s">
        <v>473</v>
      </c>
      <c r="C23" s="25" t="s">
        <v>38</v>
      </c>
      <c r="D23" s="25" t="s">
        <v>38</v>
      </c>
      <c r="E23" s="25" t="s">
        <v>38</v>
      </c>
      <c r="F23" s="45">
        <v>178</v>
      </c>
      <c r="G23" s="45">
        <v>240</v>
      </c>
      <c r="H23" s="56" t="s">
        <v>38</v>
      </c>
      <c r="I23" s="17"/>
    </row>
    <row r="24" ht="13.5" customHeight="1">
      <c r="A24" s="1"/>
      <c r="B24" s="58" t="s">
        <v>474</v>
      </c>
      <c r="C24" s="25" t="str">
        <f t="shared" si="6" ref="C24:H24">_xlfn.IFERROR(C22+C23,"n.a.")</f>
        <v>n.a.</v>
      </c>
      <c r="D24" s="25" t="str">
        <f t="shared" si="6"/>
        <v>n.a.</v>
      </c>
      <c r="E24" s="25" t="str">
        <f t="shared" si="6"/>
        <v>n.a.</v>
      </c>
      <c r="F24" s="25">
        <f t="shared" si="6"/>
        <v>-172</v>
      </c>
      <c r="G24" s="25">
        <f t="shared" si="6"/>
        <v>124</v>
      </c>
      <c r="H24" s="56" t="str">
        <f t="shared" si="6"/>
        <v>n.a.</v>
      </c>
      <c r="I24" s="17"/>
    </row>
    <row r="25" ht="13.5" customHeight="1">
      <c r="A25" s="1"/>
      <c r="B25" s="17" t="s">
        <v>475</v>
      </c>
      <c r="C25" s="85">
        <v>1.68</v>
      </c>
      <c r="D25" s="85">
        <v>1.68</v>
      </c>
      <c r="E25" s="85">
        <v>6.71</v>
      </c>
      <c r="F25" s="85">
        <v>1.68</v>
      </c>
      <c r="G25" s="85">
        <v>1.69</v>
      </c>
      <c r="H25" s="86">
        <v>1.69</v>
      </c>
      <c r="I25" s="32" t="s">
        <v>476</v>
      </c>
    </row>
    <row r="26" ht="13.5" customHeight="1">
      <c r="A26" s="1"/>
      <c r="B26" s="58" t="s">
        <v>477</v>
      </c>
      <c r="C26" s="24">
        <f>'Cash Flow Statement'!C48</f>
        <v>-1569</v>
      </c>
      <c r="D26" s="24">
        <f>'Cash Flow Statement'!D48</f>
        <v>-1573</v>
      </c>
      <c r="E26" s="24">
        <f>'Cash Flow Statement'!E48</f>
        <v>-6255</v>
      </c>
      <c r="F26" s="24">
        <f>'Cash Flow Statement'!F48</f>
        <v>-1576</v>
      </c>
      <c r="G26" s="24">
        <f>'Cash Flow Statement'!G48</f>
        <v>-1590</v>
      </c>
      <c r="H26" s="23">
        <f>'Cash Flow Statement'!H48</f>
        <v>-1592.994</v>
      </c>
      <c r="I26" s="17"/>
    </row>
    <row r="27" ht="13.5" customHeight="1">
      <c r="A27" s="1"/>
      <c r="B27" s="17"/>
      <c r="C27" s="20"/>
      <c r="D27" s="20"/>
      <c r="E27" s="20"/>
      <c r="F27" s="20"/>
      <c r="G27" s="20"/>
      <c r="H27" s="55"/>
      <c r="I27" s="17"/>
    </row>
    <row r="28" ht="13.5" customHeight="1">
      <c r="A28" s="1"/>
      <c r="B28" s="14" t="s">
        <v>478</v>
      </c>
      <c r="C28" s="22"/>
      <c r="D28" s="22"/>
      <c r="E28" s="22"/>
      <c r="F28" s="22"/>
      <c r="G28" s="22"/>
      <c r="H28" s="42"/>
      <c r="I28" s="17"/>
    </row>
    <row r="29" ht="13.5" customHeight="1">
      <c r="A29" s="1"/>
      <c r="B29" s="17" t="s">
        <v>479</v>
      </c>
      <c r="C29" s="25"/>
      <c r="D29" s="25"/>
      <c r="E29" s="25"/>
      <c r="F29" s="25"/>
      <c r="G29" s="25"/>
      <c r="H29" s="56">
        <f>H10</f>
        <v>954</v>
      </c>
      <c r="I29" s="17"/>
    </row>
    <row r="30" ht="13.5" customHeight="1">
      <c r="A30" s="1"/>
      <c r="B30" s="17" t="s">
        <v>480</v>
      </c>
      <c r="C30" s="25"/>
      <c r="D30" s="25"/>
      <c r="E30" s="25"/>
      <c r="F30" s="25"/>
      <c r="G30" s="25"/>
      <c r="H30" s="23">
        <f>'Income Statement'!H116</f>
        <v>2722.550132863037</v>
      </c>
      <c r="I30" s="17"/>
    </row>
    <row r="31" ht="13.5" customHeight="1">
      <c r="A31" s="1"/>
      <c r="B31" s="14" t="s">
        <v>481</v>
      </c>
      <c r="C31" s="77"/>
      <c r="D31" s="77"/>
      <c r="E31" s="77"/>
      <c r="F31" s="77"/>
      <c r="G31" s="77"/>
      <c r="H31" s="78">
        <f>H30/H29</f>
        <v>2.853826135076559</v>
      </c>
      <c r="I31" s="17"/>
    </row>
    <row r="32" ht="24.75" customHeight="1">
      <c r="A32" s="1"/>
      <c r="B32" s="58" t="s">
        <v>482</v>
      </c>
      <c r="C32" s="29"/>
      <c r="D32" s="29"/>
      <c r="E32" s="29"/>
      <c r="F32" s="29"/>
      <c r="G32" s="29"/>
      <c r="H32" s="76">
        <f>H30/(H29+1)-H31</f>
        <v>-0.0029882996178813848</v>
      </c>
      <c r="I32" s="17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234B8B7-E33F-D308-B5D8-ACAC48D5617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34.00390625" customWidth="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</row>
    <row r="2" ht="13.5" customHeight="1">
      <c r="A2" s="1"/>
      <c r="B2" s="2" t="s">
        <v>0</v>
      </c>
      <c r="C2" s="1"/>
      <c r="D2" s="1"/>
      <c r="E2" s="1"/>
      <c r="F2" s="1"/>
      <c r="G2" s="1"/>
      <c r="H2" s="1"/>
      <c r="I2" s="1"/>
    </row>
    <row r="3" ht="13.5" customHeight="1">
      <c r="A3" s="1"/>
      <c r="B3" s="3" t="s">
        <v>483</v>
      </c>
      <c r="C3" s="1"/>
      <c r="D3" s="1"/>
      <c r="E3" s="1"/>
      <c r="F3" s="1"/>
      <c r="G3" s="1"/>
      <c r="H3" s="1"/>
      <c r="I3" s="1"/>
    </row>
    <row r="4" ht="13.5" customHeight="1">
      <c r="A4" s="1"/>
      <c r="B4" s="4" t="s">
        <v>484</v>
      </c>
      <c r="C4" s="1"/>
      <c r="D4" s="1"/>
      <c r="E4" s="1"/>
      <c r="F4" s="1"/>
      <c r="G4" s="1"/>
      <c r="H4" s="1"/>
      <c r="I4" s="1"/>
    </row>
    <row r="5" ht="13.5" customHeight="1">
      <c r="A5" s="1"/>
      <c r="B5" s="5" t="s">
        <v>485</v>
      </c>
      <c r="C5" s="6"/>
      <c r="D5" s="6"/>
      <c r="E5" s="6"/>
      <c r="F5" s="6"/>
      <c r="G5" s="6"/>
      <c r="H5" s="7"/>
      <c r="I5" s="5"/>
    </row>
    <row r="6" ht="13.5" customHeight="1">
      <c r="A6" s="1"/>
      <c r="B6" s="8"/>
      <c r="C6" s="9"/>
      <c r="D6" s="9"/>
      <c r="E6" s="9"/>
      <c r="F6" s="9"/>
      <c r="G6" s="9"/>
      <c r="H6" s="10"/>
      <c r="I6" s="8"/>
    </row>
    <row r="7" ht="13.5" customHeight="1">
      <c r="A7" s="1"/>
      <c r="B7" s="11"/>
      <c r="C7" s="12"/>
      <c r="D7" s="12"/>
      <c r="E7" s="12"/>
      <c r="F7" s="12"/>
      <c r="G7" s="12"/>
      <c r="H7" s="13"/>
      <c r="I7" s="11"/>
    </row>
    <row r="8" ht="13.5" customHeight="1">
      <c r="A8" s="1"/>
      <c r="B8" s="1"/>
      <c r="C8" s="1"/>
      <c r="D8" s="1"/>
      <c r="E8" s="1"/>
      <c r="F8" s="1"/>
      <c r="G8" s="1"/>
      <c r="H8" s="1"/>
      <c r="I8" s="1"/>
    </row>
    <row r="9" ht="47.25" customHeight="1">
      <c r="A9" s="1"/>
      <c r="B9" s="14" t="s">
        <v>486</v>
      </c>
      <c r="C9" s="22"/>
      <c r="D9" s="22"/>
      <c r="E9" s="22"/>
      <c r="F9" s="22"/>
      <c r="G9" s="22"/>
      <c r="H9" s="22"/>
      <c r="I9" s="17"/>
    </row>
    <row r="10" ht="13.5" customHeight="1">
      <c r="A10" s="1"/>
      <c r="B10" s="14" t="s">
        <v>27</v>
      </c>
      <c r="C10" s="16" t="s">
        <v>487</v>
      </c>
      <c r="D10" s="16" t="s">
        <v>62</v>
      </c>
      <c r="E10" s="16" t="s">
        <v>488</v>
      </c>
      <c r="F10" s="16" t="s">
        <v>489</v>
      </c>
      <c r="G10" s="16" t="s">
        <v>490</v>
      </c>
      <c r="H10" s="16" t="s">
        <v>491</v>
      </c>
      <c r="I10" s="17" t="s">
        <v>492</v>
      </c>
    </row>
    <row r="11" ht="24.75" customHeight="1">
      <c r="A11" s="1"/>
      <c r="B11" s="32" t="s">
        <v>493</v>
      </c>
      <c r="C11" s="87">
        <v>46050</v>
      </c>
      <c r="D11" s="69" t="s">
        <v>494</v>
      </c>
      <c r="E11" s="53">
        <v>0.05</v>
      </c>
      <c r="F11" s="39" t="s">
        <v>38</v>
      </c>
      <c r="G11" s="39" t="s">
        <v>38</v>
      </c>
      <c r="H11" s="39" t="s">
        <v>38</v>
      </c>
      <c r="I11" s="88" t="s">
        <v>495</v>
      </c>
    </row>
    <row r="12" ht="13.5" customHeight="1">
      <c r="A12" s="1"/>
      <c r="B12" s="32" t="s">
        <v>496</v>
      </c>
      <c r="C12" s="87">
        <v>46050</v>
      </c>
      <c r="D12" s="69" t="s">
        <v>494</v>
      </c>
      <c r="E12" s="53">
        <v>0.005</v>
      </c>
      <c r="F12" s="53">
        <v>0.005</v>
      </c>
      <c r="G12" s="39">
        <f t="shared" si="0" ref="G12:G33">AVERAGE(E12,F12)</f>
        <v>0.005</v>
      </c>
      <c r="H12" s="39" t="s">
        <v>38</v>
      </c>
      <c r="I12" s="88" t="s">
        <v>497</v>
      </c>
    </row>
    <row r="13" ht="24.75" customHeight="1">
      <c r="A13" s="1"/>
      <c r="B13" s="17" t="s">
        <v>498</v>
      </c>
      <c r="C13" s="89">
        <v>46050</v>
      </c>
      <c r="D13" s="19" t="s">
        <v>494</v>
      </c>
      <c r="E13" s="45">
        <v>1000</v>
      </c>
      <c r="F13" s="45">
        <v>1000</v>
      </c>
      <c r="G13" s="25">
        <f t="shared" si="0"/>
        <v>1000</v>
      </c>
      <c r="H13" s="25" t="s">
        <v>38</v>
      </c>
      <c r="I13" s="88" t="s">
        <v>499</v>
      </c>
    </row>
    <row r="14" ht="24.75" customHeight="1">
      <c r="A14" s="1"/>
      <c r="B14" s="32" t="s">
        <v>500</v>
      </c>
      <c r="C14" s="87">
        <v>46134</v>
      </c>
      <c r="D14" s="69" t="s">
        <v>494</v>
      </c>
      <c r="E14" s="53">
        <v>0.05</v>
      </c>
      <c r="F14" s="39" t="s">
        <v>38</v>
      </c>
      <c r="G14" s="39" t="s">
        <v>38</v>
      </c>
      <c r="H14" s="39" t="s">
        <v>38</v>
      </c>
      <c r="I14" s="88" t="s">
        <v>501</v>
      </c>
    </row>
    <row r="15" ht="13.5" customHeight="1">
      <c r="A15" s="1"/>
      <c r="B15" s="32" t="s">
        <v>496</v>
      </c>
      <c r="C15" s="87">
        <v>46134</v>
      </c>
      <c r="D15" s="69" t="s">
        <v>494</v>
      </c>
      <c r="E15" s="53">
        <v>0.005</v>
      </c>
      <c r="F15" s="53">
        <v>0.01</v>
      </c>
      <c r="G15" s="39">
        <f t="shared" si="0"/>
        <v>0.0075</v>
      </c>
      <c r="H15" s="39" t="s">
        <v>38</v>
      </c>
      <c r="I15" s="88" t="s">
        <v>497</v>
      </c>
    </row>
    <row r="16" ht="13.5" customHeight="1">
      <c r="A16" s="1"/>
      <c r="B16" s="17" t="s">
        <v>502</v>
      </c>
      <c r="C16" s="89">
        <v>46134</v>
      </c>
      <c r="D16" s="19" t="s">
        <v>494</v>
      </c>
      <c r="E16" s="45">
        <v>1000</v>
      </c>
      <c r="F16" s="45">
        <v>1000</v>
      </c>
      <c r="G16" s="25">
        <f t="shared" si="0"/>
        <v>1000</v>
      </c>
      <c r="H16" s="25" t="s">
        <v>38</v>
      </c>
      <c r="I16" s="88" t="s">
        <v>503</v>
      </c>
    </row>
    <row r="17" ht="24.75" customHeight="1">
      <c r="A17" s="1"/>
      <c r="B17" s="32" t="s">
        <v>504</v>
      </c>
      <c r="C17" s="87">
        <v>46225</v>
      </c>
      <c r="D17" s="69" t="s">
        <v>494</v>
      </c>
      <c r="E17" s="53">
        <v>0.04</v>
      </c>
      <c r="F17" s="53">
        <v>0.05</v>
      </c>
      <c r="G17" s="39">
        <f t="shared" si="0"/>
        <v>0.045</v>
      </c>
      <c r="H17" s="39" t="s">
        <v>38</v>
      </c>
      <c r="I17" s="88" t="s">
        <v>505</v>
      </c>
    </row>
    <row r="18" ht="24.75" customHeight="1">
      <c r="A18" s="1"/>
      <c r="B18" s="32" t="s">
        <v>506</v>
      </c>
      <c r="C18" s="87">
        <v>46225</v>
      </c>
      <c r="D18" s="69" t="s">
        <v>494</v>
      </c>
      <c r="E18" s="66">
        <v>0</v>
      </c>
      <c r="F18" s="66">
        <v>0</v>
      </c>
      <c r="G18" s="90">
        <f t="shared" si="0"/>
        <v>0</v>
      </c>
      <c r="H18" s="39" t="s">
        <v>38</v>
      </c>
      <c r="I18" s="88" t="s">
        <v>503</v>
      </c>
    </row>
    <row r="19" ht="13.5" customHeight="1">
      <c r="A19" s="1"/>
      <c r="B19" s="17" t="s">
        <v>502</v>
      </c>
      <c r="C19" s="89">
        <v>46225</v>
      </c>
      <c r="D19" s="19" t="s">
        <v>494</v>
      </c>
      <c r="E19" s="45">
        <v>1000</v>
      </c>
      <c r="F19" s="45">
        <v>1000</v>
      </c>
      <c r="G19" s="25">
        <f t="shared" si="0"/>
        <v>1000</v>
      </c>
      <c r="H19" s="25" t="s">
        <v>38</v>
      </c>
      <c r="I19" s="88" t="s">
        <v>503</v>
      </c>
    </row>
    <row r="20" ht="13.5" customHeight="1">
      <c r="A20" s="1"/>
      <c r="B20" s="17" t="s">
        <v>507</v>
      </c>
      <c r="C20" s="89">
        <v>46225</v>
      </c>
      <c r="D20" s="19" t="s">
        <v>494</v>
      </c>
      <c r="E20" s="91">
        <v>100</v>
      </c>
      <c r="F20" s="91">
        <v>100</v>
      </c>
      <c r="G20" s="37">
        <f t="shared" si="0"/>
        <v>100</v>
      </c>
      <c r="H20" s="37" t="s">
        <v>38</v>
      </c>
      <c r="I20" s="88" t="s">
        <v>503</v>
      </c>
    </row>
    <row r="21" ht="24.75" customHeight="1">
      <c r="A21" s="1"/>
      <c r="B21" s="32" t="s">
        <v>508</v>
      </c>
      <c r="C21" s="87">
        <v>46225</v>
      </c>
      <c r="D21" s="69" t="s">
        <v>494</v>
      </c>
      <c r="E21" s="53">
        <v>0.14</v>
      </c>
      <c r="F21" s="53">
        <v>0.16</v>
      </c>
      <c r="G21" s="39">
        <f t="shared" si="0"/>
        <v>0.15000000000000002</v>
      </c>
      <c r="H21" s="39" t="s">
        <v>38</v>
      </c>
      <c r="I21" s="88" t="s">
        <v>503</v>
      </c>
    </row>
    <row r="22" ht="13.5" customHeight="1">
      <c r="A22" s="1"/>
      <c r="B22" s="32" t="s">
        <v>509</v>
      </c>
      <c r="C22" s="87">
        <v>46225</v>
      </c>
      <c r="D22" s="69" t="s">
        <v>494</v>
      </c>
      <c r="E22" s="53">
        <v>0.06</v>
      </c>
      <c r="F22" s="53">
        <v>0.08</v>
      </c>
      <c r="G22" s="39">
        <f t="shared" si="0"/>
        <v>0.07</v>
      </c>
      <c r="H22" s="39" t="s">
        <v>38</v>
      </c>
      <c r="I22" s="88" t="s">
        <v>503</v>
      </c>
    </row>
    <row r="23" ht="24.75" customHeight="1">
      <c r="A23" s="1"/>
      <c r="B23" s="32" t="s">
        <v>510</v>
      </c>
      <c r="C23" s="87">
        <v>46225</v>
      </c>
      <c r="D23" s="69" t="s">
        <v>494</v>
      </c>
      <c r="E23" s="53">
        <v>0.01</v>
      </c>
      <c r="F23" s="53">
        <v>0.03</v>
      </c>
      <c r="G23" s="39">
        <f t="shared" si="0"/>
        <v>0.02</v>
      </c>
      <c r="H23" s="39" t="s">
        <v>38</v>
      </c>
      <c r="I23" s="88" t="s">
        <v>503</v>
      </c>
    </row>
    <row r="24" ht="24.75" customHeight="1">
      <c r="A24" s="1"/>
      <c r="B24" s="32" t="s">
        <v>511</v>
      </c>
      <c r="C24" s="87">
        <v>46225</v>
      </c>
      <c r="D24" s="69" t="s">
        <v>494</v>
      </c>
      <c r="E24" s="53">
        <v>0.02</v>
      </c>
      <c r="F24" s="53">
        <v>0.05</v>
      </c>
      <c r="G24" s="39">
        <f t="shared" si="0"/>
        <v>0.035</v>
      </c>
      <c r="H24" s="39" t="s">
        <v>38</v>
      </c>
      <c r="I24" s="88" t="s">
        <v>503</v>
      </c>
    </row>
    <row r="25" ht="24.75" customHeight="1">
      <c r="A25" s="1"/>
      <c r="B25" s="32" t="s">
        <v>512</v>
      </c>
      <c r="C25" s="87">
        <v>46225</v>
      </c>
      <c r="D25" s="69" t="s">
        <v>513</v>
      </c>
      <c r="E25" s="53">
        <v>0.04</v>
      </c>
      <c r="F25" s="53">
        <v>0.05</v>
      </c>
      <c r="G25" s="39">
        <f t="shared" si="0"/>
        <v>0.045</v>
      </c>
      <c r="H25" s="39" t="s">
        <v>38</v>
      </c>
      <c r="I25" s="88" t="s">
        <v>514</v>
      </c>
    </row>
    <row r="26" ht="24.75" customHeight="1">
      <c r="A26" s="1"/>
      <c r="B26" s="32" t="s">
        <v>515</v>
      </c>
      <c r="C26" s="87">
        <v>46225</v>
      </c>
      <c r="D26" s="69" t="s">
        <v>513</v>
      </c>
      <c r="E26" s="53">
        <v>-0.015</v>
      </c>
      <c r="F26" s="53">
        <v>-0.015</v>
      </c>
      <c r="G26" s="39">
        <f t="shared" si="0"/>
        <v>-0.015</v>
      </c>
      <c r="H26" s="39" t="s">
        <v>38</v>
      </c>
      <c r="I26" s="88" t="s">
        <v>503</v>
      </c>
    </row>
    <row r="27" ht="36" customHeight="1">
      <c r="A27" s="1"/>
      <c r="B27" s="17" t="s">
        <v>516</v>
      </c>
      <c r="C27" s="89">
        <v>46225</v>
      </c>
      <c r="D27" s="19" t="s">
        <v>513</v>
      </c>
      <c r="E27" s="36">
        <f>'Income Statement'!G86</f>
        <v>35.05534544954947</v>
      </c>
      <c r="F27" s="36">
        <f>'Income Statement'!G86</f>
        <v>35.05534544954947</v>
      </c>
      <c r="G27" s="37">
        <f t="shared" si="0"/>
        <v>35.05534544954947</v>
      </c>
      <c r="H27" s="37" t="s">
        <v>38</v>
      </c>
      <c r="I27" s="88" t="s">
        <v>517</v>
      </c>
    </row>
    <row r="28" ht="13.5" customHeight="1">
      <c r="A28" s="1"/>
      <c r="B28" s="32" t="s">
        <v>518</v>
      </c>
      <c r="C28" s="87">
        <v>46225</v>
      </c>
      <c r="D28" s="69" t="s">
        <v>513</v>
      </c>
      <c r="E28" s="53">
        <v>0.14</v>
      </c>
      <c r="F28" s="53">
        <v>0.16</v>
      </c>
      <c r="G28" s="39">
        <f t="shared" si="0"/>
        <v>0.15000000000000002</v>
      </c>
      <c r="H28" s="39" t="s">
        <v>38</v>
      </c>
      <c r="I28" s="88" t="s">
        <v>503</v>
      </c>
    </row>
    <row r="29" ht="24.75" customHeight="1">
      <c r="A29" s="1"/>
      <c r="B29" s="32" t="s">
        <v>519</v>
      </c>
      <c r="C29" s="87">
        <v>45952</v>
      </c>
      <c r="D29" s="69" t="s">
        <v>520</v>
      </c>
      <c r="E29" s="53">
        <v>0.05</v>
      </c>
      <c r="F29" s="39" t="s">
        <v>38</v>
      </c>
      <c r="G29" s="39" t="s">
        <v>38</v>
      </c>
      <c r="H29" s="38">
        <f>'Revenue summary'!E35</f>
        <v>0.06</v>
      </c>
      <c r="I29" s="88" t="str">
        <f>IF(H29&gt;E29,"Beat (above low end)","Miss")</f>
        <v>Beat (above low end)</v>
      </c>
    </row>
    <row r="30" ht="13.5" customHeight="1">
      <c r="A30" s="1"/>
      <c r="B30" s="17" t="s">
        <v>522</v>
      </c>
      <c r="C30" s="89">
        <v>45952</v>
      </c>
      <c r="D30" s="19" t="s">
        <v>520</v>
      </c>
      <c r="E30" s="45">
        <v>14000</v>
      </c>
      <c r="F30" s="45">
        <v>14000</v>
      </c>
      <c r="G30" s="25">
        <f t="shared" si="0"/>
        <v>14000</v>
      </c>
      <c r="H30" s="24">
        <f>'Cash Flow Statement'!E73</f>
        <v>14735</v>
      </c>
      <c r="I30" s="88" t="str">
        <f>IF(H30&gt;G30,"Beat","Miss")</f>
        <v>Beat</v>
      </c>
    </row>
    <row r="31" ht="24.75" customHeight="1">
      <c r="A31" s="1"/>
      <c r="B31" s="32" t="s">
        <v>524</v>
      </c>
      <c r="C31" s="87">
        <v>45952</v>
      </c>
      <c r="D31" s="69" t="s">
        <v>520</v>
      </c>
      <c r="E31" s="53">
        <v>0.015</v>
      </c>
      <c r="F31" s="53">
        <v>0.015</v>
      </c>
      <c r="G31" s="39">
        <f t="shared" si="0"/>
        <v>0.015</v>
      </c>
      <c r="H31" s="38">
        <f>'Revenue summary'!E36</f>
        <v>0.015286347281299628</v>
      </c>
      <c r="I31" s="88" t="str">
        <f>IF(H31&gt;=G31,"At / above guide","Below guide")</f>
        <v>At / above guide</v>
      </c>
    </row>
    <row r="32" ht="24.75" customHeight="1">
      <c r="A32" s="1"/>
      <c r="B32" s="17" t="s">
        <v>526</v>
      </c>
      <c r="C32" s="89">
        <v>46217</v>
      </c>
      <c r="D32" s="19" t="s">
        <v>527</v>
      </c>
      <c r="E32" s="45">
        <v>17200</v>
      </c>
      <c r="F32" s="45">
        <v>17200</v>
      </c>
      <c r="G32" s="25">
        <f t="shared" si="0"/>
        <v>17200</v>
      </c>
      <c r="H32" s="24">
        <f>'Income Statement'!G10</f>
        <v>17162</v>
      </c>
      <c r="I32" s="88" t="str">
        <f>IF(ABS(H32/G32-1)&lt;0.005,"In line with pre-announcement","Differs")</f>
        <v>In line with pre-announcement</v>
      </c>
    </row>
    <row r="33" ht="13.5" customHeight="1">
      <c r="A33" s="1"/>
      <c r="B33" s="17" t="s">
        <v>529</v>
      </c>
      <c r="C33" s="89">
        <v>46217</v>
      </c>
      <c r="D33" s="19" t="s">
        <v>527</v>
      </c>
      <c r="E33" s="85">
        <v>2.93</v>
      </c>
      <c r="F33" s="85">
        <v>2.93</v>
      </c>
      <c r="G33" s="29">
        <f t="shared" si="0"/>
        <v>2.93</v>
      </c>
      <c r="H33" s="28">
        <f>'Income Statement'!G127</f>
        <v>2.930871708801007</v>
      </c>
      <c r="I33" s="88" t="str">
        <f>IF(ROUND(H33,2)=G33,"In line with pre-announcement","Differs")</f>
        <v>In line with pre-announcement</v>
      </c>
    </row>
    <row r="34" ht="13.5" customHeight="1">
      <c r="A34" s="1"/>
      <c r="B34" s="17"/>
      <c r="C34" s="20"/>
      <c r="D34" s="20"/>
      <c r="E34" s="20"/>
      <c r="F34" s="20"/>
      <c r="G34" s="20"/>
      <c r="H34" s="20"/>
      <c r="I34" s="17"/>
    </row>
    <row r="35" ht="24.75" customHeight="1">
      <c r="A35" s="1"/>
      <c r="B35" s="14" t="s">
        <v>530</v>
      </c>
      <c r="C35" s="22"/>
      <c r="D35" s="22"/>
      <c r="E35" s="22"/>
      <c r="F35" s="22"/>
      <c r="G35" s="22"/>
      <c r="H35" s="22"/>
      <c r="I35" s="17"/>
    </row>
    <row r="36" ht="13.5" customHeight="1">
      <c r="A36" s="1"/>
      <c r="B36" s="17" t="s">
        <v>531</v>
      </c>
      <c r="C36" s="25"/>
      <c r="D36" s="25"/>
      <c r="E36" s="25"/>
      <c r="F36" s="25"/>
      <c r="G36" s="25"/>
      <c r="H36" s="23">
        <f>'Revenue summary'!C31</f>
        <v>16331</v>
      </c>
      <c r="I36" s="17"/>
    </row>
    <row r="37" ht="24.75" customHeight="1">
      <c r="A37" s="1"/>
      <c r="B37" s="43" t="s">
        <v>532</v>
      </c>
      <c r="C37" s="39"/>
      <c r="D37" s="39"/>
      <c r="E37" s="39"/>
      <c r="F37" s="39"/>
      <c r="G37" s="39"/>
      <c r="H37" s="44">
        <f t="shared" si="1" ref="H37:H38">G25</f>
        <v>0.045</v>
      </c>
      <c r="I37" s="17"/>
    </row>
    <row r="38" ht="13.5" customHeight="1">
      <c r="A38" s="1"/>
      <c r="B38" s="43" t="s">
        <v>533</v>
      </c>
      <c r="C38" s="39"/>
      <c r="D38" s="39"/>
      <c r="E38" s="39"/>
      <c r="F38" s="39"/>
      <c r="G38" s="39"/>
      <c r="H38" s="44">
        <f t="shared" si="1"/>
        <v>-0.015</v>
      </c>
      <c r="I38" s="17"/>
    </row>
    <row r="39" ht="13.5" customHeight="1">
      <c r="A39" s="1"/>
      <c r="B39" s="14" t="s">
        <v>534</v>
      </c>
      <c r="C39" s="49"/>
      <c r="D39" s="49"/>
      <c r="E39" s="49"/>
      <c r="F39" s="49"/>
      <c r="G39" s="49"/>
      <c r="H39" s="50">
        <f>H36*(1+H37)*(1+H38)</f>
        <v>16809.906575</v>
      </c>
      <c r="I39" s="17"/>
    </row>
    <row r="40" ht="13.5" customHeight="1">
      <c r="A40" s="1"/>
      <c r="B40" s="32" t="s">
        <v>535</v>
      </c>
      <c r="C40" s="39"/>
      <c r="D40" s="39"/>
      <c r="E40" s="39"/>
      <c r="F40" s="39"/>
      <c r="G40" s="39"/>
      <c r="H40" s="40">
        <f>'Income Statement'!C85</f>
        <v>0.18572040903802584</v>
      </c>
      <c r="I40" s="17"/>
    </row>
    <row r="41" ht="13.5" customHeight="1">
      <c r="A41" s="1"/>
      <c r="B41" s="43" t="s">
        <v>536</v>
      </c>
      <c r="C41" s="62"/>
      <c r="D41" s="62"/>
      <c r="E41" s="62"/>
      <c r="F41" s="62"/>
      <c r="G41" s="62"/>
      <c r="H41" s="63">
        <f>G27</f>
        <v>35.05534544954947</v>
      </c>
      <c r="I41" s="17"/>
    </row>
    <row r="42" ht="24.75" customHeight="1">
      <c r="A42" s="1"/>
      <c r="B42" s="32" t="s">
        <v>537</v>
      </c>
      <c r="C42" s="39"/>
      <c r="D42" s="39"/>
      <c r="E42" s="39"/>
      <c r="F42" s="39"/>
      <c r="G42" s="39"/>
      <c r="H42" s="44">
        <f>H40+H41/10000</f>
        <v>0.18922594358298078</v>
      </c>
      <c r="I42" s="17"/>
    </row>
    <row r="43" ht="24.75" customHeight="1">
      <c r="A43" s="1"/>
      <c r="B43" s="17" t="s">
        <v>538</v>
      </c>
      <c r="C43" s="25"/>
      <c r="D43" s="25"/>
      <c r="E43" s="25"/>
      <c r="F43" s="25"/>
      <c r="G43" s="25"/>
      <c r="H43" s="56">
        <f>H39*H42</f>
        <v>3180.870433196128</v>
      </c>
      <c r="I43" s="17"/>
    </row>
    <row r="44" ht="13.5" customHeight="1">
      <c r="A44" s="1"/>
      <c r="B44" s="43" t="s">
        <v>539</v>
      </c>
      <c r="C44" s="39"/>
      <c r="D44" s="39"/>
      <c r="E44" s="39"/>
      <c r="F44" s="39"/>
      <c r="G44" s="39"/>
      <c r="H44" s="44">
        <f>G28</f>
        <v>0.15000000000000002</v>
      </c>
      <c r="I44" s="17"/>
    </row>
    <row r="45" ht="13.5" customHeight="1">
      <c r="A45" s="1"/>
      <c r="B45" s="14" t="s">
        <v>540</v>
      </c>
      <c r="C45" s="49"/>
      <c r="D45" s="49"/>
      <c r="E45" s="49"/>
      <c r="F45" s="49"/>
      <c r="G45" s="49"/>
      <c r="H45" s="50">
        <f>H43*(1-H44)</f>
        <v>2703.7398682167086</v>
      </c>
      <c r="I45" s="17"/>
    </row>
    <row r="46" ht="13.5" customHeight="1">
      <c r="A46" s="1"/>
      <c r="B46" s="58" t="s">
        <v>541</v>
      </c>
      <c r="C46" s="25"/>
      <c r="D46" s="25"/>
      <c r="E46" s="25"/>
      <c r="F46" s="25"/>
      <c r="G46" s="25"/>
      <c r="H46" s="23">
        <f>'Share Count'!H10</f>
        <v>954</v>
      </c>
      <c r="I46" s="17"/>
    </row>
    <row r="47" ht="13.5" customHeight="1">
      <c r="A47" s="1"/>
      <c r="B47" s="14" t="s">
        <v>542</v>
      </c>
      <c r="C47" s="77"/>
      <c r="D47" s="77"/>
      <c r="E47" s="77"/>
      <c r="F47" s="77"/>
      <c r="G47" s="77"/>
      <c r="H47" s="78">
        <f>H45/H46</f>
        <v>2.8341088765374303</v>
      </c>
      <c r="I47" s="17"/>
    </row>
    <row r="48" ht="24.75" customHeight="1">
      <c r="A48" s="1"/>
      <c r="B48" s="58" t="s">
        <v>543</v>
      </c>
      <c r="C48" s="29"/>
      <c r="D48" s="29"/>
      <c r="E48" s="29"/>
      <c r="F48" s="29"/>
      <c r="G48" s="29"/>
      <c r="H48" s="27">
        <f>'Income Statement'!H127-H47</f>
        <v>0.019717258539128757</v>
      </c>
      <c r="I48" s="17"/>
    </row>
    <row r="49" ht="36" customHeight="1">
      <c r="A49" s="1"/>
      <c r="B49" s="17" t="s">
        <v>544</v>
      </c>
      <c r="C49" s="19"/>
      <c r="D49" s="19"/>
      <c r="E49" s="19"/>
      <c r="F49" s="19"/>
      <c r="G49" s="19"/>
      <c r="H49" s="19"/>
      <c r="I49" s="17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536D4D8-26B2-D091-4425-74C5ECCE89D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3" width="16.00390625" customWidth="1"/>
    <col min="4" max="4" width="24.00390625" customWidth="1"/>
    <col min="5" max="5" width="44.00390625" customWidth="1"/>
    <col min="6" max="6" width="60.00390625" customWidth="1"/>
    <col min="7" max="7" width="44.00390625" customWidth="1"/>
    <col min="8" max="9" width="12.00390625" customWidth="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</row>
    <row r="2" ht="13.5" customHeight="1">
      <c r="A2" s="1"/>
      <c r="B2" s="2" t="s">
        <v>0</v>
      </c>
      <c r="C2" s="1"/>
      <c r="D2" s="1"/>
      <c r="E2" s="1"/>
      <c r="F2" s="1"/>
      <c r="G2" s="1"/>
      <c r="H2" s="1"/>
      <c r="I2" s="1"/>
    </row>
    <row r="3" ht="13.5" customHeight="1">
      <c r="A3" s="1"/>
      <c r="B3" s="3" t="s">
        <v>545</v>
      </c>
      <c r="C3" s="1"/>
      <c r="D3" s="1"/>
      <c r="E3" s="1"/>
      <c r="F3" s="1"/>
      <c r="G3" s="1"/>
      <c r="H3" s="1"/>
      <c r="I3" s="1"/>
    </row>
    <row r="4" ht="13.5" customHeight="1">
      <c r="A4" s="1"/>
      <c r="B4" s="4" t="s">
        <v>2</v>
      </c>
      <c r="C4" s="1"/>
      <c r="D4" s="1"/>
      <c r="E4" s="1"/>
      <c r="F4" s="1"/>
      <c r="G4" s="1"/>
      <c r="H4" s="1"/>
      <c r="I4" s="1"/>
    </row>
    <row r="5" ht="13.5" customHeight="1">
      <c r="A5" s="1"/>
      <c r="B5" s="5" t="s">
        <v>546</v>
      </c>
      <c r="C5" s="6"/>
      <c r="D5" s="6"/>
      <c r="E5" s="6"/>
      <c r="F5" s="6"/>
      <c r="G5" s="6"/>
      <c r="H5" s="7"/>
      <c r="I5" s="5"/>
    </row>
    <row r="6" ht="13.5" customHeight="1">
      <c r="A6" s="1"/>
      <c r="B6" s="8"/>
      <c r="C6" s="9"/>
      <c r="D6" s="9"/>
      <c r="E6" s="9"/>
      <c r="F6" s="9"/>
      <c r="G6" s="9"/>
      <c r="H6" s="10"/>
      <c r="I6" s="8"/>
    </row>
    <row r="7" ht="13.5" customHeight="1">
      <c r="A7" s="1"/>
      <c r="B7" s="11"/>
      <c r="C7" s="12"/>
      <c r="D7" s="12"/>
      <c r="E7" s="12"/>
      <c r="F7" s="12"/>
      <c r="G7" s="12"/>
      <c r="H7" s="13"/>
      <c r="I7" s="11"/>
    </row>
    <row r="8" ht="13.5" customHeight="1">
      <c r="A8" s="1"/>
      <c r="B8" s="1"/>
      <c r="C8" s="1"/>
      <c r="D8" s="1"/>
      <c r="E8" s="1"/>
      <c r="F8" s="1"/>
      <c r="G8" s="1"/>
      <c r="H8" s="1"/>
      <c r="I8" s="1"/>
    </row>
    <row r="9" ht="13.5" customHeight="1">
      <c r="A9" s="1"/>
      <c r="B9" s="14" t="s">
        <v>547</v>
      </c>
      <c r="C9" s="16" t="s">
        <v>548</v>
      </c>
      <c r="D9" s="92" t="s">
        <v>549</v>
      </c>
      <c r="E9" s="92" t="s">
        <v>550</v>
      </c>
      <c r="F9" s="92" t="s">
        <v>551</v>
      </c>
      <c r="G9" s="92" t="s">
        <v>552</v>
      </c>
      <c r="H9" s="93"/>
      <c r="I9" s="17"/>
    </row>
    <row r="10" ht="24.75" customHeight="1">
      <c r="A10" s="1"/>
      <c r="B10" s="17" t="s">
        <v>553</v>
      </c>
      <c r="C10" s="89">
        <v>46313</v>
      </c>
      <c r="D10" s="88" t="s">
        <v>554</v>
      </c>
      <c r="E10" s="88" t="s">
        <v>555</v>
      </c>
      <c r="F10" s="88" t="s">
        <v>556</v>
      </c>
      <c r="G10" s="88" t="s">
        <v>557</v>
      </c>
      <c r="H10" s="20"/>
      <c r="I10" s="17"/>
    </row>
    <row r="11" ht="13.5" customHeight="1">
      <c r="A11" s="1"/>
      <c r="B11" s="17" t="s">
        <v>558</v>
      </c>
      <c r="C11" s="89">
        <v>46313</v>
      </c>
      <c r="D11" s="88" t="s">
        <v>554</v>
      </c>
      <c r="E11" s="88" t="s">
        <v>559</v>
      </c>
      <c r="F11" s="88" t="s">
        <v>560</v>
      </c>
      <c r="G11" s="88" t="s">
        <v>561</v>
      </c>
      <c r="H11" s="20"/>
      <c r="I11" s="17"/>
    </row>
    <row r="12" ht="24.75" customHeight="1">
      <c r="A12" s="1"/>
      <c r="B12" s="17" t="s">
        <v>562</v>
      </c>
      <c r="C12" s="89">
        <v>45952</v>
      </c>
      <c r="D12" s="88" t="s">
        <v>563</v>
      </c>
      <c r="E12" s="88" t="s">
        <v>564</v>
      </c>
      <c r="F12" s="88" t="s">
        <v>565</v>
      </c>
      <c r="G12" s="88" t="s">
        <v>566</v>
      </c>
      <c r="H12" s="20"/>
      <c r="I12" s="17"/>
    </row>
    <row r="13" ht="24.75" customHeight="1">
      <c r="A13" s="1"/>
      <c r="B13" s="17" t="s">
        <v>567</v>
      </c>
      <c r="C13" s="89">
        <v>46050</v>
      </c>
      <c r="D13" s="88" t="s">
        <v>563</v>
      </c>
      <c r="E13" s="88" t="s">
        <v>568</v>
      </c>
      <c r="F13" s="88" t="s">
        <v>569</v>
      </c>
      <c r="G13" s="88" t="s">
        <v>570</v>
      </c>
      <c r="H13" s="20"/>
      <c r="I13" s="17"/>
    </row>
    <row r="14" ht="24.75" customHeight="1">
      <c r="A14" s="1"/>
      <c r="B14" s="17" t="s">
        <v>571</v>
      </c>
      <c r="C14" s="89">
        <v>46134</v>
      </c>
      <c r="D14" s="88" t="s">
        <v>563</v>
      </c>
      <c r="E14" s="88" t="s">
        <v>572</v>
      </c>
      <c r="F14" s="88" t="s">
        <v>573</v>
      </c>
      <c r="G14" s="88" t="s">
        <v>574</v>
      </c>
      <c r="H14" s="20"/>
      <c r="I14" s="17"/>
    </row>
    <row r="15" ht="24.75" customHeight="1">
      <c r="A15" s="1"/>
      <c r="B15" s="17" t="s">
        <v>575</v>
      </c>
      <c r="C15" s="89">
        <v>46225</v>
      </c>
      <c r="D15" s="88" t="s">
        <v>563</v>
      </c>
      <c r="E15" s="88" t="s">
        <v>576</v>
      </c>
      <c r="F15" s="88" t="s">
        <v>577</v>
      </c>
      <c r="G15" s="88" t="s">
        <v>578</v>
      </c>
      <c r="H15" s="20"/>
      <c r="I15" s="17"/>
    </row>
    <row r="16" ht="24.75" customHeight="1">
      <c r="A16" s="1"/>
      <c r="B16" s="17" t="s">
        <v>579</v>
      </c>
      <c r="C16" s="89">
        <v>45953</v>
      </c>
      <c r="D16" s="88" t="s">
        <v>580</v>
      </c>
      <c r="E16" s="88" t="s">
        <v>581</v>
      </c>
      <c r="F16" s="88" t="s">
        <v>582</v>
      </c>
      <c r="G16" s="88" t="s">
        <v>583</v>
      </c>
      <c r="H16" s="20"/>
      <c r="I16" s="17"/>
    </row>
    <row r="17" ht="24.75" customHeight="1">
      <c r="A17" s="1"/>
      <c r="B17" s="17" t="s">
        <v>584</v>
      </c>
      <c r="C17" s="89">
        <v>46077</v>
      </c>
      <c r="D17" s="88" t="s">
        <v>585</v>
      </c>
      <c r="E17" s="88" t="s">
        <v>586</v>
      </c>
      <c r="F17" s="88" t="s">
        <v>587</v>
      </c>
      <c r="G17" s="88" t="s">
        <v>588</v>
      </c>
      <c r="H17" s="20"/>
      <c r="I17" s="17"/>
    </row>
    <row r="18" ht="24.75" customHeight="1">
      <c r="A18" s="1"/>
      <c r="B18" s="17" t="s">
        <v>589</v>
      </c>
      <c r="C18" s="89">
        <v>46135</v>
      </c>
      <c r="D18" s="88" t="s">
        <v>580</v>
      </c>
      <c r="E18" s="88" t="s">
        <v>590</v>
      </c>
      <c r="F18" s="88" t="s">
        <v>591</v>
      </c>
      <c r="G18" s="88" t="s">
        <v>592</v>
      </c>
      <c r="H18" s="20"/>
      <c r="I18" s="17"/>
    </row>
    <row r="19" ht="24.75" customHeight="1">
      <c r="A19" s="1"/>
      <c r="B19" s="17" t="s">
        <v>593</v>
      </c>
      <c r="C19" s="89">
        <v>46225</v>
      </c>
      <c r="D19" s="88" t="s">
        <v>580</v>
      </c>
      <c r="E19" s="88" t="s">
        <v>594</v>
      </c>
      <c r="F19" s="88" t="s">
        <v>595</v>
      </c>
      <c r="G19" s="88" t="s">
        <v>596</v>
      </c>
      <c r="H19" s="20"/>
      <c r="I19" s="17"/>
    </row>
    <row r="20" ht="36" customHeight="1">
      <c r="A20" s="1"/>
      <c r="B20" s="17" t="s">
        <v>597</v>
      </c>
      <c r="C20" s="89">
        <v>46225</v>
      </c>
      <c r="D20" s="88" t="s">
        <v>11</v>
      </c>
      <c r="E20" s="88" t="s">
        <v>598</v>
      </c>
      <c r="F20" s="88" t="s">
        <v>599</v>
      </c>
      <c r="G20" s="88" t="s">
        <v>600</v>
      </c>
      <c r="H20" s="20"/>
      <c r="I20" s="17"/>
    </row>
    <row r="21" ht="36" customHeight="1">
      <c r="A21" s="1"/>
      <c r="B21" s="17" t="s">
        <v>601</v>
      </c>
      <c r="C21" s="89">
        <v>46225</v>
      </c>
      <c r="D21" s="88" t="s">
        <v>11</v>
      </c>
      <c r="E21" s="88" t="s">
        <v>602</v>
      </c>
      <c r="F21" s="88" t="s">
        <v>603</v>
      </c>
      <c r="G21" s="88" t="s">
        <v>604</v>
      </c>
      <c r="H21" s="20"/>
      <c r="I21" s="17"/>
    </row>
    <row r="22" ht="24.75" customHeight="1">
      <c r="A22" s="1"/>
      <c r="B22" s="17" t="s">
        <v>605</v>
      </c>
      <c r="C22" s="89">
        <v>46225</v>
      </c>
      <c r="D22" s="88" t="s">
        <v>11</v>
      </c>
      <c r="E22" s="88" t="s">
        <v>606</v>
      </c>
      <c r="F22" s="88" t="s">
        <v>607</v>
      </c>
      <c r="G22" s="88" t="s">
        <v>608</v>
      </c>
      <c r="H22" s="20"/>
      <c r="I22" s="17"/>
    </row>
    <row r="23" ht="24.75" customHeight="1">
      <c r="A23" s="1"/>
      <c r="B23" s="17" t="s">
        <v>609</v>
      </c>
      <c r="C23" s="89">
        <v>46217</v>
      </c>
      <c r="D23" s="88" t="s">
        <v>11</v>
      </c>
      <c r="E23" s="88" t="s">
        <v>610</v>
      </c>
      <c r="F23" s="88" t="s">
        <v>611</v>
      </c>
      <c r="G23" s="88" t="s">
        <v>612</v>
      </c>
      <c r="H23" s="20"/>
      <c r="I23" s="17"/>
    </row>
    <row r="24" ht="24.75" customHeight="1">
      <c r="A24" s="1"/>
      <c r="B24" s="17" t="s">
        <v>613</v>
      </c>
      <c r="C24" s="89">
        <v>46302</v>
      </c>
      <c r="D24" s="88" t="s">
        <v>614</v>
      </c>
      <c r="E24" s="88" t="s">
        <v>615</v>
      </c>
      <c r="F24" s="88" t="s">
        <v>616</v>
      </c>
      <c r="G24" s="88" t="s">
        <v>617</v>
      </c>
      <c r="H24" s="20"/>
      <c r="I24" s="17"/>
    </row>
    <row r="25" ht="24.75" customHeight="1">
      <c r="A25" s="1"/>
      <c r="B25" s="17" t="s">
        <v>618</v>
      </c>
      <c r="C25" s="89">
        <v>46274</v>
      </c>
      <c r="D25" s="88" t="s">
        <v>619</v>
      </c>
      <c r="E25" s="88" t="s">
        <v>620</v>
      </c>
      <c r="F25" s="88" t="s">
        <v>621</v>
      </c>
      <c r="G25" s="88" t="s">
        <v>622</v>
      </c>
      <c r="H25" s="20"/>
      <c r="I25" s="17"/>
    </row>
    <row r="26" ht="24.75" customHeight="1">
      <c r="A26" s="1"/>
      <c r="B26" s="17" t="s">
        <v>623</v>
      </c>
      <c r="C26" s="89">
        <v>46260</v>
      </c>
      <c r="D26" s="88" t="s">
        <v>614</v>
      </c>
      <c r="E26" s="88" t="s">
        <v>624</v>
      </c>
      <c r="F26" s="88" t="s">
        <v>625</v>
      </c>
      <c r="G26" s="88" t="s">
        <v>626</v>
      </c>
      <c r="H26" s="20"/>
      <c r="I26" s="17"/>
    </row>
    <row r="27" ht="13.5" customHeight="1">
      <c r="A27" s="1"/>
      <c r="B27" s="17" t="s">
        <v>627</v>
      </c>
      <c r="C27" s="89">
        <v>46289</v>
      </c>
      <c r="D27" s="88" t="s">
        <v>614</v>
      </c>
      <c r="E27" s="88" t="s">
        <v>628</v>
      </c>
      <c r="F27" s="88" t="s">
        <v>629</v>
      </c>
      <c r="G27" s="88" t="s">
        <v>630</v>
      </c>
      <c r="H27" s="20"/>
      <c r="I27" s="17"/>
    </row>
    <row r="28" ht="13.5" customHeight="1">
      <c r="A28" s="1"/>
      <c r="B28" s="17" t="s">
        <v>631</v>
      </c>
      <c r="C28" s="89">
        <v>46296</v>
      </c>
      <c r="D28" s="88" t="s">
        <v>632</v>
      </c>
      <c r="E28" s="88" t="s">
        <v>633</v>
      </c>
      <c r="F28" s="88" t="s">
        <v>634</v>
      </c>
      <c r="G28" s="88" t="s">
        <v>635</v>
      </c>
      <c r="H28" s="20"/>
      <c r="I28" s="17"/>
    </row>
    <row r="29" ht="24.75" customHeight="1">
      <c r="A29" s="1"/>
      <c r="B29" s="17" t="s">
        <v>636</v>
      </c>
      <c r="C29" s="89">
        <v>46310</v>
      </c>
      <c r="D29" s="88" t="s">
        <v>637</v>
      </c>
      <c r="E29" s="88" t="s">
        <v>638</v>
      </c>
      <c r="F29" s="88" t="s">
        <v>639</v>
      </c>
      <c r="G29" s="88" t="s">
        <v>640</v>
      </c>
      <c r="H29" s="20"/>
      <c r="I29" s="17"/>
    </row>
    <row r="30" ht="13.5" customHeight="1">
      <c r="A30" s="1"/>
      <c r="B30" s="17" t="s">
        <v>641</v>
      </c>
      <c r="C30" s="89">
        <v>46309</v>
      </c>
      <c r="D30" s="88" t="s">
        <v>642</v>
      </c>
      <c r="E30" s="88" t="s">
        <v>643</v>
      </c>
      <c r="F30" s="88" t="s">
        <v>644</v>
      </c>
      <c r="G30" s="88" t="s">
        <v>640</v>
      </c>
      <c r="H30" s="20"/>
      <c r="I30" s="17"/>
    </row>
    <row r="31" ht="36" customHeight="1">
      <c r="A31" s="1"/>
      <c r="B31" s="17" t="s">
        <v>645</v>
      </c>
      <c r="C31" s="89">
        <v>46311</v>
      </c>
      <c r="D31" s="88" t="s">
        <v>646</v>
      </c>
      <c r="E31" s="88" t="s">
        <v>647</v>
      </c>
      <c r="F31" s="88" t="s">
        <v>648</v>
      </c>
      <c r="G31" s="88" t="s">
        <v>649</v>
      </c>
      <c r="H31" s="20"/>
      <c r="I31" s="17"/>
    </row>
    <row r="32" ht="24.75" customHeight="1">
      <c r="A32" s="1"/>
      <c r="B32" s="17" t="s">
        <v>650</v>
      </c>
      <c r="C32" s="89">
        <v>46311</v>
      </c>
      <c r="D32" s="88" t="s">
        <v>651</v>
      </c>
      <c r="E32" s="88" t="s">
        <v>652</v>
      </c>
      <c r="F32" s="88" t="s">
        <v>653</v>
      </c>
      <c r="G32" s="88" t="s">
        <v>654</v>
      </c>
      <c r="H32" s="20"/>
      <c r="I32" s="17"/>
    </row>
    <row r="33" ht="36" customHeight="1">
      <c r="A33" s="1"/>
      <c r="B33" s="17" t="s">
        <v>655</v>
      </c>
      <c r="C33" s="89">
        <v>46309</v>
      </c>
      <c r="D33" s="88" t="s">
        <v>656</v>
      </c>
      <c r="E33" s="88" t="s">
        <v>657</v>
      </c>
      <c r="F33" s="88" t="s">
        <v>658</v>
      </c>
      <c r="G33" s="88" t="s">
        <v>659</v>
      </c>
      <c r="H33" s="20"/>
      <c r="I33" s="17"/>
    </row>
    <row r="34" ht="24.75" customHeight="1">
      <c r="A34" s="1"/>
      <c r="B34" s="17" t="s">
        <v>660</v>
      </c>
      <c r="C34" s="89">
        <v>46311</v>
      </c>
      <c r="D34" s="88" t="s">
        <v>661</v>
      </c>
      <c r="E34" s="88" t="s">
        <v>662</v>
      </c>
      <c r="F34" s="88" t="s">
        <v>663</v>
      </c>
      <c r="G34" s="88" t="s">
        <v>664</v>
      </c>
      <c r="H34" s="20"/>
      <c r="I34" s="17"/>
    </row>
    <row r="35" ht="13.5" customHeight="1">
      <c r="A35" s="1"/>
      <c r="B35" s="17" t="s">
        <v>665</v>
      </c>
      <c r="C35" s="89">
        <v>46310</v>
      </c>
      <c r="D35" s="88" t="s">
        <v>666</v>
      </c>
      <c r="E35" s="88" t="s">
        <v>667</v>
      </c>
      <c r="F35" s="88" t="s">
        <v>668</v>
      </c>
      <c r="G35" s="88" t="s">
        <v>669</v>
      </c>
      <c r="H35" s="20"/>
      <c r="I35" s="17"/>
    </row>
    <row r="36" ht="36" customHeight="1">
      <c r="A36" s="1"/>
      <c r="B36" s="17" t="s">
        <v>670</v>
      </c>
      <c r="C36" s="89">
        <v>46296</v>
      </c>
      <c r="D36" s="88" t="s">
        <v>671</v>
      </c>
      <c r="E36" s="88" t="s">
        <v>672</v>
      </c>
      <c r="F36" s="88" t="s">
        <v>673</v>
      </c>
      <c r="G36" s="88" t="s">
        <v>674</v>
      </c>
      <c r="H36" s="20"/>
      <c r="I36" s="17"/>
    </row>
    <row r="37" ht="36" customHeight="1">
      <c r="A37" s="1"/>
      <c r="B37" s="17" t="s">
        <v>675</v>
      </c>
      <c r="C37" s="89">
        <v>46225</v>
      </c>
      <c r="D37" s="88" t="s">
        <v>676</v>
      </c>
      <c r="E37" s="88" t="s">
        <v>677</v>
      </c>
      <c r="F37" s="88" t="s">
        <v>678</v>
      </c>
      <c r="G37" s="88" t="s">
        <v>679</v>
      </c>
      <c r="H37" s="20"/>
      <c r="I37" s="17"/>
    </row>
    <row r="38" ht="24.75" customHeight="1">
      <c r="A38" s="1"/>
      <c r="B38" s="17" t="s">
        <v>680</v>
      </c>
      <c r="C38" s="89">
        <v>46225</v>
      </c>
      <c r="D38" s="88" t="s">
        <v>580</v>
      </c>
      <c r="E38" s="88" t="s">
        <v>681</v>
      </c>
      <c r="F38" s="88" t="s">
        <v>682</v>
      </c>
      <c r="G38" s="88" t="s">
        <v>683</v>
      </c>
      <c r="H38" s="20"/>
      <c r="I38" s="17"/>
    </row>
    <row r="39" ht="24.75" customHeight="1">
      <c r="A39" s="1"/>
      <c r="B39" s="17" t="s">
        <v>684</v>
      </c>
      <c r="C39" s="89">
        <v>45953</v>
      </c>
      <c r="D39" s="88" t="s">
        <v>580</v>
      </c>
      <c r="E39" s="88" t="s">
        <v>685</v>
      </c>
      <c r="F39" s="88" t="s">
        <v>686</v>
      </c>
      <c r="G39" s="88" t="s">
        <v>457</v>
      </c>
      <c r="H39" s="20"/>
      <c r="I39" s="17"/>
    </row>
    <row r="40" ht="24.75" customHeight="1">
      <c r="A40" s="1"/>
      <c r="B40" s="17" t="s">
        <v>687</v>
      </c>
      <c r="C40" s="89">
        <v>45862</v>
      </c>
      <c r="D40" s="88" t="s">
        <v>580</v>
      </c>
      <c r="E40" s="88" t="s">
        <v>688</v>
      </c>
      <c r="F40" s="88" t="s">
        <v>689</v>
      </c>
      <c r="G40" s="88" t="s">
        <v>690</v>
      </c>
      <c r="H40" s="20"/>
      <c r="I40" s="17"/>
    </row>
    <row r="41" ht="24.75" customHeight="1">
      <c r="A41" s="1"/>
      <c r="B41" s="17" t="s">
        <v>691</v>
      </c>
      <c r="C41" s="89">
        <v>45862</v>
      </c>
      <c r="D41" s="88" t="s">
        <v>580</v>
      </c>
      <c r="E41" s="88" t="s">
        <v>692</v>
      </c>
      <c r="F41" s="88" t="s">
        <v>693</v>
      </c>
      <c r="G41" s="88" t="s">
        <v>694</v>
      </c>
      <c r="H41" s="20"/>
      <c r="I41" s="17"/>
    </row>
    <row r="42" ht="24.75" customHeight="1">
      <c r="A42" s="1"/>
      <c r="B42" s="17" t="s">
        <v>695</v>
      </c>
      <c r="C42" s="89">
        <v>45952</v>
      </c>
      <c r="D42" s="88" t="s">
        <v>11</v>
      </c>
      <c r="E42" s="88" t="s">
        <v>696</v>
      </c>
      <c r="F42" s="88" t="s">
        <v>697</v>
      </c>
      <c r="G42" s="88" t="s">
        <v>698</v>
      </c>
      <c r="H42" s="20"/>
      <c r="I42" s="17"/>
    </row>
    <row r="43" ht="24.75" customHeight="1">
      <c r="A43" s="1"/>
      <c r="B43" s="17" t="s">
        <v>699</v>
      </c>
      <c r="C43" s="89">
        <v>46050</v>
      </c>
      <c r="D43" s="88" t="s">
        <v>11</v>
      </c>
      <c r="E43" s="88" t="s">
        <v>700</v>
      </c>
      <c r="F43" s="88" t="s">
        <v>701</v>
      </c>
      <c r="G43" s="88" t="s">
        <v>702</v>
      </c>
      <c r="H43" s="20"/>
      <c r="I43" s="17"/>
    </row>
    <row r="44" ht="24.75" customHeight="1">
      <c r="A44" s="1"/>
      <c r="B44" s="17" t="s">
        <v>703</v>
      </c>
      <c r="C44" s="89">
        <v>45503</v>
      </c>
      <c r="D44" s="88" t="s">
        <v>580</v>
      </c>
      <c r="E44" s="88" t="s">
        <v>704</v>
      </c>
      <c r="F44" s="88" t="s">
        <v>705</v>
      </c>
      <c r="G44" s="88" t="s">
        <v>706</v>
      </c>
      <c r="H44" s="20"/>
      <c r="I44" s="17"/>
    </row>
    <row r="45" ht="24.75" customHeight="1">
      <c r="A45" s="1"/>
      <c r="B45" s="17" t="s">
        <v>707</v>
      </c>
      <c r="C45" s="89">
        <v>45595</v>
      </c>
      <c r="D45" s="88" t="s">
        <v>580</v>
      </c>
      <c r="E45" s="88" t="s">
        <v>708</v>
      </c>
      <c r="F45" s="88" t="s">
        <v>709</v>
      </c>
      <c r="G45" s="88" t="s">
        <v>706</v>
      </c>
      <c r="H45" s="20"/>
      <c r="I45" s="17"/>
    </row>
    <row r="46" ht="24.75" customHeight="1">
      <c r="A46" s="1"/>
      <c r="B46" s="17" t="s">
        <v>710</v>
      </c>
      <c r="C46" s="89">
        <v>45771</v>
      </c>
      <c r="D46" s="88" t="s">
        <v>580</v>
      </c>
      <c r="E46" s="88" t="s">
        <v>711</v>
      </c>
      <c r="F46" s="88" t="s">
        <v>712</v>
      </c>
      <c r="G46" s="88" t="s">
        <v>706</v>
      </c>
      <c r="H46" s="20"/>
      <c r="I46" s="17"/>
    </row>
    <row r="47" ht="24.75" customHeight="1">
      <c r="A47" s="1"/>
      <c r="B47" s="17" t="s">
        <v>713</v>
      </c>
      <c r="C47" s="89">
        <v>46134</v>
      </c>
      <c r="D47" s="88" t="s">
        <v>11</v>
      </c>
      <c r="E47" s="88" t="s">
        <v>714</v>
      </c>
      <c r="F47" s="88" t="s">
        <v>715</v>
      </c>
      <c r="G47" s="88" t="s">
        <v>716</v>
      </c>
      <c r="H47" s="20"/>
      <c r="I47" s="17"/>
    </row>
    <row r="48" ht="13.5" customHeight="1">
      <c r="A48" s="1"/>
      <c r="B48" s="17"/>
      <c r="C48" s="20"/>
      <c r="D48" s="88"/>
      <c r="E48" s="88"/>
      <c r="F48" s="88"/>
      <c r="G48" s="88"/>
      <c r="H48" s="20"/>
      <c r="I48" s="17"/>
    </row>
    <row r="49" ht="47.25" customHeight="1">
      <c r="A49" s="1"/>
      <c r="B49" s="17" t="s">
        <v>717</v>
      </c>
      <c r="C49" s="20"/>
      <c r="D49" s="88"/>
      <c r="E49" s="88"/>
      <c r="F49" s="88"/>
      <c r="G49" s="88"/>
      <c r="H49" s="20"/>
      <c r="I49" s="17"/>
    </row>
    <row r="50" ht="142.5" customHeight="1">
      <c r="A50" s="1"/>
      <c r="B50" s="17" t="s">
        <v>718</v>
      </c>
      <c r="C50" s="20"/>
      <c r="D50" s="88"/>
      <c r="E50" s="88"/>
      <c r="F50" s="88"/>
      <c r="G50" s="88"/>
      <c r="H50" s="20"/>
      <c r="I50" s="17"/>
    </row>
    <row r="51" ht="47.25" customHeight="1">
      <c r="A51" s="1"/>
      <c r="B51" s="17" t="s">
        <v>719</v>
      </c>
      <c r="C51" s="20"/>
      <c r="D51" s="88"/>
      <c r="E51" s="88"/>
      <c r="F51" s="88"/>
      <c r="G51" s="88"/>
      <c r="H51" s="20"/>
      <c r="I51" s="17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3905398-7308-1501-D7E8-2EA4E796FC8C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4.00390625" customWidth="1"/>
    <col min="3" max="8" width="12.00390625" customWidth="1"/>
    <col min="9" max="9" width="60.00390625" customWidth="1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</row>
    <row r="2" ht="13.5" customHeight="1">
      <c r="A2" s="1"/>
      <c r="B2" s="2" t="s">
        <v>0</v>
      </c>
      <c r="C2" s="1"/>
      <c r="D2" s="1"/>
      <c r="E2" s="1"/>
      <c r="F2" s="1"/>
      <c r="G2" s="1"/>
      <c r="H2" s="1"/>
      <c r="I2" s="1"/>
    </row>
    <row r="3" ht="13.5" customHeight="1">
      <c r="A3" s="1"/>
      <c r="B3" s="3" t="s">
        <v>720</v>
      </c>
      <c r="C3" s="1"/>
      <c r="D3" s="1"/>
      <c r="E3" s="1"/>
      <c r="F3" s="1"/>
      <c r="G3" s="1"/>
      <c r="H3" s="1"/>
      <c r="I3" s="1"/>
    </row>
    <row r="4" ht="13.5" customHeight="1">
      <c r="A4" s="1"/>
      <c r="B4" s="4" t="s">
        <v>2</v>
      </c>
      <c r="C4" s="1"/>
      <c r="D4" s="1"/>
      <c r="E4" s="1"/>
      <c r="F4" s="1"/>
      <c r="G4" s="1"/>
      <c r="H4" s="1"/>
      <c r="I4" s="1"/>
    </row>
    <row r="5" ht="13.5" customHeight="1">
      <c r="A5" s="1"/>
      <c r="B5" s="5" t="s">
        <v>721</v>
      </c>
      <c r="C5" s="6"/>
      <c r="D5" s="6"/>
      <c r="E5" s="6"/>
      <c r="F5" s="6"/>
      <c r="G5" s="6"/>
      <c r="H5" s="7"/>
      <c r="I5" s="5"/>
    </row>
    <row r="6" ht="13.5" customHeight="1">
      <c r="A6" s="1"/>
      <c r="B6" s="8"/>
      <c r="C6" s="9"/>
      <c r="D6" s="9"/>
      <c r="E6" s="9"/>
      <c r="F6" s="9"/>
      <c r="G6" s="9"/>
      <c r="H6" s="10"/>
      <c r="I6" s="8"/>
    </row>
    <row r="7" ht="13.5" customHeight="1">
      <c r="A7" s="1"/>
      <c r="B7" s="11"/>
      <c r="C7" s="12"/>
      <c r="D7" s="12"/>
      <c r="E7" s="12"/>
      <c r="F7" s="12"/>
      <c r="G7" s="12"/>
      <c r="H7" s="13"/>
      <c r="I7" s="11"/>
    </row>
    <row r="8" ht="13.5" customHeight="1">
      <c r="A8" s="1"/>
      <c r="B8" s="1"/>
      <c r="C8" s="1"/>
      <c r="D8" s="1"/>
      <c r="E8" s="1"/>
      <c r="F8" s="1"/>
      <c r="G8" s="1"/>
      <c r="H8" s="1"/>
      <c r="I8" s="1"/>
    </row>
    <row r="9" ht="24.75" customHeight="1">
      <c r="A9" s="1"/>
      <c r="B9" s="14" t="s">
        <v>722</v>
      </c>
      <c r="C9" s="22"/>
      <c r="D9" s="22"/>
      <c r="E9" s="22"/>
      <c r="F9" s="22"/>
      <c r="G9" s="22"/>
      <c r="H9" s="22"/>
      <c r="I9" s="17"/>
    </row>
    <row r="10" ht="13.5" customHeight="1">
      <c r="A10" s="1"/>
      <c r="B10" s="14" t="s">
        <v>723</v>
      </c>
      <c r="C10" s="16" t="s">
        <v>724</v>
      </c>
      <c r="D10" s="16" t="s">
        <v>725</v>
      </c>
      <c r="E10" s="16"/>
      <c r="F10" s="16"/>
      <c r="G10" s="16"/>
      <c r="H10" s="16"/>
      <c r="I10" s="17"/>
    </row>
    <row r="11" ht="13.5" customHeight="1">
      <c r="A11" s="1"/>
      <c r="B11" s="17" t="s">
        <v>726</v>
      </c>
      <c r="C11" s="19" t="s">
        <v>11</v>
      </c>
      <c r="D11" s="19"/>
      <c r="E11" s="19"/>
      <c r="F11" s="19"/>
      <c r="G11" s="19"/>
      <c r="H11" s="19"/>
      <c r="I11" s="17"/>
    </row>
    <row r="12" ht="13.5" customHeight="1">
      <c r="A12" s="1"/>
      <c r="B12" s="17" t="s">
        <v>727</v>
      </c>
      <c r="C12" s="18" t="s">
        <v>9</v>
      </c>
      <c r="D12" s="19"/>
      <c r="E12" s="19"/>
      <c r="F12" s="19"/>
      <c r="G12" s="19"/>
      <c r="H12" s="19"/>
      <c r="I12" s="17"/>
    </row>
    <row r="13" ht="13.5" customHeight="1">
      <c r="A13" s="1"/>
      <c r="B13" s="17" t="s">
        <v>728</v>
      </c>
      <c r="C13" s="19" t="s">
        <v>729</v>
      </c>
      <c r="D13" s="19"/>
      <c r="E13" s="19"/>
      <c r="F13" s="19"/>
      <c r="G13" s="19"/>
      <c r="H13" s="19"/>
      <c r="I13" s="17"/>
    </row>
    <row r="14" ht="13.5" customHeight="1">
      <c r="A14" s="1"/>
      <c r="B14" s="17" t="s">
        <v>730</v>
      </c>
      <c r="C14" s="45">
        <v>112350</v>
      </c>
      <c r="D14" s="25"/>
      <c r="E14" s="25"/>
      <c r="F14" s="25"/>
      <c r="G14" s="25"/>
      <c r="H14" s="25"/>
      <c r="I14" s="17"/>
    </row>
    <row r="15" ht="13.5" customHeight="1">
      <c r="A15" s="1"/>
      <c r="B15" s="17" t="s">
        <v>731</v>
      </c>
      <c r="C15" s="19" t="s">
        <v>732</v>
      </c>
      <c r="D15" s="19"/>
      <c r="E15" s="19"/>
      <c r="F15" s="19"/>
      <c r="G15" s="19"/>
      <c r="H15" s="19"/>
      <c r="I15" s="17"/>
    </row>
    <row r="16" ht="13.5" customHeight="1">
      <c r="A16" s="1"/>
      <c r="B16" s="17" t="s">
        <v>733</v>
      </c>
      <c r="C16" s="19" t="s">
        <v>734</v>
      </c>
      <c r="D16" s="19"/>
      <c r="E16" s="19"/>
      <c r="F16" s="19"/>
      <c r="G16" s="19"/>
      <c r="H16" s="19"/>
      <c r="I16" s="17"/>
    </row>
    <row r="17" ht="27.75" customHeight="1">
      <c r="A17" s="1"/>
      <c r="B17" s="17" t="s">
        <v>735</v>
      </c>
      <c r="C17" s="88" t="s">
        <v>736</v>
      </c>
      <c r="D17" s="18" t="s">
        <v>737</v>
      </c>
      <c r="E17" s="19"/>
      <c r="F17" s="19"/>
      <c r="G17" s="19"/>
      <c r="H17" s="19"/>
      <c r="I17" s="17"/>
    </row>
    <row r="18" ht="13.5" customHeight="1">
      <c r="A18" s="1"/>
      <c r="B18" s="17" t="s">
        <v>738</v>
      </c>
      <c r="C18" s="89">
        <v>46295</v>
      </c>
      <c r="D18" s="18" t="s">
        <v>737</v>
      </c>
      <c r="E18" s="19"/>
      <c r="F18" s="19"/>
      <c r="G18" s="19"/>
      <c r="H18" s="19"/>
      <c r="I18" s="17"/>
    </row>
    <row r="19" ht="13.5" customHeight="1">
      <c r="A19" s="1"/>
      <c r="B19" s="17" t="s">
        <v>739</v>
      </c>
      <c r="C19" s="89">
        <v>46316</v>
      </c>
      <c r="D19" s="18" t="s">
        <v>737</v>
      </c>
      <c r="E19" s="19"/>
      <c r="F19" s="19"/>
      <c r="G19" s="19"/>
      <c r="H19" s="19"/>
      <c r="I19" s="17"/>
    </row>
    <row r="20" ht="13.5" customHeight="1">
      <c r="A20" s="1"/>
      <c r="B20" s="17" t="s">
        <v>740</v>
      </c>
      <c r="C20" s="18" t="s">
        <v>741</v>
      </c>
      <c r="D20" s="18"/>
      <c r="E20" s="19"/>
      <c r="F20" s="19"/>
      <c r="G20" s="19"/>
      <c r="H20" s="19"/>
      <c r="I20" s="17"/>
    </row>
    <row r="21" ht="13.5" customHeight="1">
      <c r="A21" s="1"/>
      <c r="B21" s="17" t="s">
        <v>742</v>
      </c>
      <c r="C21" s="91">
        <v>20</v>
      </c>
      <c r="D21" s="94"/>
      <c r="E21" s="37"/>
      <c r="F21" s="37"/>
      <c r="G21" s="37"/>
      <c r="H21" s="37"/>
      <c r="I21" s="17"/>
    </row>
    <row r="22" ht="13.5" customHeight="1">
      <c r="A22" s="1"/>
      <c r="B22" s="17" t="s">
        <v>743</v>
      </c>
      <c r="C22" s="91">
        <v>20</v>
      </c>
      <c r="D22" s="94"/>
      <c r="E22" s="37"/>
      <c r="F22" s="37"/>
      <c r="G22" s="37"/>
      <c r="H22" s="37"/>
      <c r="I22" s="17"/>
    </row>
    <row r="23" ht="13.5" customHeight="1">
      <c r="A23" s="1"/>
      <c r="B23" s="17" t="s">
        <v>744</v>
      </c>
      <c r="C23" s="19"/>
      <c r="D23" s="18"/>
      <c r="E23" s="19"/>
      <c r="F23" s="19"/>
      <c r="G23" s="19"/>
      <c r="H23" s="19"/>
      <c r="I23" s="17"/>
    </row>
    <row r="24" ht="13.5" customHeight="1">
      <c r="A24" s="1"/>
      <c r="B24" s="17" t="s">
        <v>745</v>
      </c>
      <c r="C24" s="85">
        <v>2.87</v>
      </c>
      <c r="D24" s="95" t="s">
        <v>746</v>
      </c>
      <c r="E24" s="29"/>
      <c r="F24" s="29"/>
      <c r="G24" s="29"/>
      <c r="H24" s="29"/>
      <c r="I24" s="17"/>
    </row>
    <row r="25" ht="13.5" customHeight="1">
      <c r="A25" s="1"/>
      <c r="B25" s="17" t="s">
        <v>747</v>
      </c>
      <c r="C25" s="85">
        <v>2.85</v>
      </c>
      <c r="D25" s="95" t="s">
        <v>737</v>
      </c>
      <c r="E25" s="29"/>
      <c r="F25" s="29"/>
      <c r="G25" s="29"/>
      <c r="H25" s="29"/>
      <c r="I25" s="17"/>
    </row>
    <row r="26" ht="13.5" customHeight="1">
      <c r="A26" s="1"/>
      <c r="B26" s="17" t="s">
        <v>748</v>
      </c>
      <c r="C26" s="85">
        <v>3.12</v>
      </c>
      <c r="D26" s="95" t="s">
        <v>737</v>
      </c>
      <c r="E26" s="29"/>
      <c r="F26" s="29"/>
      <c r="G26" s="29"/>
      <c r="H26" s="29"/>
      <c r="I26" s="17"/>
    </row>
    <row r="27" ht="13.5" customHeight="1">
      <c r="A27" s="1"/>
      <c r="B27" s="17" t="s">
        <v>749</v>
      </c>
      <c r="C27" s="85">
        <v>2.75</v>
      </c>
      <c r="D27" s="95" t="s">
        <v>737</v>
      </c>
      <c r="E27" s="29"/>
      <c r="F27" s="29"/>
      <c r="G27" s="29"/>
      <c r="H27" s="29"/>
      <c r="I27" s="17"/>
    </row>
    <row r="28" ht="13.5" customHeight="1">
      <c r="A28" s="1"/>
      <c r="B28" s="17" t="s">
        <v>750</v>
      </c>
      <c r="C28" s="85">
        <v>0.09</v>
      </c>
      <c r="D28" s="95"/>
      <c r="E28" s="29"/>
      <c r="F28" s="29"/>
      <c r="G28" s="29"/>
      <c r="H28" s="29"/>
      <c r="I28" s="17"/>
    </row>
    <row r="29" ht="13.5" customHeight="1">
      <c r="A29" s="1"/>
      <c r="B29" s="17" t="s">
        <v>751</v>
      </c>
      <c r="C29" s="91">
        <v>20</v>
      </c>
      <c r="D29" s="94" t="s">
        <v>752</v>
      </c>
      <c r="E29" s="37"/>
      <c r="F29" s="37"/>
      <c r="G29" s="37"/>
      <c r="H29" s="37"/>
      <c r="I29" s="17"/>
    </row>
    <row r="30" ht="13.5" customHeight="1">
      <c r="A30" s="1"/>
      <c r="B30" s="17" t="s">
        <v>753</v>
      </c>
      <c r="C30" s="19"/>
      <c r="D30" s="18"/>
      <c r="E30" s="19"/>
      <c r="F30" s="19"/>
      <c r="G30" s="19"/>
      <c r="H30" s="19"/>
      <c r="I30" s="17"/>
    </row>
    <row r="31" ht="13.5" customHeight="1">
      <c r="A31" s="1"/>
      <c r="B31" s="17" t="s">
        <v>754</v>
      </c>
      <c r="C31" s="19"/>
      <c r="D31" s="18"/>
      <c r="E31" s="19"/>
      <c r="F31" s="19"/>
      <c r="G31" s="19"/>
      <c r="H31" s="19"/>
      <c r="I31" s="17"/>
    </row>
    <row r="32" ht="13.5" customHeight="1">
      <c r="A32" s="1"/>
      <c r="B32" s="17" t="s">
        <v>755</v>
      </c>
      <c r="C32" s="19"/>
      <c r="D32" s="18"/>
      <c r="E32" s="19"/>
      <c r="F32" s="19"/>
      <c r="G32" s="19"/>
      <c r="H32" s="19"/>
      <c r="I32" s="17"/>
    </row>
    <row r="33" ht="13.5" customHeight="1">
      <c r="A33" s="1"/>
      <c r="B33" s="17" t="s">
        <v>756</v>
      </c>
      <c r="C33" s="85">
        <v>2.45</v>
      </c>
      <c r="D33" s="95" t="s">
        <v>757</v>
      </c>
      <c r="E33" s="29"/>
      <c r="F33" s="29"/>
      <c r="G33" s="29"/>
      <c r="H33" s="29"/>
      <c r="I33" s="17"/>
    </row>
    <row r="34" ht="13.5" customHeight="1">
      <c r="A34" s="1"/>
      <c r="B34" s="17" t="s">
        <v>758</v>
      </c>
      <c r="C34" s="85">
        <v>2.45</v>
      </c>
      <c r="D34" s="95"/>
      <c r="E34" s="29"/>
      <c r="F34" s="29"/>
      <c r="G34" s="29"/>
      <c r="H34" s="29"/>
      <c r="I34" s="17"/>
    </row>
    <row r="35" ht="13.5" customHeight="1">
      <c r="A35" s="1"/>
      <c r="B35" s="17" t="s">
        <v>759</v>
      </c>
      <c r="C35" s="85">
        <v>2.73</v>
      </c>
      <c r="D35" s="95"/>
      <c r="E35" s="29"/>
      <c r="F35" s="29"/>
      <c r="G35" s="29"/>
      <c r="H35" s="29"/>
      <c r="I35" s="17"/>
    </row>
    <row r="36" ht="13.5" customHeight="1">
      <c r="A36" s="1"/>
      <c r="B36" s="17" t="s">
        <v>760</v>
      </c>
      <c r="C36" s="85">
        <v>2.19</v>
      </c>
      <c r="D36" s="95"/>
      <c r="E36" s="29"/>
      <c r="F36" s="29"/>
      <c r="G36" s="29"/>
      <c r="H36" s="29"/>
      <c r="I36" s="17"/>
    </row>
    <row r="37" ht="13.5" customHeight="1">
      <c r="A37" s="1"/>
      <c r="B37" s="17" t="s">
        <v>761</v>
      </c>
      <c r="C37" s="85">
        <v>0.18</v>
      </c>
      <c r="D37" s="95"/>
      <c r="E37" s="29"/>
      <c r="F37" s="29"/>
      <c r="G37" s="29"/>
      <c r="H37" s="29"/>
      <c r="I37" s="17"/>
    </row>
    <row r="38" ht="13.5" customHeight="1">
      <c r="A38" s="1"/>
      <c r="B38" s="17" t="s">
        <v>762</v>
      </c>
      <c r="C38" s="91">
        <v>8</v>
      </c>
      <c r="D38" s="94"/>
      <c r="E38" s="37"/>
      <c r="F38" s="37"/>
      <c r="G38" s="37"/>
      <c r="H38" s="37"/>
      <c r="I38" s="17"/>
    </row>
    <row r="39" ht="13.5" customHeight="1">
      <c r="A39" s="1"/>
      <c r="B39" s="17" t="s">
        <v>763</v>
      </c>
      <c r="C39" s="19"/>
      <c r="D39" s="18"/>
      <c r="E39" s="19"/>
      <c r="F39" s="19"/>
      <c r="G39" s="19"/>
      <c r="H39" s="19"/>
      <c r="I39" s="17"/>
    </row>
    <row r="40" ht="13.5" customHeight="1">
      <c r="A40" s="1"/>
      <c r="B40" s="17" t="s">
        <v>764</v>
      </c>
      <c r="C40" s="19"/>
      <c r="D40" s="18"/>
      <c r="E40" s="19"/>
      <c r="F40" s="19"/>
      <c r="G40" s="19"/>
      <c r="H40" s="19"/>
      <c r="I40" s="17"/>
    </row>
    <row r="41" ht="13.5" customHeight="1">
      <c r="A41" s="1"/>
      <c r="B41" s="17" t="s">
        <v>765</v>
      </c>
      <c r="C41" s="19"/>
      <c r="D41" s="18"/>
      <c r="E41" s="19"/>
      <c r="F41" s="19"/>
      <c r="G41" s="19"/>
      <c r="H41" s="19"/>
      <c r="I41" s="17"/>
    </row>
    <row r="42" ht="13.5" customHeight="1">
      <c r="A42" s="1"/>
      <c r="B42" s="17" t="s">
        <v>766</v>
      </c>
      <c r="C42" s="45">
        <v>16842.96</v>
      </c>
      <c r="D42" s="96" t="s">
        <v>767</v>
      </c>
      <c r="E42" s="25"/>
      <c r="F42" s="25"/>
      <c r="G42" s="25"/>
      <c r="H42" s="25"/>
      <c r="I42" s="17"/>
    </row>
    <row r="43" ht="13.5" customHeight="1">
      <c r="A43" s="1"/>
      <c r="B43" s="17" t="s">
        <v>768</v>
      </c>
      <c r="C43" s="45">
        <v>16820</v>
      </c>
      <c r="D43" s="96"/>
      <c r="E43" s="25"/>
      <c r="F43" s="25"/>
      <c r="G43" s="25"/>
      <c r="H43" s="25"/>
      <c r="I43" s="17"/>
    </row>
    <row r="44" ht="13.5" customHeight="1">
      <c r="A44" s="1"/>
      <c r="B44" s="17" t="s">
        <v>769</v>
      </c>
      <c r="C44" s="45">
        <v>17050</v>
      </c>
      <c r="D44" s="96"/>
      <c r="E44" s="25"/>
      <c r="F44" s="25"/>
      <c r="G44" s="25"/>
      <c r="H44" s="25"/>
      <c r="I44" s="17"/>
    </row>
    <row r="45" ht="13.5" customHeight="1">
      <c r="A45" s="1"/>
      <c r="B45" s="17" t="s">
        <v>770</v>
      </c>
      <c r="C45" s="45">
        <v>16669.83</v>
      </c>
      <c r="D45" s="96"/>
      <c r="E45" s="25"/>
      <c r="F45" s="25"/>
      <c r="G45" s="25"/>
      <c r="H45" s="25"/>
      <c r="I45" s="17"/>
    </row>
    <row r="46" ht="13.5" customHeight="1">
      <c r="A46" s="1"/>
      <c r="B46" s="17" t="s">
        <v>771</v>
      </c>
      <c r="C46" s="45">
        <v>112.11</v>
      </c>
      <c r="D46" s="96"/>
      <c r="E46" s="25"/>
      <c r="F46" s="25"/>
      <c r="G46" s="25"/>
      <c r="H46" s="25"/>
      <c r="I46" s="17"/>
    </row>
    <row r="47" ht="13.5" customHeight="1">
      <c r="A47" s="1"/>
      <c r="B47" s="17" t="s">
        <v>772</v>
      </c>
      <c r="C47" s="91">
        <v>19</v>
      </c>
      <c r="D47" s="94" t="s">
        <v>737</v>
      </c>
      <c r="E47" s="37"/>
      <c r="F47" s="37"/>
      <c r="G47" s="37"/>
      <c r="H47" s="37"/>
      <c r="I47" s="17"/>
    </row>
    <row r="48" ht="13.5" customHeight="1">
      <c r="A48" s="1"/>
      <c r="B48" s="17" t="s">
        <v>773</v>
      </c>
      <c r="C48" s="19"/>
      <c r="D48" s="18"/>
      <c r="E48" s="19"/>
      <c r="F48" s="19"/>
      <c r="G48" s="19"/>
      <c r="H48" s="19"/>
      <c r="I48" s="17"/>
    </row>
    <row r="49" ht="13.5" customHeight="1">
      <c r="A49" s="1"/>
      <c r="B49" s="17" t="s">
        <v>774</v>
      </c>
      <c r="C49" s="19"/>
      <c r="D49" s="18"/>
      <c r="E49" s="19"/>
      <c r="F49" s="19"/>
      <c r="G49" s="19"/>
      <c r="H49" s="19"/>
      <c r="I49" s="17"/>
    </row>
    <row r="50" ht="13.5" customHeight="1">
      <c r="A50" s="1"/>
      <c r="B50" s="17" t="s">
        <v>775</v>
      </c>
      <c r="C50" s="19"/>
      <c r="D50" s="18"/>
      <c r="E50" s="19"/>
      <c r="F50" s="19"/>
      <c r="G50" s="19"/>
      <c r="H50" s="19"/>
      <c r="I50" s="17"/>
    </row>
    <row r="51" ht="13.5" customHeight="1">
      <c r="A51" s="1"/>
      <c r="B51" s="17" t="s">
        <v>776</v>
      </c>
      <c r="C51" s="45">
        <v>4670.44</v>
      </c>
      <c r="D51" s="96"/>
      <c r="E51" s="25"/>
      <c r="F51" s="25"/>
      <c r="G51" s="25"/>
      <c r="H51" s="25"/>
      <c r="I51" s="17"/>
    </row>
    <row r="52" ht="13.5" customHeight="1">
      <c r="A52" s="1"/>
      <c r="B52" s="17" t="s">
        <v>777</v>
      </c>
      <c r="C52" s="45">
        <v>3558.79</v>
      </c>
      <c r="D52" s="96"/>
      <c r="E52" s="25"/>
      <c r="F52" s="25"/>
      <c r="G52" s="25"/>
      <c r="H52" s="25"/>
      <c r="I52" s="17"/>
    </row>
    <row r="53" ht="13.5" customHeight="1">
      <c r="A53" s="1"/>
      <c r="B53" s="17" t="s">
        <v>778</v>
      </c>
      <c r="C53" s="45">
        <v>3235.27</v>
      </c>
      <c r="D53" s="96"/>
      <c r="E53" s="25"/>
      <c r="F53" s="25"/>
      <c r="G53" s="25"/>
      <c r="H53" s="25"/>
      <c r="I53" s="17"/>
    </row>
    <row r="54" ht="13.5" customHeight="1">
      <c r="A54" s="1"/>
      <c r="B54" s="17" t="s">
        <v>779</v>
      </c>
      <c r="C54" s="45">
        <v>2669.75</v>
      </c>
      <c r="D54" s="96"/>
      <c r="E54" s="25"/>
      <c r="F54" s="25"/>
      <c r="G54" s="25"/>
      <c r="H54" s="25"/>
      <c r="I54" s="17"/>
    </row>
    <row r="55" ht="13.5" customHeight="1">
      <c r="A55" s="1"/>
      <c r="B55" s="17" t="s">
        <v>780</v>
      </c>
      <c r="C55" s="45">
        <v>2778.18</v>
      </c>
      <c r="D55" s="96" t="s">
        <v>781</v>
      </c>
      <c r="E55" s="25"/>
      <c r="F55" s="25"/>
      <c r="G55" s="25"/>
      <c r="H55" s="25"/>
      <c r="I55" s="17"/>
    </row>
    <row r="56" ht="13.5" customHeight="1">
      <c r="A56" s="1"/>
      <c r="B56" s="17" t="s">
        <v>782</v>
      </c>
      <c r="C56" s="45">
        <v>2347.29</v>
      </c>
      <c r="D56" s="96" t="s">
        <v>783</v>
      </c>
      <c r="E56" s="25"/>
      <c r="F56" s="25"/>
      <c r="G56" s="25"/>
      <c r="H56" s="25"/>
      <c r="I56" s="17"/>
    </row>
    <row r="57" ht="13.5" customHeight="1">
      <c r="A57" s="1"/>
      <c r="B57" s="17" t="s">
        <v>784</v>
      </c>
      <c r="C57" s="19"/>
      <c r="D57" s="18"/>
      <c r="E57" s="19"/>
      <c r="F57" s="19"/>
      <c r="G57" s="19"/>
      <c r="H57" s="19"/>
      <c r="I57" s="17"/>
    </row>
    <row r="58" ht="13.5" customHeight="1">
      <c r="A58" s="1"/>
      <c r="B58" s="17" t="s">
        <v>785</v>
      </c>
      <c r="C58" s="19"/>
      <c r="D58" s="18"/>
      <c r="E58" s="19"/>
      <c r="F58" s="19"/>
      <c r="G58" s="19"/>
      <c r="H58" s="19"/>
      <c r="I58" s="17"/>
    </row>
    <row r="59" ht="13.5" customHeight="1">
      <c r="A59" s="1"/>
      <c r="B59" s="17" t="s">
        <v>786</v>
      </c>
      <c r="C59" s="19"/>
      <c r="D59" s="18"/>
      <c r="E59" s="19"/>
      <c r="F59" s="19"/>
      <c r="G59" s="19"/>
      <c r="H59" s="19"/>
      <c r="I59" s="17"/>
    </row>
    <row r="60" ht="13.5" customHeight="1">
      <c r="A60" s="1"/>
      <c r="B60" s="17" t="s">
        <v>787</v>
      </c>
      <c r="C60" s="19"/>
      <c r="D60" s="18"/>
      <c r="E60" s="19"/>
      <c r="F60" s="19"/>
      <c r="G60" s="19"/>
      <c r="H60" s="19"/>
      <c r="I60" s="17"/>
    </row>
    <row r="61" ht="13.5" customHeight="1">
      <c r="A61" s="1"/>
      <c r="B61" s="17" t="s">
        <v>788</v>
      </c>
      <c r="C61" s="19"/>
      <c r="D61" s="18"/>
      <c r="E61" s="19"/>
      <c r="F61" s="19"/>
      <c r="G61" s="19"/>
      <c r="H61" s="19"/>
      <c r="I61" s="17"/>
    </row>
    <row r="62" ht="13.5" customHeight="1">
      <c r="A62" s="1"/>
      <c r="B62" s="17" t="s">
        <v>789</v>
      </c>
      <c r="C62" s="19"/>
      <c r="D62" s="18"/>
      <c r="E62" s="19"/>
      <c r="F62" s="19"/>
      <c r="G62" s="19"/>
      <c r="H62" s="19"/>
      <c r="I62" s="17"/>
    </row>
    <row r="63" ht="13.5" customHeight="1">
      <c r="A63" s="1"/>
      <c r="B63" s="17" t="s">
        <v>790</v>
      </c>
      <c r="C63" s="45">
        <v>-465.89</v>
      </c>
      <c r="D63" s="96"/>
      <c r="E63" s="25"/>
      <c r="F63" s="25"/>
      <c r="G63" s="25"/>
      <c r="H63" s="25"/>
      <c r="I63" s="17"/>
    </row>
    <row r="64" ht="13.5" customHeight="1">
      <c r="A64" s="1"/>
      <c r="B64" s="17" t="s">
        <v>791</v>
      </c>
      <c r="C64" s="45">
        <v>47338</v>
      </c>
      <c r="D64" s="96"/>
      <c r="E64" s="25"/>
      <c r="F64" s="25"/>
      <c r="G64" s="25"/>
      <c r="H64" s="25"/>
      <c r="I64" s="17"/>
    </row>
    <row r="65" ht="13.5" customHeight="1">
      <c r="A65" s="1"/>
      <c r="B65" s="17" t="s">
        <v>792</v>
      </c>
      <c r="C65" s="19"/>
      <c r="D65" s="18"/>
      <c r="E65" s="19"/>
      <c r="F65" s="19"/>
      <c r="G65" s="19"/>
      <c r="H65" s="19"/>
      <c r="I65" s="17"/>
    </row>
    <row r="66" ht="13.5" customHeight="1">
      <c r="A66" s="1"/>
      <c r="B66" s="17" t="s">
        <v>793</v>
      </c>
      <c r="C66" s="19"/>
      <c r="D66" s="18"/>
      <c r="E66" s="19"/>
      <c r="F66" s="19"/>
      <c r="G66" s="19"/>
      <c r="H66" s="19"/>
      <c r="I66" s="17"/>
    </row>
    <row r="67" ht="13.5" customHeight="1">
      <c r="A67" s="1"/>
      <c r="B67" s="17" t="s">
        <v>794</v>
      </c>
      <c r="C67" s="85">
        <v>242.65</v>
      </c>
      <c r="D67" s="95"/>
      <c r="E67" s="29"/>
      <c r="F67" s="29"/>
      <c r="G67" s="29"/>
      <c r="H67" s="29"/>
      <c r="I67" s="17"/>
    </row>
    <row r="68" ht="13.5" customHeight="1">
      <c r="A68" s="1"/>
      <c r="B68" s="17" t="s">
        <v>795</v>
      </c>
      <c r="C68" s="85">
        <v>240</v>
      </c>
      <c r="D68" s="95"/>
      <c r="E68" s="29"/>
      <c r="F68" s="29"/>
      <c r="G68" s="29"/>
      <c r="H68" s="29"/>
      <c r="I68" s="17"/>
    </row>
    <row r="69" ht="13.5" customHeight="1">
      <c r="A69" s="1"/>
      <c r="B69" s="17" t="s">
        <v>796</v>
      </c>
      <c r="C69" s="85">
        <v>297</v>
      </c>
      <c r="D69" s="95"/>
      <c r="E69" s="29"/>
      <c r="F69" s="29"/>
      <c r="G69" s="29"/>
      <c r="H69" s="29"/>
      <c r="I69" s="17"/>
    </row>
    <row r="70" ht="13.5" customHeight="1">
      <c r="A70" s="1"/>
      <c r="B70" s="17" t="s">
        <v>797</v>
      </c>
      <c r="C70" s="85">
        <v>174</v>
      </c>
      <c r="D70" s="95"/>
      <c r="E70" s="29"/>
      <c r="F70" s="29"/>
      <c r="G70" s="29"/>
      <c r="H70" s="29"/>
      <c r="I70" s="17"/>
    </row>
    <row r="71" ht="13.5" customHeight="1">
      <c r="A71" s="1"/>
      <c r="B71" s="17" t="s">
        <v>798</v>
      </c>
      <c r="C71" s="85">
        <v>26.06</v>
      </c>
      <c r="D71" s="95"/>
      <c r="E71" s="29"/>
      <c r="F71" s="29"/>
      <c r="G71" s="29"/>
      <c r="H71" s="29"/>
      <c r="I71" s="17"/>
    </row>
    <row r="72" ht="13.5" customHeight="1">
      <c r="A72" s="1"/>
      <c r="B72" s="17" t="s">
        <v>799</v>
      </c>
      <c r="C72" s="91">
        <v>23</v>
      </c>
      <c r="D72" s="94"/>
      <c r="E72" s="37"/>
      <c r="F72" s="37"/>
      <c r="G72" s="37"/>
      <c r="H72" s="37"/>
      <c r="I72" s="17"/>
    </row>
    <row r="73" ht="13.5" customHeight="1">
      <c r="A73" s="1"/>
      <c r="B73" s="17" t="s">
        <v>800</v>
      </c>
      <c r="C73" s="19" t="s">
        <v>801</v>
      </c>
      <c r="D73" s="18"/>
      <c r="E73" s="19"/>
      <c r="F73" s="19"/>
      <c r="G73" s="19"/>
      <c r="H73" s="19"/>
      <c r="I73" s="17"/>
    </row>
    <row r="74" ht="13.5" customHeight="1">
      <c r="A74" s="1"/>
      <c r="B74" s="17" t="s">
        <v>802</v>
      </c>
      <c r="C74" s="85">
        <v>2.28</v>
      </c>
      <c r="D74" s="95"/>
      <c r="E74" s="29"/>
      <c r="F74" s="29"/>
      <c r="G74" s="29"/>
      <c r="H74" s="29"/>
      <c r="I74" s="17"/>
    </row>
    <row r="75" ht="13.5" customHeight="1">
      <c r="A75" s="1"/>
      <c r="B75" s="17" t="s">
        <v>803</v>
      </c>
      <c r="C75" s="85">
        <v>232.14</v>
      </c>
      <c r="D75" s="95" t="s">
        <v>804</v>
      </c>
      <c r="E75" s="29"/>
      <c r="F75" s="29"/>
      <c r="G75" s="29"/>
      <c r="H75" s="29"/>
      <c r="I75" s="17"/>
    </row>
    <row r="76" ht="13.5" customHeight="1">
      <c r="A76" s="1"/>
      <c r="B76" s="17" t="s">
        <v>805</v>
      </c>
      <c r="C76" s="19" t="s">
        <v>806</v>
      </c>
      <c r="D76" s="19"/>
      <c r="E76" s="19"/>
      <c r="F76" s="19"/>
      <c r="G76" s="19"/>
      <c r="H76" s="19"/>
      <c r="I76" s="17"/>
    </row>
    <row r="77" ht="13.5" customHeight="1">
      <c r="A77" s="1"/>
      <c r="B77" s="17" t="s">
        <v>807</v>
      </c>
      <c r="C77" s="89">
        <v>46313</v>
      </c>
      <c r="D77" s="19"/>
      <c r="E77" s="19"/>
      <c r="F77" s="19"/>
      <c r="G77" s="19"/>
      <c r="H77" s="19"/>
      <c r="I77" s="17"/>
    </row>
    <row r="78" ht="13.5" customHeight="1">
      <c r="A78" s="1"/>
      <c r="B78" s="17" t="s">
        <v>808</v>
      </c>
      <c r="C78" s="19"/>
      <c r="D78" s="19"/>
      <c r="E78" s="19"/>
      <c r="F78" s="19"/>
      <c r="G78" s="19"/>
      <c r="H78" s="19"/>
      <c r="I78" s="17"/>
    </row>
    <row r="79" ht="13.5" customHeight="1">
      <c r="A79" s="1"/>
      <c r="B79" s="17" t="s">
        <v>809</v>
      </c>
      <c r="C79" s="18" t="s">
        <v>810</v>
      </c>
      <c r="D79" s="19"/>
      <c r="E79" s="19"/>
      <c r="F79" s="19"/>
      <c r="G79" s="19"/>
      <c r="H79" s="19"/>
      <c r="I79" s="17"/>
    </row>
    <row r="80" ht="13.5" customHeight="1">
      <c r="A80" s="1"/>
      <c r="B80" s="17" t="s">
        <v>811</v>
      </c>
      <c r="C80" s="89">
        <v>46313</v>
      </c>
      <c r="D80" s="19"/>
      <c r="E80" s="19"/>
      <c r="F80" s="19"/>
      <c r="G80" s="19"/>
      <c r="H80" s="19"/>
      <c r="I80" s="17"/>
    </row>
    <row r="81" ht="13.5" customHeight="1">
      <c r="A81" s="1"/>
      <c r="B81" s="17" t="s">
        <v>812</v>
      </c>
      <c r="C81" s="91">
        <v>20</v>
      </c>
      <c r="D81" s="37"/>
      <c r="E81" s="37"/>
      <c r="F81" s="37"/>
      <c r="G81" s="37"/>
      <c r="H81" s="37"/>
      <c r="I81" s="17"/>
    </row>
    <row r="82" ht="13.5" customHeight="1">
      <c r="A82" s="1"/>
      <c r="B82" s="17"/>
      <c r="C82" s="20"/>
      <c r="D82" s="20"/>
      <c r="E82" s="20"/>
      <c r="F82" s="20"/>
      <c r="G82" s="20"/>
      <c r="H82" s="20"/>
      <c r="I82" s="17"/>
    </row>
    <row r="83" ht="24.75" customHeight="1">
      <c r="A83" s="1"/>
      <c r="B83" s="14" t="s">
        <v>813</v>
      </c>
      <c r="C83" s="22"/>
      <c r="D83" s="22"/>
      <c r="E83" s="22"/>
      <c r="F83" s="22"/>
      <c r="G83" s="22"/>
      <c r="H83" s="22"/>
      <c r="I83" s="17"/>
    </row>
    <row r="84" ht="13.5" customHeight="1">
      <c r="A84" s="1"/>
      <c r="B84" s="14" t="s">
        <v>814</v>
      </c>
      <c r="C84" s="16" t="s">
        <v>815</v>
      </c>
      <c r="D84" s="16" t="s">
        <v>816</v>
      </c>
      <c r="E84" s="16" t="s">
        <v>817</v>
      </c>
      <c r="F84" s="16" t="s">
        <v>818</v>
      </c>
      <c r="G84" s="16" t="s">
        <v>819</v>
      </c>
      <c r="H84" s="16" t="s">
        <v>820</v>
      </c>
      <c r="I84" s="22" t="s">
        <v>821</v>
      </c>
    </row>
    <row r="85" ht="13.5" customHeight="1">
      <c r="A85" s="1"/>
      <c r="B85" s="97">
        <v>45747</v>
      </c>
      <c r="C85" s="89">
        <v>45770</v>
      </c>
      <c r="D85" s="85">
        <v>1.43</v>
      </c>
      <c r="E85" s="85">
        <v>1.6</v>
      </c>
      <c r="F85" s="85">
        <v>1.08</v>
      </c>
      <c r="G85" s="85">
        <v>1.12</v>
      </c>
      <c r="H85" s="45">
        <v>14390.56</v>
      </c>
      <c r="I85" s="98">
        <v>14541</v>
      </c>
    </row>
    <row r="86" ht="13.5" customHeight="1">
      <c r="A86" s="1"/>
      <c r="B86" s="97">
        <v>45838</v>
      </c>
      <c r="C86" s="89">
        <v>45861</v>
      </c>
      <c r="D86" s="85">
        <v>2.65</v>
      </c>
      <c r="E86" s="85">
        <v>2.8</v>
      </c>
      <c r="F86" s="85">
        <v>2.27</v>
      </c>
      <c r="G86" s="85">
        <v>2.31</v>
      </c>
      <c r="H86" s="45">
        <v>16591.53</v>
      </c>
      <c r="I86" s="98">
        <v>16977</v>
      </c>
    </row>
    <row r="87" ht="13.5" customHeight="1">
      <c r="A87" s="1"/>
      <c r="B87" s="97">
        <v>45930</v>
      </c>
      <c r="C87" s="89">
        <v>45952</v>
      </c>
      <c r="D87" s="85">
        <v>2.45</v>
      </c>
      <c r="E87" s="85">
        <v>2.65</v>
      </c>
      <c r="F87" s="85">
        <v>1.92</v>
      </c>
      <c r="G87" s="85">
        <v>1.84</v>
      </c>
      <c r="H87" s="45">
        <v>16097.24</v>
      </c>
      <c r="I87" s="98">
        <v>16331</v>
      </c>
    </row>
    <row r="88" ht="13.5" customHeight="1">
      <c r="A88" s="1"/>
      <c r="B88" s="97">
        <v>46022</v>
      </c>
      <c r="C88" s="89">
        <v>46050</v>
      </c>
      <c r="D88" s="85">
        <v>4.29</v>
      </c>
      <c r="E88" s="85">
        <v>4.52</v>
      </c>
      <c r="F88" s="85">
        <v>3.67</v>
      </c>
      <c r="G88" s="85">
        <v>5.88</v>
      </c>
      <c r="H88" s="45">
        <v>19215.47</v>
      </c>
      <c r="I88" s="98">
        <v>19686</v>
      </c>
    </row>
    <row r="89" ht="13.5" customHeight="1">
      <c r="A89" s="1"/>
      <c r="B89" s="97">
        <v>46112</v>
      </c>
      <c r="C89" s="89">
        <v>46134</v>
      </c>
      <c r="D89" s="85">
        <v>1.81</v>
      </c>
      <c r="E89" s="85">
        <v>1.91</v>
      </c>
      <c r="F89" s="85">
        <v>1.38</v>
      </c>
      <c r="G89" s="85">
        <v>1.28</v>
      </c>
      <c r="H89" s="45">
        <v>15651.4</v>
      </c>
      <c r="I89" s="98">
        <v>15917</v>
      </c>
    </row>
    <row r="90" ht="13.5" customHeight="1">
      <c r="A90" s="1"/>
      <c r="B90" s="97">
        <v>46203</v>
      </c>
      <c r="C90" s="89">
        <v>46225</v>
      </c>
      <c r="D90" s="85">
        <v>2.93</v>
      </c>
      <c r="E90" s="85">
        <v>2.93</v>
      </c>
      <c r="F90" s="85">
        <v>2.28</v>
      </c>
      <c r="G90" s="85">
        <v>2.27</v>
      </c>
      <c r="H90" s="45">
        <v>17263.69</v>
      </c>
      <c r="I90" s="98">
        <v>17162</v>
      </c>
    </row>
    <row r="91" ht="13.5" customHeight="1">
      <c r="A91" s="1"/>
      <c r="B91" s="17"/>
      <c r="C91" s="20"/>
      <c r="D91" s="20"/>
      <c r="E91" s="20"/>
      <c r="F91" s="20"/>
      <c r="G91" s="20"/>
      <c r="H91" s="20"/>
      <c r="I91" s="17"/>
    </row>
    <row r="92" ht="24.75" customHeight="1">
      <c r="A92" s="1"/>
      <c r="B92" s="14" t="s">
        <v>822</v>
      </c>
      <c r="C92" s="22"/>
      <c r="D92" s="22"/>
      <c r="E92" s="22"/>
      <c r="F92" s="22"/>
      <c r="G92" s="22"/>
      <c r="H92" s="22"/>
      <c r="I92" s="17"/>
    </row>
    <row r="93" ht="13.5" customHeight="1">
      <c r="A93" s="1"/>
      <c r="B93" s="14" t="s">
        <v>70</v>
      </c>
      <c r="C93" s="16" t="s">
        <v>823</v>
      </c>
      <c r="D93" s="16" t="s">
        <v>824</v>
      </c>
      <c r="E93" s="16" t="s">
        <v>825</v>
      </c>
      <c r="F93" s="16"/>
      <c r="G93" s="16"/>
      <c r="H93" s="16"/>
      <c r="I93" s="17"/>
    </row>
    <row r="94" ht="13.5" customHeight="1">
      <c r="A94" s="1"/>
      <c r="B94" s="97">
        <v>45747</v>
      </c>
      <c r="C94" s="29">
        <f t="shared" si="0" ref="C94:C99">E85-D85</f>
        <v>0.17000000000000015</v>
      </c>
      <c r="D94" s="26">
        <f t="shared" si="1" ref="D94:D99">E85/D85-1</f>
        <v>0.11888111888111896</v>
      </c>
      <c r="E94" s="19" t="b">
        <f t="shared" si="2" ref="E94:E99">E85&gt;D85</f>
        <v>1</v>
      </c>
      <c r="F94" s="29"/>
      <c r="G94" s="29"/>
      <c r="H94" s="29"/>
      <c r="I94" s="17"/>
    </row>
    <row r="95" ht="13.5" customHeight="1">
      <c r="A95" s="1"/>
      <c r="B95" s="97">
        <v>45838</v>
      </c>
      <c r="C95" s="29">
        <f t="shared" si="0"/>
        <v>0.1499999999999999</v>
      </c>
      <c r="D95" s="26">
        <f t="shared" si="1"/>
        <v>0.05660377358490565</v>
      </c>
      <c r="E95" s="19" t="b">
        <f t="shared" si="2"/>
        <v>1</v>
      </c>
      <c r="F95" s="29"/>
      <c r="G95" s="29"/>
      <c r="H95" s="29"/>
      <c r="I95" s="17"/>
    </row>
    <row r="96" ht="13.5" customHeight="1">
      <c r="A96" s="1"/>
      <c r="B96" s="97">
        <v>45930</v>
      </c>
      <c r="C96" s="29">
        <f t="shared" si="0"/>
        <v>0.19999999999999973</v>
      </c>
      <c r="D96" s="26">
        <f t="shared" si="1"/>
        <v>0.08163265306122436</v>
      </c>
      <c r="E96" s="19" t="b">
        <f t="shared" si="2"/>
        <v>1</v>
      </c>
      <c r="F96" s="29"/>
      <c r="G96" s="29"/>
      <c r="H96" s="29"/>
      <c r="I96" s="17"/>
    </row>
    <row r="97" ht="13.5" customHeight="1">
      <c r="A97" s="1"/>
      <c r="B97" s="97">
        <v>46022</v>
      </c>
      <c r="C97" s="29">
        <f t="shared" si="0"/>
        <v>0.22999999999999954</v>
      </c>
      <c r="D97" s="26">
        <f t="shared" si="1"/>
        <v>0.05361305361305346</v>
      </c>
      <c r="E97" s="19" t="b">
        <f t="shared" si="2"/>
        <v>1</v>
      </c>
      <c r="F97" s="29"/>
      <c r="G97" s="29"/>
      <c r="H97" s="29"/>
      <c r="I97" s="17"/>
    </row>
    <row r="98" ht="13.5" customHeight="1">
      <c r="A98" s="1"/>
      <c r="B98" s="97">
        <v>46112</v>
      </c>
      <c r="C98" s="29">
        <f t="shared" si="0"/>
        <v>0.09999999999999987</v>
      </c>
      <c r="D98" s="26">
        <f t="shared" si="1"/>
        <v>0.055248618784530246</v>
      </c>
      <c r="E98" s="19" t="b">
        <f t="shared" si="2"/>
        <v>1</v>
      </c>
      <c r="F98" s="29"/>
      <c r="G98" s="29"/>
      <c r="H98" s="29"/>
      <c r="I98" s="17"/>
    </row>
    <row r="99" ht="13.5" customHeight="1">
      <c r="A99" s="1"/>
      <c r="B99" s="97">
        <v>46203</v>
      </c>
      <c r="C99" s="29">
        <f t="shared" si="0"/>
        <v>0</v>
      </c>
      <c r="D99" s="26">
        <f t="shared" si="1"/>
        <v>0</v>
      </c>
      <c r="E99" s="19" t="b">
        <f t="shared" si="2"/>
        <v>0</v>
      </c>
      <c r="F99" s="29"/>
      <c r="G99" s="29"/>
      <c r="H99" s="29"/>
      <c r="I99" s="17"/>
    </row>
    <row r="100" ht="24.75" customHeight="1">
      <c r="A100" s="1"/>
      <c r="B100" s="14" t="s">
        <v>826</v>
      </c>
      <c r="C100" s="77">
        <f>_xlfn.IFERROR((IF(E94,C94,0)+IF(E95,C95,0)+IF(E96,C96,0)+IF(E97,C97,0)+IF(E98,C98,0)+IF(E99,C99,0))/C257,"n.a.")</f>
        <v>0.16999999999999985</v>
      </c>
      <c r="D100" s="77"/>
      <c r="E100" s="77"/>
      <c r="F100" s="77"/>
      <c r="G100" s="77"/>
      <c r="H100" s="77"/>
      <c r="I100" s="17"/>
    </row>
    <row r="101" ht="13.5" customHeight="1">
      <c r="A101" s="1"/>
      <c r="B101" s="17"/>
      <c r="C101" s="20"/>
      <c r="D101" s="20"/>
      <c r="E101" s="20"/>
      <c r="F101" s="20"/>
      <c r="G101" s="20"/>
      <c r="H101" s="20"/>
      <c r="I101" s="17"/>
    </row>
    <row r="102" ht="24.75" customHeight="1">
      <c r="A102" s="1"/>
      <c r="B102" s="14" t="s">
        <v>827</v>
      </c>
      <c r="C102" s="22"/>
      <c r="D102" s="22"/>
      <c r="E102" s="22"/>
      <c r="F102" s="22"/>
      <c r="G102" s="22"/>
      <c r="H102" s="22"/>
      <c r="I102" s="17"/>
    </row>
    <row r="103" ht="13.5" customHeight="1">
      <c r="A103" s="1"/>
      <c r="B103" s="14" t="s">
        <v>828</v>
      </c>
      <c r="C103" s="16" t="s">
        <v>829</v>
      </c>
      <c r="D103" s="16" t="s">
        <v>830</v>
      </c>
      <c r="E103" s="16" t="s">
        <v>831</v>
      </c>
      <c r="F103" s="16" t="s">
        <v>832</v>
      </c>
      <c r="G103" s="16" t="s">
        <v>833</v>
      </c>
      <c r="H103" s="16"/>
      <c r="I103" s="17"/>
    </row>
    <row r="104" ht="13.5" customHeight="1">
      <c r="A104" s="1"/>
      <c r="B104" s="17" t="s">
        <v>84</v>
      </c>
      <c r="C104" s="45">
        <v>14968</v>
      </c>
      <c r="D104" s="45">
        <v>17553</v>
      </c>
      <c r="E104" s="45">
        <v>62753</v>
      </c>
      <c r="F104" s="25">
        <f>I85</f>
        <v>14541</v>
      </c>
      <c r="G104" s="25">
        <f>I86</f>
        <v>16977</v>
      </c>
      <c r="H104" s="25"/>
      <c r="I104" s="17"/>
    </row>
    <row r="105" ht="13.5" customHeight="1">
      <c r="A105" s="1"/>
      <c r="B105" s="17" t="s">
        <v>834</v>
      </c>
      <c r="C105" s="45">
        <v>6524</v>
      </c>
      <c r="D105" s="45">
        <v>7924</v>
      </c>
      <c r="E105" s="45">
        <v>27085</v>
      </c>
      <c r="F105" s="45">
        <v>6336</v>
      </c>
      <c r="G105" s="45">
        <v>7387</v>
      </c>
      <c r="H105" s="25"/>
      <c r="I105" s="17"/>
    </row>
    <row r="106" ht="13.5" customHeight="1">
      <c r="A106" s="1"/>
      <c r="B106" s="17" t="s">
        <v>835</v>
      </c>
      <c r="C106" s="45">
        <v>5152</v>
      </c>
      <c r="D106" s="45">
        <v>5175</v>
      </c>
      <c r="E106" s="45">
        <v>20692</v>
      </c>
      <c r="F106" s="45">
        <v>5068</v>
      </c>
      <c r="G106" s="45">
        <v>5314</v>
      </c>
      <c r="H106" s="25"/>
      <c r="I106" s="17"/>
    </row>
    <row r="107" ht="13.5" customHeight="1">
      <c r="A107" s="1"/>
      <c r="B107" s="17" t="s">
        <v>836</v>
      </c>
      <c r="C107" s="45">
        <v>3042</v>
      </c>
      <c r="D107" s="45">
        <v>4256</v>
      </c>
      <c r="E107" s="45">
        <v>14020</v>
      </c>
      <c r="F107" s="45">
        <v>2886</v>
      </c>
      <c r="G107" s="45">
        <v>4142</v>
      </c>
      <c r="H107" s="25"/>
      <c r="I107" s="17"/>
    </row>
    <row r="108" ht="13.5" customHeight="1">
      <c r="A108" s="1"/>
      <c r="B108" s="17" t="s">
        <v>218</v>
      </c>
      <c r="C108" s="45">
        <v>181</v>
      </c>
      <c r="D108" s="45">
        <v>170</v>
      </c>
      <c r="E108" s="45">
        <v>713</v>
      </c>
      <c r="F108" s="45">
        <v>191</v>
      </c>
      <c r="G108" s="45">
        <v>166</v>
      </c>
      <c r="H108" s="25"/>
      <c r="I108" s="17"/>
    </row>
    <row r="109" ht="13.5" customHeight="1">
      <c r="A109" s="1"/>
      <c r="B109" s="17" t="s">
        <v>837</v>
      </c>
      <c r="C109" s="45">
        <v>68</v>
      </c>
      <c r="D109" s="45">
        <v>29</v>
      </c>
      <c r="E109" s="45">
        <v>243</v>
      </c>
      <c r="F109" s="45">
        <v>61</v>
      </c>
      <c r="G109" s="45">
        <v>-31</v>
      </c>
      <c r="H109" s="25"/>
      <c r="I109" s="17"/>
    </row>
    <row r="110" ht="13.5" customHeight="1">
      <c r="A110" s="1"/>
      <c r="B110" s="17" t="s">
        <v>118</v>
      </c>
      <c r="C110" s="45">
        <v>1659</v>
      </c>
      <c r="D110" s="25">
        <f t="shared" si="3" ref="D110:D120">H238</f>
        <v>1774</v>
      </c>
      <c r="E110" s="25">
        <f t="shared" si="4" ref="E110:E120">F238</f>
        <v>6490</v>
      </c>
      <c r="F110" s="45">
        <v>1687</v>
      </c>
      <c r="G110" s="45">
        <v>1796</v>
      </c>
      <c r="H110" s="25"/>
      <c r="I110" s="17"/>
    </row>
    <row r="111" ht="13.5" customHeight="1">
      <c r="A111" s="1"/>
      <c r="B111" s="17" t="s">
        <v>124</v>
      </c>
      <c r="C111" s="45">
        <v>1563</v>
      </c>
      <c r="D111" s="25">
        <f t="shared" si="3"/>
        <v>1984</v>
      </c>
      <c r="E111" s="25">
        <f t="shared" si="4"/>
        <v>6558</v>
      </c>
      <c r="F111" s="45">
        <v>1584</v>
      </c>
      <c r="G111" s="45">
        <v>1883</v>
      </c>
      <c r="H111" s="25"/>
      <c r="I111" s="17"/>
    </row>
    <row r="112" ht="13.5" customHeight="1">
      <c r="A112" s="1"/>
      <c r="B112" s="17" t="s">
        <v>126</v>
      </c>
      <c r="C112" s="45">
        <v>1352</v>
      </c>
      <c r="D112" s="25">
        <f t="shared" si="3"/>
        <v>1727</v>
      </c>
      <c r="E112" s="25">
        <f t="shared" si="4"/>
        <v>5629</v>
      </c>
      <c r="F112" s="45">
        <v>1236</v>
      </c>
      <c r="G112" s="45">
        <v>1499</v>
      </c>
      <c r="H112" s="25"/>
      <c r="I112" s="17"/>
    </row>
    <row r="113" ht="13.5" customHeight="1">
      <c r="A113" s="1"/>
      <c r="B113" s="17" t="s">
        <v>129</v>
      </c>
      <c r="C113" s="45">
        <v>1951</v>
      </c>
      <c r="D113" s="25">
        <f t="shared" si="3"/>
        <v>2438</v>
      </c>
      <c r="E113" s="25">
        <f t="shared" si="4"/>
        <v>8408</v>
      </c>
      <c r="F113" s="45">
        <v>1828</v>
      </c>
      <c r="G113" s="45">
        <v>2208</v>
      </c>
      <c r="H113" s="25"/>
      <c r="I113" s="17"/>
    </row>
    <row r="114" ht="13.5" customHeight="1">
      <c r="A114" s="1"/>
      <c r="B114" s="17" t="s">
        <v>160</v>
      </c>
      <c r="C114" s="45">
        <v>2856</v>
      </c>
      <c r="D114" s="25">
        <f t="shared" si="3"/>
        <v>2875</v>
      </c>
      <c r="E114" s="25">
        <f t="shared" si="4"/>
        <v>11488</v>
      </c>
      <c r="F114" s="45">
        <v>2782</v>
      </c>
      <c r="G114" s="45">
        <v>2920</v>
      </c>
      <c r="H114" s="25"/>
      <c r="I114" s="17"/>
    </row>
    <row r="115" ht="13.5" customHeight="1">
      <c r="A115" s="1"/>
      <c r="B115" s="17" t="s">
        <v>162</v>
      </c>
      <c r="C115" s="45">
        <v>2297</v>
      </c>
      <c r="D115" s="25">
        <f t="shared" si="3"/>
        <v>2300</v>
      </c>
      <c r="E115" s="25">
        <f t="shared" si="4"/>
        <v>9204</v>
      </c>
      <c r="F115" s="45">
        <v>2286</v>
      </c>
      <c r="G115" s="45">
        <v>2395</v>
      </c>
      <c r="H115" s="25"/>
      <c r="I115" s="17"/>
    </row>
    <row r="116" ht="13.5" customHeight="1">
      <c r="A116" s="1"/>
      <c r="B116" s="17" t="s">
        <v>184</v>
      </c>
      <c r="C116" s="45">
        <v>1765</v>
      </c>
      <c r="D116" s="25">
        <f t="shared" si="3"/>
        <v>2985</v>
      </c>
      <c r="E116" s="25">
        <f t="shared" si="4"/>
        <v>8913</v>
      </c>
      <c r="F116" s="45">
        <v>1646</v>
      </c>
      <c r="G116" s="45">
        <v>2866</v>
      </c>
      <c r="H116" s="25"/>
      <c r="I116" s="17"/>
    </row>
    <row r="117" ht="13.5" customHeight="1">
      <c r="A117" s="1"/>
      <c r="B117" s="17" t="s">
        <v>197</v>
      </c>
      <c r="C117" s="45">
        <v>1277</v>
      </c>
      <c r="D117" s="25">
        <f t="shared" si="3"/>
        <v>1272</v>
      </c>
      <c r="E117" s="25">
        <f t="shared" si="4"/>
        <v>5107</v>
      </c>
      <c r="F117" s="45">
        <v>1240</v>
      </c>
      <c r="G117" s="45">
        <v>1275</v>
      </c>
      <c r="H117" s="25"/>
      <c r="I117" s="17"/>
    </row>
    <row r="118" ht="13.5" customHeight="1">
      <c r="A118" s="1"/>
      <c r="B118" s="17" t="s">
        <v>442</v>
      </c>
      <c r="C118" s="45">
        <v>7453</v>
      </c>
      <c r="D118" s="25">
        <f t="shared" si="3"/>
        <v>8539</v>
      </c>
      <c r="E118" s="25">
        <f t="shared" si="4"/>
        <v>31266</v>
      </c>
      <c r="F118" s="45">
        <v>7206</v>
      </c>
      <c r="G118" s="45">
        <v>8462</v>
      </c>
      <c r="H118" s="25"/>
      <c r="I118" s="17"/>
    </row>
    <row r="119" ht="13.5" customHeight="1">
      <c r="A119" s="1"/>
      <c r="B119" s="17" t="s">
        <v>444</v>
      </c>
      <c r="C119" s="45">
        <v>4584</v>
      </c>
      <c r="D119" s="25">
        <f t="shared" si="3"/>
        <v>5810</v>
      </c>
      <c r="E119" s="25">
        <f t="shared" si="4"/>
        <v>19429</v>
      </c>
      <c r="F119" s="45">
        <v>4552</v>
      </c>
      <c r="G119" s="45">
        <v>5413</v>
      </c>
      <c r="H119" s="25"/>
      <c r="I119" s="17"/>
    </row>
    <row r="120" ht="13.5" customHeight="1">
      <c r="A120" s="1"/>
      <c r="B120" s="17" t="s">
        <v>446</v>
      </c>
      <c r="C120" s="45">
        <v>2932</v>
      </c>
      <c r="D120" s="25">
        <f t="shared" si="3"/>
        <v>3205</v>
      </c>
      <c r="E120" s="25">
        <f t="shared" si="4"/>
        <v>12058</v>
      </c>
      <c r="F120" s="45">
        <v>2783</v>
      </c>
      <c r="G120" s="45">
        <v>3103</v>
      </c>
      <c r="H120" s="25"/>
      <c r="I120" s="17"/>
    </row>
    <row r="121" ht="13.5" customHeight="1">
      <c r="A121" s="1"/>
      <c r="B121" s="32" t="s">
        <v>838</v>
      </c>
      <c r="C121" s="53">
        <v>0.832</v>
      </c>
      <c r="D121" s="53">
        <v>0.85</v>
      </c>
      <c r="E121" s="53">
        <v>0.837</v>
      </c>
      <c r="F121" s="53">
        <v>0.836</v>
      </c>
      <c r="G121" s="53">
        <v>0.839</v>
      </c>
      <c r="H121" s="39"/>
      <c r="I121" s="17"/>
    </row>
    <row r="122" ht="13.5" customHeight="1">
      <c r="A122" s="1"/>
      <c r="B122" s="32" t="s">
        <v>839</v>
      </c>
      <c r="C122" s="53">
        <v>0.284</v>
      </c>
      <c r="D122" s="53">
        <v>0.28</v>
      </c>
      <c r="E122" s="53">
        <v>0.27</v>
      </c>
      <c r="F122" s="53">
        <v>0.273</v>
      </c>
      <c r="G122" s="53">
        <v>0.275</v>
      </c>
      <c r="H122" s="39"/>
      <c r="I122" s="17"/>
    </row>
    <row r="123" ht="13.5" customHeight="1">
      <c r="A123" s="1"/>
      <c r="B123" s="32" t="s">
        <v>840</v>
      </c>
      <c r="C123" s="53">
        <v>0.55</v>
      </c>
      <c r="D123" s="53">
        <v>0.569</v>
      </c>
      <c r="E123" s="53">
        <v>0.558</v>
      </c>
      <c r="F123" s="53">
        <v>0.528</v>
      </c>
      <c r="G123" s="53">
        <v>0.615</v>
      </c>
      <c r="H123" s="39"/>
      <c r="I123" s="17"/>
    </row>
    <row r="124" ht="13.5" customHeight="1">
      <c r="A124" s="1"/>
      <c r="B124" s="32" t="s">
        <v>841</v>
      </c>
      <c r="C124" s="53">
        <v>0.472</v>
      </c>
      <c r="D124" s="53">
        <v>0.469</v>
      </c>
      <c r="E124" s="53">
        <v>0.479</v>
      </c>
      <c r="F124" s="53">
        <v>0.458</v>
      </c>
      <c r="G124" s="53">
        <v>0.457</v>
      </c>
      <c r="H124" s="39"/>
      <c r="I124" s="17"/>
    </row>
    <row r="125" ht="13.5" customHeight="1">
      <c r="A125" s="1"/>
      <c r="B125" s="17" t="s">
        <v>842</v>
      </c>
      <c r="C125" s="45">
        <v>1969</v>
      </c>
      <c r="D125" s="45">
        <v>3102</v>
      </c>
      <c r="E125" s="45">
        <v>8684</v>
      </c>
      <c r="F125" s="45">
        <v>1847</v>
      </c>
      <c r="G125" s="45">
        <v>2296</v>
      </c>
      <c r="H125" s="25"/>
      <c r="I125" s="17"/>
    </row>
    <row r="126" ht="13.5" customHeight="1">
      <c r="A126" s="1"/>
      <c r="B126" s="17" t="s">
        <v>843</v>
      </c>
      <c r="C126" s="45">
        <v>559</v>
      </c>
      <c r="D126" s="45">
        <v>606</v>
      </c>
      <c r="E126" s="45">
        <v>2054</v>
      </c>
      <c r="F126" s="45">
        <v>558</v>
      </c>
      <c r="G126" s="45">
        <v>562</v>
      </c>
      <c r="H126" s="25"/>
      <c r="I126" s="17"/>
    </row>
    <row r="127" ht="13.5" customHeight="1">
      <c r="A127" s="1"/>
      <c r="B127" s="17" t="s">
        <v>844</v>
      </c>
      <c r="C127" s="45">
        <v>422</v>
      </c>
      <c r="D127" s="45">
        <v>1063</v>
      </c>
      <c r="E127" s="45">
        <v>2450</v>
      </c>
      <c r="F127" s="45">
        <v>248</v>
      </c>
      <c r="G127" s="45">
        <v>965</v>
      </c>
      <c r="H127" s="25"/>
      <c r="I127" s="17"/>
    </row>
    <row r="128" ht="13.5" customHeight="1">
      <c r="A128" s="1"/>
      <c r="B128" s="17" t="s">
        <v>845</v>
      </c>
      <c r="C128" s="45">
        <v>86</v>
      </c>
      <c r="D128" s="45">
        <v>94</v>
      </c>
      <c r="E128" s="45">
        <v>348</v>
      </c>
      <c r="F128" s="45">
        <v>69</v>
      </c>
      <c r="G128" s="45">
        <v>179</v>
      </c>
      <c r="H128" s="25"/>
      <c r="I128" s="17"/>
    </row>
    <row r="129" ht="13.5" customHeight="1">
      <c r="A129" s="1"/>
      <c r="B129" s="17" t="s">
        <v>846</v>
      </c>
      <c r="C129" s="45">
        <v>8420</v>
      </c>
      <c r="D129" s="45">
        <v>10439</v>
      </c>
      <c r="E129" s="45">
        <v>35551</v>
      </c>
      <c r="F129" s="45">
        <v>8031</v>
      </c>
      <c r="G129" s="45">
        <v>9977</v>
      </c>
      <c r="H129" s="25"/>
      <c r="I129" s="17"/>
    </row>
    <row r="130" ht="13.5" customHeight="1">
      <c r="A130" s="1"/>
      <c r="B130" s="17" t="s">
        <v>847</v>
      </c>
      <c r="C130" s="45">
        <v>4911</v>
      </c>
      <c r="D130" s="45">
        <v>4866</v>
      </c>
      <c r="E130" s="45">
        <v>19688</v>
      </c>
      <c r="F130" s="45">
        <v>4886</v>
      </c>
      <c r="G130" s="45">
        <v>5027</v>
      </c>
      <c r="H130" s="25"/>
      <c r="I130" s="17"/>
    </row>
    <row r="131" ht="13.5" customHeight="1">
      <c r="A131" s="1"/>
      <c r="B131" s="17" t="s">
        <v>848</v>
      </c>
      <c r="C131" s="45">
        <v>1876</v>
      </c>
      <c r="D131" s="45">
        <v>1967</v>
      </c>
      <c r="E131" s="45">
        <v>7479</v>
      </c>
      <c r="F131" s="45">
        <v>1950</v>
      </c>
      <c r="G131" s="45">
        <v>2097</v>
      </c>
      <c r="H131" s="25"/>
      <c r="I131" s="17"/>
    </row>
    <row r="132" ht="13.5" customHeight="1">
      <c r="A132" s="1"/>
      <c r="B132" s="17" t="s">
        <v>849</v>
      </c>
      <c r="C132" s="45">
        <v>4611</v>
      </c>
      <c r="D132" s="45">
        <v>4561</v>
      </c>
      <c r="E132" s="45">
        <v>18529</v>
      </c>
      <c r="F132" s="45">
        <v>4533</v>
      </c>
      <c r="G132" s="45">
        <v>4679</v>
      </c>
      <c r="H132" s="25"/>
      <c r="I132" s="17"/>
    </row>
    <row r="133" ht="24.75" customHeight="1">
      <c r="A133" s="1"/>
      <c r="B133" s="17" t="s">
        <v>235</v>
      </c>
      <c r="C133" s="45">
        <v>-238</v>
      </c>
      <c r="D133" s="45">
        <v>-301</v>
      </c>
      <c r="E133" s="45">
        <v>-996</v>
      </c>
      <c r="F133" s="45">
        <v>-253</v>
      </c>
      <c r="G133" s="45">
        <v>-215</v>
      </c>
      <c r="H133" s="25"/>
      <c r="I133" s="17"/>
    </row>
    <row r="134" ht="13.5" customHeight="1">
      <c r="A134" s="1"/>
      <c r="B134" s="17" t="s">
        <v>237</v>
      </c>
      <c r="C134" s="45">
        <v>2244</v>
      </c>
      <c r="D134" s="45">
        <v>177</v>
      </c>
      <c r="E134" s="45">
        <v>1871</v>
      </c>
      <c r="F134" s="45">
        <v>-165</v>
      </c>
      <c r="G134" s="45">
        <v>-39</v>
      </c>
      <c r="H134" s="25"/>
      <c r="I134" s="17"/>
    </row>
    <row r="135" ht="13.5" customHeight="1">
      <c r="A135" s="1"/>
      <c r="B135" s="17" t="s">
        <v>239</v>
      </c>
      <c r="C135" s="45">
        <v>429</v>
      </c>
      <c r="D135" s="45">
        <v>424</v>
      </c>
      <c r="E135" s="45">
        <v>1712</v>
      </c>
      <c r="F135" s="45">
        <v>455</v>
      </c>
      <c r="G135" s="45">
        <v>510</v>
      </c>
      <c r="H135" s="25"/>
      <c r="I135" s="17"/>
    </row>
    <row r="136" ht="24.75" customHeight="1">
      <c r="A136" s="1"/>
      <c r="B136" s="17" t="s">
        <v>850</v>
      </c>
      <c r="C136" s="25"/>
      <c r="D136" s="25"/>
      <c r="E136" s="25"/>
      <c r="F136" s="45">
        <v>536</v>
      </c>
      <c r="G136" s="45">
        <v>578</v>
      </c>
      <c r="H136" s="25"/>
      <c r="I136" s="17"/>
    </row>
    <row r="137" ht="24.75" customHeight="1">
      <c r="A137" s="1"/>
      <c r="B137" s="17" t="s">
        <v>851</v>
      </c>
      <c r="C137" s="25"/>
      <c r="D137" s="25"/>
      <c r="E137" s="25"/>
      <c r="F137" s="45">
        <v>641</v>
      </c>
      <c r="G137" s="45">
        <v>687</v>
      </c>
      <c r="H137" s="25"/>
      <c r="I137" s="17"/>
    </row>
    <row r="138" ht="13.5" customHeight="1">
      <c r="A138" s="1"/>
      <c r="B138" s="17" t="s">
        <v>852</v>
      </c>
      <c r="C138" s="45">
        <v>1268</v>
      </c>
      <c r="D138" s="45">
        <v>1112</v>
      </c>
      <c r="E138" s="45">
        <v>4667</v>
      </c>
      <c r="F138" s="25">
        <f t="shared" si="5" ref="F138:G138">F136+F137</f>
        <v>1177</v>
      </c>
      <c r="G138" s="25">
        <f t="shared" si="5"/>
        <v>1265</v>
      </c>
      <c r="H138" s="25"/>
      <c r="I138" s="17"/>
    </row>
    <row r="139" ht="13.5" customHeight="1">
      <c r="A139" s="1"/>
      <c r="B139" s="17" t="s">
        <v>853</v>
      </c>
      <c r="C139" s="25"/>
      <c r="D139" s="25"/>
      <c r="E139" s="25"/>
      <c r="F139" s="45">
        <v>8378</v>
      </c>
      <c r="G139" s="45">
        <v>7</v>
      </c>
      <c r="H139" s="25"/>
      <c r="I139" s="17"/>
    </row>
    <row r="140" ht="13.5" customHeight="1">
      <c r="A140" s="1"/>
      <c r="B140" s="17" t="s">
        <v>854</v>
      </c>
      <c r="C140" s="25"/>
      <c r="D140" s="25"/>
      <c r="E140" s="25"/>
      <c r="F140" s="45">
        <v>-1257</v>
      </c>
      <c r="G140" s="45">
        <v>-1308</v>
      </c>
      <c r="H140" s="25"/>
      <c r="I140" s="17"/>
    </row>
    <row r="141" ht="24.75" customHeight="1">
      <c r="A141" s="1"/>
      <c r="B141" s="17" t="s">
        <v>855</v>
      </c>
      <c r="C141" s="25"/>
      <c r="D141" s="25"/>
      <c r="E141" s="25"/>
      <c r="F141" s="45">
        <v>-29</v>
      </c>
      <c r="G141" s="45">
        <v>0</v>
      </c>
      <c r="H141" s="25"/>
      <c r="I141" s="17"/>
    </row>
    <row r="142" ht="13.5" customHeight="1">
      <c r="A142" s="1"/>
      <c r="B142" s="17" t="s">
        <v>856</v>
      </c>
      <c r="C142" s="45">
        <v>330</v>
      </c>
      <c r="D142" s="45">
        <v>345</v>
      </c>
      <c r="E142" s="45">
        <v>1311</v>
      </c>
      <c r="F142" s="45">
        <v>401</v>
      </c>
      <c r="G142" s="45">
        <v>441</v>
      </c>
      <c r="H142" s="25"/>
      <c r="I142" s="17"/>
    </row>
    <row r="143" ht="13.5" customHeight="1">
      <c r="A143" s="1"/>
      <c r="B143" s="17" t="s">
        <v>857</v>
      </c>
      <c r="C143" s="45">
        <v>873</v>
      </c>
      <c r="D143" s="45">
        <v>-2255</v>
      </c>
      <c r="E143" s="45">
        <v>-431</v>
      </c>
      <c r="F143" s="45">
        <v>2087</v>
      </c>
      <c r="G143" s="45">
        <v>-1480</v>
      </c>
      <c r="H143" s="25"/>
      <c r="I143" s="17"/>
    </row>
    <row r="144" ht="13.5" customHeight="1">
      <c r="A144" s="1"/>
      <c r="B144" s="17" t="s">
        <v>858</v>
      </c>
      <c r="C144" s="45">
        <v>55</v>
      </c>
      <c r="D144" s="45">
        <v>-422</v>
      </c>
      <c r="E144" s="45">
        <v>-1127</v>
      </c>
      <c r="F144" s="45">
        <v>-321</v>
      </c>
      <c r="G144" s="45">
        <v>-336</v>
      </c>
      <c r="H144" s="25"/>
      <c r="I144" s="17"/>
    </row>
    <row r="145" ht="24.75" customHeight="1">
      <c r="A145" s="1"/>
      <c r="B145" s="17" t="s">
        <v>859</v>
      </c>
      <c r="C145" s="45">
        <v>-2513</v>
      </c>
      <c r="D145" s="45">
        <v>-541</v>
      </c>
      <c r="E145" s="45">
        <v>-3289</v>
      </c>
      <c r="F145" s="45">
        <v>-7098</v>
      </c>
      <c r="G145" s="45">
        <v>-747</v>
      </c>
      <c r="H145" s="25"/>
      <c r="I145" s="17"/>
    </row>
    <row r="146" ht="24.75" customHeight="1">
      <c r="A146" s="1"/>
      <c r="B146" s="17" t="s">
        <v>860</v>
      </c>
      <c r="C146" s="45">
        <v>-1587</v>
      </c>
      <c r="D146" s="45">
        <v>-1379</v>
      </c>
      <c r="E146" s="45">
        <v>-4937</v>
      </c>
      <c r="F146" s="45">
        <v>-12979</v>
      </c>
      <c r="G146" s="45">
        <v>1698</v>
      </c>
      <c r="H146" s="25"/>
      <c r="I146" s="17"/>
    </row>
    <row r="147" ht="24.75" customHeight="1">
      <c r="A147" s="1"/>
      <c r="B147" s="17" t="s">
        <v>861</v>
      </c>
      <c r="C147" s="45">
        <v>-1259</v>
      </c>
      <c r="D147" s="45">
        <v>-103</v>
      </c>
      <c r="E147" s="45">
        <v>-880</v>
      </c>
      <c r="F147" s="25">
        <f t="shared" si="6" ref="F147:G147">F139+F140+F141</f>
        <v>7092</v>
      </c>
      <c r="G147" s="25">
        <f t="shared" si="6"/>
        <v>-1301</v>
      </c>
      <c r="H147" s="25"/>
      <c r="I147" s="17"/>
    </row>
    <row r="148" ht="13.5" customHeight="1">
      <c r="A148" s="1"/>
      <c r="B148" s="17" t="s">
        <v>862</v>
      </c>
      <c r="C148" s="45">
        <v>-1542</v>
      </c>
      <c r="D148" s="45">
        <v>-1546</v>
      </c>
      <c r="E148" s="45">
        <v>-6147</v>
      </c>
      <c r="F148" s="45">
        <v>-1549</v>
      </c>
      <c r="G148" s="45">
        <v>-1563</v>
      </c>
      <c r="H148" s="25"/>
      <c r="I148" s="17"/>
    </row>
    <row r="149" ht="24.75" customHeight="1">
      <c r="A149" s="1"/>
      <c r="B149" s="17" t="s">
        <v>863</v>
      </c>
      <c r="C149" s="45">
        <v>-2766</v>
      </c>
      <c r="D149" s="45">
        <v>-1675</v>
      </c>
      <c r="E149" s="45">
        <v>-7079</v>
      </c>
      <c r="F149" s="45">
        <v>5443</v>
      </c>
      <c r="G149" s="45">
        <v>-2855</v>
      </c>
      <c r="H149" s="25"/>
      <c r="I149" s="17"/>
    </row>
    <row r="150" ht="24.75" customHeight="1">
      <c r="A150" s="1"/>
      <c r="B150" s="17" t="s">
        <v>864</v>
      </c>
      <c r="C150" s="45">
        <v>207</v>
      </c>
      <c r="D150" s="45">
        <v>-330</v>
      </c>
      <c r="E150" s="45">
        <v>-359</v>
      </c>
      <c r="F150" s="45">
        <v>167</v>
      </c>
      <c r="G150" s="45">
        <v>320</v>
      </c>
      <c r="H150" s="25"/>
      <c r="I150" s="17"/>
    </row>
    <row r="151" ht="13.5" customHeight="1">
      <c r="A151" s="1"/>
      <c r="B151" s="17" t="s">
        <v>865</v>
      </c>
      <c r="C151" s="45">
        <v>9222</v>
      </c>
      <c r="D151" s="45">
        <v>7133</v>
      </c>
      <c r="E151" s="45">
        <v>29754</v>
      </c>
      <c r="F151" s="45">
        <v>6873</v>
      </c>
      <c r="G151" s="45">
        <v>7380</v>
      </c>
      <c r="H151" s="25"/>
      <c r="I151" s="17"/>
    </row>
    <row r="152" ht="13.5" customHeight="1">
      <c r="A152" s="1"/>
      <c r="B152" s="17" t="s">
        <v>866</v>
      </c>
      <c r="C152" s="45">
        <v>-317</v>
      </c>
      <c r="D152" s="45">
        <v>2927</v>
      </c>
      <c r="E152" s="45">
        <v>6015</v>
      </c>
      <c r="F152" s="45">
        <v>1054</v>
      </c>
      <c r="G152" s="45">
        <v>2193</v>
      </c>
      <c r="H152" s="25"/>
      <c r="I152" s="17"/>
    </row>
    <row r="153" ht="24.75" customHeight="1">
      <c r="A153" s="1"/>
      <c r="B153" s="17" t="s">
        <v>867</v>
      </c>
      <c r="C153" s="45">
        <v>6125</v>
      </c>
      <c r="D153" s="45">
        <v>6359</v>
      </c>
      <c r="E153" s="45">
        <v>25068</v>
      </c>
      <c r="F153" s="45">
        <v>6494</v>
      </c>
      <c r="G153" s="45">
        <v>7005</v>
      </c>
      <c r="H153" s="25"/>
      <c r="I153" s="17"/>
    </row>
    <row r="154" ht="24.75" customHeight="1">
      <c r="A154" s="1"/>
      <c r="B154" s="17" t="s">
        <v>868</v>
      </c>
      <c r="C154" s="45">
        <v>-553</v>
      </c>
      <c r="D154" s="45">
        <v>-291</v>
      </c>
      <c r="E154" s="45">
        <v>-1656</v>
      </c>
      <c r="F154" s="45">
        <v>-187</v>
      </c>
      <c r="G154" s="45">
        <v>-65</v>
      </c>
      <c r="H154" s="25"/>
      <c r="I154" s="17"/>
    </row>
    <row r="155" ht="13.5" customHeight="1">
      <c r="A155" s="1"/>
      <c r="B155" s="17" t="s">
        <v>271</v>
      </c>
      <c r="C155" s="45">
        <v>492</v>
      </c>
      <c r="D155" s="45">
        <v>498</v>
      </c>
      <c r="E155" s="45">
        <v>1953</v>
      </c>
      <c r="F155" s="45">
        <v>557</v>
      </c>
      <c r="G155" s="45">
        <v>575</v>
      </c>
      <c r="H155" s="25"/>
      <c r="I155" s="17"/>
    </row>
    <row r="156" ht="13.5" customHeight="1">
      <c r="A156" s="1"/>
      <c r="B156" s="17" t="s">
        <v>869</v>
      </c>
      <c r="C156" s="45">
        <v>119</v>
      </c>
      <c r="D156" s="45">
        <v>123</v>
      </c>
      <c r="E156" s="45">
        <v>497</v>
      </c>
      <c r="F156" s="45">
        <v>128</v>
      </c>
      <c r="G156" s="45">
        <v>132</v>
      </c>
      <c r="H156" s="25"/>
      <c r="I156" s="17"/>
    </row>
    <row r="157" ht="24.75" customHeight="1">
      <c r="A157" s="1"/>
      <c r="B157" s="17" t="s">
        <v>870</v>
      </c>
      <c r="C157" s="45">
        <v>3800</v>
      </c>
      <c r="D157" s="45">
        <v>5600</v>
      </c>
      <c r="E157" s="45">
        <v>16400</v>
      </c>
      <c r="F157" s="45">
        <v>3400</v>
      </c>
      <c r="G157" s="45">
        <v>4700</v>
      </c>
      <c r="H157" s="25"/>
      <c r="I157" s="17"/>
    </row>
    <row r="158" ht="24.75" customHeight="1">
      <c r="A158" s="1"/>
      <c r="B158" s="17" t="s">
        <v>871</v>
      </c>
      <c r="C158" s="45">
        <v>-1264</v>
      </c>
      <c r="D158" s="45">
        <v>946</v>
      </c>
      <c r="E158" s="45">
        <v>1071</v>
      </c>
      <c r="F158" s="45">
        <v>-2999</v>
      </c>
      <c r="G158" s="45">
        <v>865</v>
      </c>
      <c r="H158" s="25"/>
      <c r="I158" s="17"/>
    </row>
    <row r="159" ht="13.5" customHeight="1">
      <c r="A159" s="1"/>
      <c r="B159" s="17" t="s">
        <v>872</v>
      </c>
      <c r="C159" s="91">
        <v>92</v>
      </c>
      <c r="D159" s="91">
        <v>92</v>
      </c>
      <c r="E159" s="91">
        <v>366</v>
      </c>
      <c r="F159" s="91">
        <v>90</v>
      </c>
      <c r="G159" s="91">
        <v>91</v>
      </c>
      <c r="H159" s="37"/>
      <c r="I159" s="17"/>
    </row>
    <row r="160" ht="24.75" customHeight="1">
      <c r="A160" s="1"/>
      <c r="B160" s="17" t="s">
        <v>873</v>
      </c>
      <c r="C160" s="25">
        <f t="shared" si="7" ref="C160:E160">C188</f>
        <v>11281</v>
      </c>
      <c r="D160" s="25">
        <f t="shared" si="7"/>
        <v>10696</v>
      </c>
      <c r="E160" s="25">
        <f t="shared" si="7"/>
        <v>12560</v>
      </c>
      <c r="F160" s="25">
        <f>E196+E197+E205</f>
        <v>12512</v>
      </c>
      <c r="G160" s="25">
        <f>F188</f>
        <v>10636</v>
      </c>
      <c r="H160" s="25"/>
      <c r="I160" s="17"/>
    </row>
    <row r="161" ht="24.75" customHeight="1">
      <c r="A161" s="1"/>
      <c r="B161" s="17" t="s">
        <v>874</v>
      </c>
      <c r="C161" s="25">
        <f>D188</f>
        <v>10696</v>
      </c>
      <c r="D161" s="25">
        <f>E196+E197+E205</f>
        <v>12512</v>
      </c>
      <c r="E161" s="25">
        <f>E196+E197+E205</f>
        <v>12512</v>
      </c>
      <c r="F161" s="25">
        <f>F188</f>
        <v>10636</v>
      </c>
      <c r="G161" s="25">
        <f>C196+C197+C205</f>
        <v>12503</v>
      </c>
      <c r="H161" s="25"/>
      <c r="I161" s="17"/>
    </row>
    <row r="162" ht="24.75" customHeight="1">
      <c r="A162" s="1"/>
      <c r="B162" s="17" t="s">
        <v>875</v>
      </c>
      <c r="C162" s="25"/>
      <c r="D162" s="25"/>
      <c r="E162" s="25"/>
      <c r="F162" s="25"/>
      <c r="G162" s="45">
        <v>66000</v>
      </c>
      <c r="H162" s="25"/>
      <c r="I162" s="17"/>
    </row>
    <row r="163" ht="24.75" customHeight="1">
      <c r="A163" s="1"/>
      <c r="B163" s="32" t="s">
        <v>876</v>
      </c>
      <c r="C163" s="39"/>
      <c r="D163" s="39"/>
      <c r="E163" s="39"/>
      <c r="F163" s="39"/>
      <c r="G163" s="53">
        <v>0.69</v>
      </c>
      <c r="H163" s="39"/>
      <c r="I163" s="17"/>
    </row>
    <row r="164" ht="24.75" customHeight="1">
      <c r="A164" s="1"/>
      <c r="B164" s="17" t="s">
        <v>877</v>
      </c>
      <c r="C164" s="45">
        <v>-485</v>
      </c>
      <c r="D164" s="45">
        <v>379</v>
      </c>
      <c r="E164" s="45">
        <v>-218</v>
      </c>
      <c r="F164" s="45">
        <v>103</v>
      </c>
      <c r="G164" s="45">
        <v>404</v>
      </c>
      <c r="H164" s="25"/>
      <c r="I164" s="17"/>
    </row>
    <row r="165" ht="24.75" customHeight="1">
      <c r="A165" s="1"/>
      <c r="B165" s="17" t="s">
        <v>296</v>
      </c>
      <c r="C165" s="45">
        <v>332</v>
      </c>
      <c r="D165" s="45">
        <v>581</v>
      </c>
      <c r="E165" s="45">
        <v>1523</v>
      </c>
      <c r="F165" s="45">
        <v>221</v>
      </c>
      <c r="G165" s="45">
        <v>545</v>
      </c>
      <c r="H165" s="25"/>
      <c r="I165" s="17"/>
    </row>
    <row r="166" ht="13.5" customHeight="1">
      <c r="A166" s="1"/>
      <c r="B166" s="17" t="s">
        <v>878</v>
      </c>
      <c r="C166" s="45">
        <v>-802</v>
      </c>
      <c r="D166" s="45">
        <v>3306</v>
      </c>
      <c r="E166" s="45">
        <v>5797</v>
      </c>
      <c r="F166" s="45">
        <v>1158</v>
      </c>
      <c r="G166" s="45">
        <v>2597</v>
      </c>
      <c r="H166" s="25"/>
      <c r="I166" s="17"/>
    </row>
    <row r="167" ht="13.5" customHeight="1">
      <c r="A167" s="1"/>
      <c r="B167" s="17" t="s">
        <v>250</v>
      </c>
      <c r="C167" s="45">
        <v>-330</v>
      </c>
      <c r="D167" s="45">
        <v>2915</v>
      </c>
      <c r="E167" s="45">
        <v>6023</v>
      </c>
      <c r="F167" s="45">
        <v>1055</v>
      </c>
      <c r="G167" s="45">
        <v>2194</v>
      </c>
      <c r="H167" s="25"/>
      <c r="I167" s="17"/>
    </row>
    <row r="168" ht="13.5" customHeight="1">
      <c r="A168" s="1"/>
      <c r="B168" s="17" t="s">
        <v>879</v>
      </c>
      <c r="C168" s="45">
        <v>8612</v>
      </c>
      <c r="D168" s="45">
        <v>10630</v>
      </c>
      <c r="E168" s="45">
        <v>36275</v>
      </c>
      <c r="F168" s="45">
        <v>8232</v>
      </c>
      <c r="G168" s="45">
        <v>10202</v>
      </c>
      <c r="H168" s="25"/>
      <c r="I168" s="17"/>
    </row>
    <row r="169" ht="13.5" customHeight="1">
      <c r="A169" s="1"/>
      <c r="B169" s="17" t="s">
        <v>274</v>
      </c>
      <c r="C169" s="45">
        <v>2487</v>
      </c>
      <c r="D169" s="45">
        <v>4271</v>
      </c>
      <c r="E169" s="45">
        <v>11207</v>
      </c>
      <c r="F169" s="45">
        <v>1738</v>
      </c>
      <c r="G169" s="45">
        <v>3197</v>
      </c>
      <c r="H169" s="25"/>
      <c r="I169" s="17"/>
    </row>
    <row r="170" ht="24.75" customHeight="1">
      <c r="A170" s="1"/>
      <c r="B170" s="17" t="s">
        <v>880</v>
      </c>
      <c r="C170" s="45">
        <v>2155</v>
      </c>
      <c r="D170" s="45">
        <v>3690</v>
      </c>
      <c r="E170" s="45">
        <v>9684</v>
      </c>
      <c r="F170" s="45">
        <v>1517</v>
      </c>
      <c r="G170" s="45">
        <v>2652</v>
      </c>
      <c r="H170" s="25"/>
      <c r="I170" s="17"/>
    </row>
    <row r="171" ht="13.5" customHeight="1">
      <c r="A171" s="1"/>
      <c r="B171" s="17" t="s">
        <v>881</v>
      </c>
      <c r="C171" s="85">
        <v>2.3</v>
      </c>
      <c r="D171" s="85">
        <v>3.92</v>
      </c>
      <c r="E171" s="85">
        <v>10.33</v>
      </c>
      <c r="F171" s="29">
        <f>E85</f>
        <v>1.6</v>
      </c>
      <c r="G171" s="29">
        <f>E86</f>
        <v>2.8</v>
      </c>
      <c r="H171" s="29"/>
      <c r="I171" s="17"/>
    </row>
    <row r="172" ht="13.5" customHeight="1">
      <c r="A172" s="1"/>
      <c r="B172" s="17" t="s">
        <v>882</v>
      </c>
      <c r="C172" s="85">
        <v>-0.36</v>
      </c>
      <c r="D172" s="85">
        <v>3.09</v>
      </c>
      <c r="E172" s="85">
        <v>6.43</v>
      </c>
      <c r="F172" s="29">
        <f>G85</f>
        <v>1.12</v>
      </c>
      <c r="G172" s="29">
        <f>G86</f>
        <v>2.31</v>
      </c>
      <c r="H172" s="29"/>
      <c r="I172" s="17"/>
    </row>
    <row r="173" ht="13.5" customHeight="1">
      <c r="A173" s="1"/>
      <c r="B173" s="17" t="s">
        <v>883</v>
      </c>
      <c r="C173" s="45">
        <v>923.6</v>
      </c>
      <c r="D173" s="45">
        <v>942.4</v>
      </c>
      <c r="E173" s="45">
        <v>937.2</v>
      </c>
      <c r="F173" s="45">
        <v>945.4</v>
      </c>
      <c r="G173" s="45">
        <v>948</v>
      </c>
      <c r="H173" s="25"/>
      <c r="I173" s="17"/>
    </row>
    <row r="174" ht="13.5" customHeight="1">
      <c r="A174" s="1"/>
      <c r="B174" s="17" t="s">
        <v>884</v>
      </c>
      <c r="C174" s="45">
        <v>923.6</v>
      </c>
      <c r="D174" s="45">
        <v>926</v>
      </c>
      <c r="E174" s="45">
        <v>921.8</v>
      </c>
      <c r="F174" s="45">
        <v>928</v>
      </c>
      <c r="G174" s="45">
        <v>930.8</v>
      </c>
      <c r="H174" s="25"/>
      <c r="I174" s="17"/>
    </row>
    <row r="175" ht="13.5" customHeight="1">
      <c r="A175" s="1"/>
      <c r="B175" s="17" t="s">
        <v>885</v>
      </c>
      <c r="C175" s="45">
        <v>2881</v>
      </c>
      <c r="D175" s="45">
        <v>4330</v>
      </c>
      <c r="E175" s="45">
        <v>13445</v>
      </c>
      <c r="F175" s="45">
        <v>4370</v>
      </c>
      <c r="G175" s="45">
        <v>1701</v>
      </c>
      <c r="H175" s="25"/>
      <c r="I175" s="17"/>
    </row>
    <row r="176" ht="13.5" customHeight="1">
      <c r="A176" s="1"/>
      <c r="B176" s="17" t="s">
        <v>886</v>
      </c>
      <c r="C176" s="45">
        <v>2064</v>
      </c>
      <c r="D176" s="45">
        <v>6163</v>
      </c>
      <c r="E176" s="45">
        <v>12749</v>
      </c>
      <c r="F176" s="45">
        <v>1962</v>
      </c>
      <c r="G176" s="45">
        <v>2845</v>
      </c>
      <c r="H176" s="25"/>
      <c r="I176" s="17"/>
    </row>
    <row r="177" ht="24.75" customHeight="1">
      <c r="A177" s="1"/>
      <c r="B177" s="17" t="s">
        <v>887</v>
      </c>
      <c r="C177" s="25">
        <f t="shared" si="8" ref="C177:E177">C192+C193</f>
        <v>12026</v>
      </c>
      <c r="D177" s="25"/>
      <c r="E177" s="25">
        <f t="shared" si="8"/>
        <v>14161</v>
      </c>
      <c r="F177" s="25"/>
      <c r="G177" s="25"/>
      <c r="H177" s="25"/>
      <c r="I177" s="17"/>
    </row>
    <row r="178" ht="24.75" customHeight="1">
      <c r="A178" s="1"/>
      <c r="B178" s="17" t="s">
        <v>888</v>
      </c>
      <c r="C178" s="25">
        <f t="shared" si="9" ref="C178:E178">C196+C197+C205</f>
        <v>12503</v>
      </c>
      <c r="D178" s="25"/>
      <c r="E178" s="25">
        <f t="shared" si="9"/>
        <v>12512</v>
      </c>
      <c r="F178" s="25"/>
      <c r="G178" s="25"/>
      <c r="H178" s="25"/>
      <c r="I178" s="17"/>
    </row>
    <row r="179" ht="24.75" customHeight="1">
      <c r="A179" s="1"/>
      <c r="B179" s="17" t="s">
        <v>889</v>
      </c>
      <c r="C179" s="25">
        <f t="shared" si="10" ref="C179:G179">IF(ISNUMBER(C138),C175-C167-C138-C142-C143,"n.a.")</f>
        <v>740</v>
      </c>
      <c r="D179" s="25">
        <f t="shared" si="10"/>
        <v>2213</v>
      </c>
      <c r="E179" s="25">
        <f t="shared" si="10"/>
        <v>1875</v>
      </c>
      <c r="F179" s="25">
        <f t="shared" si="10"/>
        <v>-350</v>
      </c>
      <c r="G179" s="25">
        <f t="shared" si="10"/>
        <v>-719</v>
      </c>
      <c r="H179" s="25"/>
      <c r="I179" s="17"/>
    </row>
    <row r="180" ht="24.75" customHeight="1">
      <c r="A180" s="1"/>
      <c r="B180" s="17" t="s">
        <v>890</v>
      </c>
      <c r="C180" s="25">
        <f t="shared" si="11" ref="C180:G180">IF(ISNUMBER(C147),C149-C147-C148,"n.a.")</f>
        <v>35</v>
      </c>
      <c r="D180" s="25">
        <f t="shared" si="11"/>
        <v>-26</v>
      </c>
      <c r="E180" s="25">
        <f t="shared" si="11"/>
        <v>-52</v>
      </c>
      <c r="F180" s="25">
        <f t="shared" si="11"/>
        <v>-100</v>
      </c>
      <c r="G180" s="25">
        <f t="shared" si="11"/>
        <v>9</v>
      </c>
      <c r="H180" s="25"/>
      <c r="I180" s="17"/>
    </row>
    <row r="181" ht="24.75" customHeight="1">
      <c r="A181" s="1"/>
      <c r="B181" s="32" t="s">
        <v>891</v>
      </c>
      <c r="C181" s="39">
        <f t="shared" si="12" ref="C181:G181">C108*365/C159/AVERAGE(C160,C161)</f>
        <v>0.06534994094616704</v>
      </c>
      <c r="D181" s="39">
        <f t="shared" si="12"/>
        <v>0.058122761266729606</v>
      </c>
      <c r="E181" s="39">
        <f t="shared" si="12"/>
        <v>0.056720797109788286</v>
      </c>
      <c r="F181" s="39">
        <f t="shared" si="12"/>
        <v>0.06692682833170133</v>
      </c>
      <c r="G181" s="39">
        <f t="shared" si="12"/>
        <v>0.057549952532449614</v>
      </c>
      <c r="H181" s="39"/>
      <c r="I181" s="17"/>
    </row>
    <row r="182" ht="13.5" customHeight="1">
      <c r="A182" s="1"/>
      <c r="B182" s="17"/>
      <c r="C182" s="20"/>
      <c r="D182" s="20"/>
      <c r="E182" s="20"/>
      <c r="F182" s="20"/>
      <c r="G182" s="20"/>
      <c r="H182" s="20"/>
      <c r="I182" s="17"/>
    </row>
    <row r="183" ht="24.75" customHeight="1">
      <c r="A183" s="1"/>
      <c r="B183" s="14" t="s">
        <v>892</v>
      </c>
      <c r="C183" s="22"/>
      <c r="D183" s="22"/>
      <c r="E183" s="22"/>
      <c r="F183" s="22"/>
      <c r="G183" s="22"/>
      <c r="H183" s="22"/>
      <c r="I183" s="17"/>
    </row>
    <row r="184" ht="13.5" customHeight="1">
      <c r="A184" s="1"/>
      <c r="B184" s="14" t="s">
        <v>893</v>
      </c>
      <c r="C184" s="99">
        <v>45473</v>
      </c>
      <c r="D184" s="99">
        <v>45565</v>
      </c>
      <c r="E184" s="99">
        <v>45291</v>
      </c>
      <c r="F184" s="99">
        <v>45747</v>
      </c>
      <c r="G184" s="16"/>
      <c r="H184" s="16"/>
      <c r="I184" s="17"/>
    </row>
    <row r="185" ht="24.75" customHeight="1">
      <c r="A185" s="1"/>
      <c r="B185" s="17" t="s">
        <v>894</v>
      </c>
      <c r="C185" s="45">
        <v>5075</v>
      </c>
      <c r="D185" s="45">
        <v>5256</v>
      </c>
      <c r="E185" s="45">
        <v>6102</v>
      </c>
      <c r="F185" s="45">
        <v>5128</v>
      </c>
      <c r="G185" s="25"/>
      <c r="H185" s="25"/>
      <c r="I185" s="17"/>
    </row>
    <row r="186" ht="13.5" customHeight="1">
      <c r="A186" s="1"/>
      <c r="B186" s="17" t="s">
        <v>895</v>
      </c>
      <c r="C186" s="45">
        <v>723</v>
      </c>
      <c r="D186" s="45">
        <v>509</v>
      </c>
      <c r="E186" s="45">
        <v>692</v>
      </c>
      <c r="F186" s="45">
        <v>588</v>
      </c>
      <c r="G186" s="25"/>
      <c r="H186" s="25"/>
      <c r="I186" s="17"/>
    </row>
    <row r="187" ht="13.5" customHeight="1">
      <c r="A187" s="1"/>
      <c r="B187" s="17" t="s">
        <v>896</v>
      </c>
      <c r="C187" s="45">
        <v>5483</v>
      </c>
      <c r="D187" s="45">
        <v>4931</v>
      </c>
      <c r="E187" s="45">
        <v>5766</v>
      </c>
      <c r="F187" s="45">
        <v>4920</v>
      </c>
      <c r="G187" s="25"/>
      <c r="H187" s="25"/>
      <c r="I187" s="17"/>
    </row>
    <row r="188" ht="13.5" customHeight="1">
      <c r="A188" s="1"/>
      <c r="B188" s="14" t="s">
        <v>897</v>
      </c>
      <c r="C188" s="49">
        <f t="shared" si="13" ref="C188:F188">C185+C186+C187</f>
        <v>11281</v>
      </c>
      <c r="D188" s="49">
        <f t="shared" si="13"/>
        <v>10696</v>
      </c>
      <c r="E188" s="49">
        <f t="shared" si="13"/>
        <v>12560</v>
      </c>
      <c r="F188" s="49">
        <f t="shared" si="13"/>
        <v>10636</v>
      </c>
      <c r="G188" s="49"/>
      <c r="H188" s="49"/>
      <c r="I188" s="17"/>
    </row>
    <row r="189" ht="13.5" customHeight="1">
      <c r="A189" s="1"/>
      <c r="B189" s="17"/>
      <c r="C189" s="20"/>
      <c r="D189" s="20"/>
      <c r="E189" s="20"/>
      <c r="F189" s="20"/>
      <c r="G189" s="20"/>
      <c r="H189" s="20"/>
      <c r="I189" s="17"/>
    </row>
    <row r="190" ht="36" customHeight="1">
      <c r="A190" s="1"/>
      <c r="B190" s="14" t="s">
        <v>898</v>
      </c>
      <c r="C190" s="22"/>
      <c r="D190" s="22"/>
      <c r="E190" s="22"/>
      <c r="F190" s="22"/>
      <c r="G190" s="22"/>
      <c r="H190" s="22"/>
      <c r="I190" s="17"/>
    </row>
    <row r="191" ht="13.5" customHeight="1">
      <c r="A191" s="1"/>
      <c r="B191" s="14" t="s">
        <v>899</v>
      </c>
      <c r="C191" s="99">
        <v>45838</v>
      </c>
      <c r="D191" s="16"/>
      <c r="E191" s="99">
        <v>45657</v>
      </c>
      <c r="F191" s="16"/>
      <c r="G191" s="16"/>
      <c r="H191" s="16"/>
      <c r="I191" s="17"/>
    </row>
    <row r="192" ht="13.5" customHeight="1">
      <c r="A192" s="1"/>
      <c r="B192" s="17" t="s">
        <v>315</v>
      </c>
      <c r="C192" s="45">
        <v>11943</v>
      </c>
      <c r="D192" s="25"/>
      <c r="E192" s="45">
        <v>13947</v>
      </c>
      <c r="F192" s="25"/>
      <c r="G192" s="25"/>
      <c r="H192" s="25"/>
      <c r="I192" s="17"/>
    </row>
    <row r="193" ht="13.5" customHeight="1">
      <c r="A193" s="1"/>
      <c r="B193" s="17" t="s">
        <v>317</v>
      </c>
      <c r="C193" s="45">
        <v>83</v>
      </c>
      <c r="D193" s="25"/>
      <c r="E193" s="45">
        <v>214</v>
      </c>
      <c r="F193" s="25"/>
      <c r="G193" s="25"/>
      <c r="H193" s="25"/>
      <c r="I193" s="17"/>
    </row>
    <row r="194" ht="13.5" customHeight="1">
      <c r="A194" s="1"/>
      <c r="B194" s="17" t="s">
        <v>318</v>
      </c>
      <c r="C194" s="45">
        <v>3504</v>
      </c>
      <c r="D194" s="25"/>
      <c r="E194" s="45">
        <v>644</v>
      </c>
      <c r="F194" s="25"/>
      <c r="G194" s="25"/>
      <c r="H194" s="25"/>
      <c r="I194" s="17"/>
    </row>
    <row r="195" ht="24.75" customHeight="1">
      <c r="A195" s="1"/>
      <c r="B195" s="17" t="s">
        <v>319</v>
      </c>
      <c r="C195" s="45">
        <v>5974</v>
      </c>
      <c r="D195" s="25"/>
      <c r="E195" s="45">
        <v>6804</v>
      </c>
      <c r="F195" s="25"/>
      <c r="G195" s="25"/>
      <c r="H195" s="25"/>
      <c r="I195" s="17"/>
    </row>
    <row r="196" ht="24.75" customHeight="1">
      <c r="A196" s="1"/>
      <c r="B196" s="17" t="s">
        <v>321</v>
      </c>
      <c r="C196" s="45">
        <v>5586</v>
      </c>
      <c r="D196" s="25"/>
      <c r="E196" s="45">
        <v>6259</v>
      </c>
      <c r="F196" s="25"/>
      <c r="G196" s="25"/>
      <c r="H196" s="25"/>
      <c r="I196" s="17"/>
    </row>
    <row r="197" ht="24.75" customHeight="1">
      <c r="A197" s="1"/>
      <c r="B197" s="17" t="s">
        <v>322</v>
      </c>
      <c r="C197" s="45">
        <v>746</v>
      </c>
      <c r="D197" s="25"/>
      <c r="E197" s="45">
        <v>900</v>
      </c>
      <c r="F197" s="25"/>
      <c r="G197" s="25"/>
      <c r="H197" s="25"/>
      <c r="I197" s="17"/>
    </row>
    <row r="198" ht="13.5" customHeight="1">
      <c r="A198" s="1"/>
      <c r="B198" s="17" t="s">
        <v>323</v>
      </c>
      <c r="C198" s="45">
        <v>1187</v>
      </c>
      <c r="D198" s="25"/>
      <c r="E198" s="45">
        <v>947</v>
      </c>
      <c r="F198" s="25"/>
      <c r="G198" s="25"/>
      <c r="H198" s="25"/>
      <c r="I198" s="17"/>
    </row>
    <row r="199" ht="13.5" customHeight="1">
      <c r="A199" s="1"/>
      <c r="B199" s="17" t="s">
        <v>324</v>
      </c>
      <c r="C199" s="45">
        <v>1251</v>
      </c>
      <c r="D199" s="25"/>
      <c r="E199" s="45">
        <v>1289</v>
      </c>
      <c r="F199" s="25"/>
      <c r="G199" s="25"/>
      <c r="H199" s="25"/>
      <c r="I199" s="17"/>
    </row>
    <row r="200" ht="13.5" customHeight="1">
      <c r="A200" s="1"/>
      <c r="B200" s="17" t="s">
        <v>325</v>
      </c>
      <c r="C200" s="45">
        <v>1182</v>
      </c>
      <c r="D200" s="25"/>
      <c r="E200" s="45">
        <v>959</v>
      </c>
      <c r="F200" s="25"/>
      <c r="G200" s="25"/>
      <c r="H200" s="25"/>
      <c r="I200" s="17"/>
    </row>
    <row r="201" ht="24.75" customHeight="1">
      <c r="A201" s="1"/>
      <c r="B201" s="17" t="s">
        <v>326</v>
      </c>
      <c r="C201" s="45">
        <v>2796</v>
      </c>
      <c r="D201" s="25"/>
      <c r="E201" s="45">
        <v>2520</v>
      </c>
      <c r="F201" s="25"/>
      <c r="G201" s="25"/>
      <c r="H201" s="25"/>
      <c r="I201" s="17"/>
    </row>
    <row r="202" ht="13.5" customHeight="1">
      <c r="A202" s="1"/>
      <c r="B202" s="17" t="s">
        <v>327</v>
      </c>
      <c r="C202" s="45">
        <v>34253</v>
      </c>
      <c r="D202" s="25"/>
      <c r="E202" s="45">
        <v>34482</v>
      </c>
      <c r="F202" s="25"/>
      <c r="G202" s="25"/>
      <c r="H202" s="25"/>
      <c r="I202" s="17"/>
    </row>
    <row r="203" ht="13.5" customHeight="1">
      <c r="A203" s="1"/>
      <c r="B203" s="17" t="s">
        <v>328</v>
      </c>
      <c r="C203" s="45">
        <v>5943</v>
      </c>
      <c r="D203" s="25"/>
      <c r="E203" s="45">
        <v>5731</v>
      </c>
      <c r="F203" s="25"/>
      <c r="G203" s="25"/>
      <c r="H203" s="25"/>
      <c r="I203" s="17"/>
    </row>
    <row r="204" ht="13.5" customHeight="1">
      <c r="A204" s="1"/>
      <c r="B204" s="17" t="s">
        <v>330</v>
      </c>
      <c r="C204" s="45">
        <v>3315</v>
      </c>
      <c r="D204" s="25"/>
      <c r="E204" s="45">
        <v>3197</v>
      </c>
      <c r="F204" s="25"/>
      <c r="G204" s="25"/>
      <c r="H204" s="25"/>
      <c r="I204" s="17"/>
    </row>
    <row r="205" ht="13.5" customHeight="1">
      <c r="A205" s="1"/>
      <c r="B205" s="17" t="s">
        <v>332</v>
      </c>
      <c r="C205" s="45">
        <v>6171</v>
      </c>
      <c r="D205" s="25"/>
      <c r="E205" s="45">
        <v>5353</v>
      </c>
      <c r="F205" s="25"/>
      <c r="G205" s="25"/>
      <c r="H205" s="25"/>
      <c r="I205" s="17"/>
    </row>
    <row r="206" ht="13.5" customHeight="1">
      <c r="A206" s="1"/>
      <c r="B206" s="17" t="s">
        <v>333</v>
      </c>
      <c r="C206" s="45">
        <v>7983</v>
      </c>
      <c r="D206" s="25"/>
      <c r="E206" s="45">
        <v>7492</v>
      </c>
      <c r="F206" s="25"/>
      <c r="G206" s="25"/>
      <c r="H206" s="25"/>
      <c r="I206" s="17"/>
    </row>
    <row r="207" ht="13.5" customHeight="1">
      <c r="A207" s="1"/>
      <c r="B207" s="17" t="s">
        <v>334</v>
      </c>
      <c r="C207" s="45">
        <v>795</v>
      </c>
      <c r="D207" s="25"/>
      <c r="E207" s="45">
        <v>788</v>
      </c>
      <c r="F207" s="25"/>
      <c r="G207" s="25"/>
      <c r="H207" s="25"/>
      <c r="I207" s="17"/>
    </row>
    <row r="208" ht="13.5" customHeight="1">
      <c r="A208" s="1"/>
      <c r="B208" s="17" t="s">
        <v>335</v>
      </c>
      <c r="C208" s="45">
        <v>8475</v>
      </c>
      <c r="D208" s="25"/>
      <c r="E208" s="45">
        <v>6978</v>
      </c>
      <c r="F208" s="25"/>
      <c r="G208" s="25"/>
      <c r="H208" s="25"/>
      <c r="I208" s="17"/>
    </row>
    <row r="209" ht="13.5" customHeight="1">
      <c r="A209" s="1"/>
      <c r="B209" s="17" t="s">
        <v>336</v>
      </c>
      <c r="C209" s="45">
        <v>67506</v>
      </c>
      <c r="D209" s="25"/>
      <c r="E209" s="45">
        <v>60706</v>
      </c>
      <c r="F209" s="25"/>
      <c r="G209" s="25"/>
      <c r="H209" s="25"/>
      <c r="I209" s="17"/>
    </row>
    <row r="210" ht="13.5" customHeight="1">
      <c r="A210" s="1"/>
      <c r="B210" s="17" t="s">
        <v>338</v>
      </c>
      <c r="C210" s="45">
        <v>12253</v>
      </c>
      <c r="D210" s="25"/>
      <c r="E210" s="45">
        <v>10660</v>
      </c>
      <c r="F210" s="25"/>
      <c r="G210" s="25"/>
      <c r="H210" s="25"/>
      <c r="I210" s="17"/>
    </row>
    <row r="211" ht="13.5" customHeight="1">
      <c r="A211" s="1"/>
      <c r="B211" s="17" t="s">
        <v>340</v>
      </c>
      <c r="C211" s="45">
        <v>1891</v>
      </c>
      <c r="D211" s="25"/>
      <c r="E211" s="45">
        <v>1787</v>
      </c>
      <c r="F211" s="25"/>
      <c r="G211" s="25"/>
      <c r="H211" s="25"/>
      <c r="I211" s="17"/>
    </row>
    <row r="212" ht="13.5" customHeight="1">
      <c r="A212" s="1"/>
      <c r="B212" s="17" t="s">
        <v>341</v>
      </c>
      <c r="C212" s="45">
        <v>148585</v>
      </c>
      <c r="D212" s="25"/>
      <c r="E212" s="45">
        <v>137175</v>
      </c>
      <c r="F212" s="25"/>
      <c r="G212" s="25"/>
      <c r="H212" s="25"/>
      <c r="I212" s="17"/>
    </row>
    <row r="213" ht="13.5" customHeight="1">
      <c r="A213" s="1"/>
      <c r="B213" s="17" t="s">
        <v>343</v>
      </c>
      <c r="C213" s="45">
        <v>1681</v>
      </c>
      <c r="D213" s="25"/>
      <c r="E213" s="45">
        <v>2033</v>
      </c>
      <c r="F213" s="25"/>
      <c r="G213" s="25"/>
      <c r="H213" s="25"/>
      <c r="I213" s="17"/>
    </row>
    <row r="214" ht="13.5" customHeight="1">
      <c r="A214" s="1"/>
      <c r="B214" s="17" t="s">
        <v>344</v>
      </c>
      <c r="C214" s="45">
        <v>8945</v>
      </c>
      <c r="D214" s="25"/>
      <c r="E214" s="45">
        <v>5089</v>
      </c>
      <c r="F214" s="25"/>
      <c r="G214" s="25"/>
      <c r="H214" s="25"/>
      <c r="I214" s="17"/>
    </row>
    <row r="215" ht="13.5" customHeight="1">
      <c r="A215" s="1"/>
      <c r="B215" s="17" t="s">
        <v>345</v>
      </c>
      <c r="C215" s="45">
        <v>3974</v>
      </c>
      <c r="D215" s="25"/>
      <c r="E215" s="45">
        <v>4032</v>
      </c>
      <c r="F215" s="25"/>
      <c r="G215" s="25"/>
      <c r="H215" s="25"/>
      <c r="I215" s="17"/>
    </row>
    <row r="216" ht="13.5" customHeight="1">
      <c r="A216" s="1"/>
      <c r="B216" s="17" t="s">
        <v>346</v>
      </c>
      <c r="C216" s="45">
        <v>3353</v>
      </c>
      <c r="D216" s="25"/>
      <c r="E216" s="45">
        <v>3605</v>
      </c>
      <c r="F216" s="25"/>
      <c r="G216" s="25"/>
      <c r="H216" s="25"/>
      <c r="I216" s="17"/>
    </row>
    <row r="217" ht="13.5" customHeight="1">
      <c r="A217" s="1"/>
      <c r="B217" s="17" t="s">
        <v>347</v>
      </c>
      <c r="C217" s="45">
        <v>15022</v>
      </c>
      <c r="D217" s="25"/>
      <c r="E217" s="45">
        <v>13907</v>
      </c>
      <c r="F217" s="25"/>
      <c r="G217" s="25"/>
      <c r="H217" s="25"/>
      <c r="I217" s="17"/>
    </row>
    <row r="218" ht="13.5" customHeight="1">
      <c r="A218" s="1"/>
      <c r="B218" s="17" t="s">
        <v>348</v>
      </c>
      <c r="C218" s="45">
        <v>820</v>
      </c>
      <c r="D218" s="25"/>
      <c r="E218" s="45">
        <v>768</v>
      </c>
      <c r="F218" s="25"/>
      <c r="G218" s="25"/>
      <c r="H218" s="25"/>
      <c r="I218" s="17"/>
    </row>
    <row r="219" ht="13.5" customHeight="1">
      <c r="A219" s="1"/>
      <c r="B219" s="17" t="s">
        <v>349</v>
      </c>
      <c r="C219" s="45">
        <v>3932</v>
      </c>
      <c r="D219" s="25"/>
      <c r="E219" s="45">
        <v>3709</v>
      </c>
      <c r="F219" s="25"/>
      <c r="G219" s="25"/>
      <c r="H219" s="25"/>
      <c r="I219" s="17"/>
    </row>
    <row r="220" ht="13.5" customHeight="1">
      <c r="A220" s="1"/>
      <c r="B220" s="17" t="s">
        <v>350</v>
      </c>
      <c r="C220" s="45">
        <v>37726</v>
      </c>
      <c r="D220" s="25"/>
      <c r="E220" s="45">
        <v>33142</v>
      </c>
      <c r="F220" s="25"/>
      <c r="G220" s="25"/>
      <c r="H220" s="25"/>
      <c r="I220" s="17"/>
    </row>
    <row r="221" ht="13.5" customHeight="1">
      <c r="A221" s="1"/>
      <c r="B221" s="17" t="s">
        <v>351</v>
      </c>
      <c r="C221" s="45">
        <v>55219</v>
      </c>
      <c r="D221" s="25"/>
      <c r="E221" s="45">
        <v>49884</v>
      </c>
      <c r="F221" s="25"/>
      <c r="G221" s="25"/>
      <c r="H221" s="25"/>
      <c r="I221" s="17"/>
    </row>
    <row r="222" ht="13.5" customHeight="1">
      <c r="A222" s="1"/>
      <c r="B222" s="17" t="s">
        <v>352</v>
      </c>
      <c r="C222" s="45">
        <v>9882</v>
      </c>
      <c r="D222" s="25"/>
      <c r="E222" s="45">
        <v>9432</v>
      </c>
      <c r="F222" s="25"/>
      <c r="G222" s="25"/>
      <c r="H222" s="25"/>
      <c r="I222" s="17"/>
    </row>
    <row r="223" ht="13.5" customHeight="1">
      <c r="A223" s="1"/>
      <c r="B223" s="17" t="s">
        <v>353</v>
      </c>
      <c r="C223" s="45">
        <v>3913</v>
      </c>
      <c r="D223" s="25"/>
      <c r="E223" s="45">
        <v>3622</v>
      </c>
      <c r="F223" s="25"/>
      <c r="G223" s="25"/>
      <c r="H223" s="25"/>
      <c r="I223" s="17"/>
    </row>
    <row r="224" ht="24.75" customHeight="1">
      <c r="A224" s="1"/>
      <c r="B224" s="17" t="s">
        <v>354</v>
      </c>
      <c r="C224" s="45">
        <v>2735</v>
      </c>
      <c r="D224" s="25"/>
      <c r="E224" s="45">
        <v>2655</v>
      </c>
      <c r="F224" s="25"/>
      <c r="G224" s="25"/>
      <c r="H224" s="25"/>
      <c r="I224" s="17"/>
    </row>
    <row r="225" ht="13.5" customHeight="1">
      <c r="A225" s="1"/>
      <c r="B225" s="17" t="s">
        <v>355</v>
      </c>
      <c r="C225" s="45">
        <v>11522</v>
      </c>
      <c r="D225" s="25"/>
      <c r="E225" s="45">
        <v>11048</v>
      </c>
      <c r="F225" s="25"/>
      <c r="G225" s="25"/>
      <c r="H225" s="25"/>
      <c r="I225" s="17"/>
    </row>
    <row r="226" ht="13.5" customHeight="1">
      <c r="A226" s="1"/>
      <c r="B226" s="17" t="s">
        <v>356</v>
      </c>
      <c r="C226" s="45">
        <v>120998</v>
      </c>
      <c r="D226" s="25"/>
      <c r="E226" s="45">
        <v>109783</v>
      </c>
      <c r="F226" s="25"/>
      <c r="G226" s="25"/>
      <c r="H226" s="25"/>
      <c r="I226" s="17"/>
    </row>
    <row r="227" ht="24.75" customHeight="1">
      <c r="A227" s="1"/>
      <c r="B227" s="17" t="s">
        <v>358</v>
      </c>
      <c r="C227" s="45">
        <v>62392</v>
      </c>
      <c r="D227" s="25"/>
      <c r="E227" s="45">
        <v>61380</v>
      </c>
      <c r="F227" s="25"/>
      <c r="G227" s="25"/>
      <c r="H227" s="25"/>
      <c r="I227" s="17"/>
    </row>
    <row r="228" ht="13.5" customHeight="1">
      <c r="A228" s="1"/>
      <c r="B228" s="17" t="s">
        <v>359</v>
      </c>
      <c r="C228" s="45">
        <v>151367</v>
      </c>
      <c r="D228" s="25"/>
      <c r="E228" s="45">
        <v>151163</v>
      </c>
      <c r="F228" s="25"/>
      <c r="G228" s="25"/>
      <c r="H228" s="25"/>
      <c r="I228" s="17"/>
    </row>
    <row r="229" ht="13.5" customHeight="1">
      <c r="A229" s="1"/>
      <c r="B229" s="17" t="s">
        <v>360</v>
      </c>
      <c r="C229" s="45">
        <v>-170209</v>
      </c>
      <c r="D229" s="25"/>
      <c r="E229" s="45">
        <v>-169968</v>
      </c>
      <c r="F229" s="25"/>
      <c r="G229" s="25"/>
      <c r="H229" s="25"/>
      <c r="I229" s="17"/>
    </row>
    <row r="230" ht="24.75" customHeight="1">
      <c r="A230" s="1"/>
      <c r="B230" s="17" t="s">
        <v>361</v>
      </c>
      <c r="C230" s="45">
        <v>-16041</v>
      </c>
      <c r="D230" s="25"/>
      <c r="E230" s="45">
        <v>-15269</v>
      </c>
      <c r="F230" s="25"/>
      <c r="G230" s="25"/>
      <c r="H230" s="25"/>
      <c r="I230" s="17"/>
    </row>
    <row r="231" ht="13.5" customHeight="1">
      <c r="A231" s="1"/>
      <c r="B231" s="17" t="s">
        <v>363</v>
      </c>
      <c r="C231" s="45">
        <v>27509</v>
      </c>
      <c r="D231" s="25"/>
      <c r="E231" s="45">
        <v>27307</v>
      </c>
      <c r="F231" s="25"/>
      <c r="G231" s="25"/>
      <c r="H231" s="25"/>
      <c r="I231" s="17"/>
    </row>
    <row r="232" ht="13.5" customHeight="1">
      <c r="A232" s="1"/>
      <c r="B232" s="17" t="s">
        <v>364</v>
      </c>
      <c r="C232" s="45">
        <v>79</v>
      </c>
      <c r="D232" s="25"/>
      <c r="E232" s="45">
        <v>86</v>
      </c>
      <c r="F232" s="25"/>
      <c r="G232" s="25"/>
      <c r="H232" s="25"/>
      <c r="I232" s="17"/>
    </row>
    <row r="233" ht="13.5" customHeight="1">
      <c r="A233" s="1"/>
      <c r="B233" s="17" t="s">
        <v>365</v>
      </c>
      <c r="C233" s="45">
        <v>27588</v>
      </c>
      <c r="D233" s="25"/>
      <c r="E233" s="45">
        <v>27393</v>
      </c>
      <c r="F233" s="25"/>
      <c r="G233" s="25"/>
      <c r="H233" s="25"/>
      <c r="I233" s="17"/>
    </row>
    <row r="234" ht="13.5" customHeight="1">
      <c r="A234" s="1"/>
      <c r="B234" s="17" t="s">
        <v>366</v>
      </c>
      <c r="C234" s="45">
        <v>148585</v>
      </c>
      <c r="D234" s="25"/>
      <c r="E234" s="45">
        <v>137175</v>
      </c>
      <c r="F234" s="25"/>
      <c r="G234" s="25"/>
      <c r="H234" s="25"/>
      <c r="I234" s="17"/>
    </row>
    <row r="235" ht="13.5" customHeight="1">
      <c r="A235" s="1"/>
      <c r="B235" s="17"/>
      <c r="C235" s="20"/>
      <c r="D235" s="20"/>
      <c r="E235" s="20"/>
      <c r="F235" s="20"/>
      <c r="G235" s="20"/>
      <c r="H235" s="20"/>
      <c r="I235" s="17"/>
    </row>
    <row r="236" ht="24.75" customHeight="1">
      <c r="A236" s="1"/>
      <c r="B236" s="14" t="s">
        <v>900</v>
      </c>
      <c r="C236" s="22"/>
      <c r="D236" s="22"/>
      <c r="E236" s="22"/>
      <c r="F236" s="22"/>
      <c r="G236" s="22"/>
      <c r="H236" s="22"/>
      <c r="I236" s="17"/>
    </row>
    <row r="237" ht="13.5" customHeight="1">
      <c r="A237" s="1"/>
      <c r="B237" s="14" t="s">
        <v>901</v>
      </c>
      <c r="C237" s="16" t="s">
        <v>65</v>
      </c>
      <c r="D237" s="16" t="s">
        <v>902</v>
      </c>
      <c r="E237" s="16" t="s">
        <v>64</v>
      </c>
      <c r="F237" s="16" t="s">
        <v>831</v>
      </c>
      <c r="G237" s="16" t="s">
        <v>903</v>
      </c>
      <c r="H237" s="16" t="s">
        <v>830</v>
      </c>
      <c r="I237" s="17"/>
    </row>
    <row r="238" ht="13.5" customHeight="1">
      <c r="A238" s="1"/>
      <c r="B238" s="17" t="s">
        <v>118</v>
      </c>
      <c r="C238" s="45">
        <v>7327</v>
      </c>
      <c r="D238" s="45">
        <v>5369</v>
      </c>
      <c r="E238" s="25">
        <f t="shared" si="14" ref="E238:H248">C238-D238</f>
        <v>1958</v>
      </c>
      <c r="F238" s="45">
        <v>6490</v>
      </c>
      <c r="G238" s="45">
        <v>4716</v>
      </c>
      <c r="H238" s="25">
        <f t="shared" si="14"/>
        <v>1774</v>
      </c>
      <c r="I238" s="17"/>
    </row>
    <row r="239" ht="13.5" customHeight="1">
      <c r="A239" s="1"/>
      <c r="B239" s="17" t="s">
        <v>124</v>
      </c>
      <c r="C239" s="45">
        <v>7733</v>
      </c>
      <c r="D239" s="45">
        <v>5401</v>
      </c>
      <c r="E239" s="25">
        <f t="shared" si="14"/>
        <v>2332</v>
      </c>
      <c r="F239" s="45">
        <v>6558</v>
      </c>
      <c r="G239" s="45">
        <v>4574</v>
      </c>
      <c r="H239" s="25">
        <f t="shared" si="14"/>
        <v>1984</v>
      </c>
      <c r="I239" s="17"/>
    </row>
    <row r="240" ht="13.5" customHeight="1">
      <c r="A240" s="1"/>
      <c r="B240" s="17" t="s">
        <v>126</v>
      </c>
      <c r="C240" s="45">
        <v>6299</v>
      </c>
      <c r="D240" s="45">
        <v>4194</v>
      </c>
      <c r="E240" s="25">
        <f t="shared" si="14"/>
        <v>2105</v>
      </c>
      <c r="F240" s="45">
        <v>5629</v>
      </c>
      <c r="G240" s="45">
        <v>3902</v>
      </c>
      <c r="H240" s="25">
        <f t="shared" si="14"/>
        <v>1727</v>
      </c>
      <c r="I240" s="17"/>
    </row>
    <row r="241" ht="13.5" customHeight="1">
      <c r="A241" s="1"/>
      <c r="B241" s="17" t="s">
        <v>129</v>
      </c>
      <c r="C241" s="45">
        <v>8603</v>
      </c>
      <c r="D241" s="45">
        <v>5967</v>
      </c>
      <c r="E241" s="25">
        <f t="shared" si="14"/>
        <v>2636</v>
      </c>
      <c r="F241" s="45">
        <v>8408</v>
      </c>
      <c r="G241" s="45">
        <v>5970</v>
      </c>
      <c r="H241" s="25">
        <f t="shared" si="14"/>
        <v>2438</v>
      </c>
      <c r="I241" s="17"/>
    </row>
    <row r="242" ht="13.5" customHeight="1">
      <c r="A242" s="1"/>
      <c r="B242" s="17" t="s">
        <v>160</v>
      </c>
      <c r="C242" s="45">
        <v>11537</v>
      </c>
      <c r="D242" s="45">
        <v>8607</v>
      </c>
      <c r="E242" s="25">
        <f t="shared" si="14"/>
        <v>2930</v>
      </c>
      <c r="F242" s="45">
        <v>11488</v>
      </c>
      <c r="G242" s="45">
        <v>8613</v>
      </c>
      <c r="H242" s="25">
        <f t="shared" si="14"/>
        <v>2875</v>
      </c>
      <c r="I242" s="17"/>
    </row>
    <row r="243" ht="13.5" customHeight="1">
      <c r="A243" s="1"/>
      <c r="B243" s="17" t="s">
        <v>162</v>
      </c>
      <c r="C243" s="45">
        <v>9518</v>
      </c>
      <c r="D243" s="45">
        <v>7100</v>
      </c>
      <c r="E243" s="25">
        <f t="shared" si="14"/>
        <v>2418</v>
      </c>
      <c r="F243" s="45">
        <v>9204</v>
      </c>
      <c r="G243" s="45">
        <v>6904</v>
      </c>
      <c r="H243" s="25">
        <f t="shared" si="14"/>
        <v>2300</v>
      </c>
      <c r="I243" s="17"/>
    </row>
    <row r="244" ht="13.5" customHeight="1">
      <c r="A244" s="1"/>
      <c r="B244" s="17" t="s">
        <v>184</v>
      </c>
      <c r="C244" s="45">
        <v>10618</v>
      </c>
      <c r="D244" s="45">
        <v>6775</v>
      </c>
      <c r="E244" s="25">
        <f t="shared" si="14"/>
        <v>3843</v>
      </c>
      <c r="F244" s="45">
        <v>8913</v>
      </c>
      <c r="G244" s="45">
        <v>5928</v>
      </c>
      <c r="H244" s="25">
        <f t="shared" si="14"/>
        <v>2985</v>
      </c>
      <c r="I244" s="17"/>
    </row>
    <row r="245" ht="13.5" customHeight="1">
      <c r="A245" s="1"/>
      <c r="B245" s="17" t="s">
        <v>197</v>
      </c>
      <c r="C245" s="45">
        <v>5100</v>
      </c>
      <c r="D245" s="45">
        <v>3811</v>
      </c>
      <c r="E245" s="25">
        <f t="shared" si="14"/>
        <v>1289</v>
      </c>
      <c r="F245" s="45">
        <v>5107</v>
      </c>
      <c r="G245" s="45">
        <v>3835</v>
      </c>
      <c r="H245" s="25">
        <f t="shared" si="14"/>
        <v>1272</v>
      </c>
      <c r="I245" s="17"/>
    </row>
    <row r="246" ht="13.5" customHeight="1">
      <c r="A246" s="1"/>
      <c r="B246" s="17" t="s">
        <v>442</v>
      </c>
      <c r="C246" s="45">
        <v>33342</v>
      </c>
      <c r="D246" s="45">
        <v>23811</v>
      </c>
      <c r="E246" s="25">
        <f t="shared" si="14"/>
        <v>9531</v>
      </c>
      <c r="F246" s="45">
        <v>31266</v>
      </c>
      <c r="G246" s="45">
        <v>22727</v>
      </c>
      <c r="H246" s="25">
        <f t="shared" si="14"/>
        <v>8539</v>
      </c>
      <c r="I246" s="17"/>
    </row>
    <row r="247" ht="13.5" customHeight="1">
      <c r="A247" s="1"/>
      <c r="B247" s="17" t="s">
        <v>444</v>
      </c>
      <c r="C247" s="45">
        <v>22189</v>
      </c>
      <c r="D247" s="45">
        <v>15216</v>
      </c>
      <c r="E247" s="25">
        <f t="shared" si="14"/>
        <v>6973</v>
      </c>
      <c r="F247" s="45">
        <v>19429</v>
      </c>
      <c r="G247" s="45">
        <v>13619</v>
      </c>
      <c r="H247" s="25">
        <f t="shared" si="14"/>
        <v>5810</v>
      </c>
      <c r="I247" s="17"/>
    </row>
    <row r="248" ht="13.5" customHeight="1">
      <c r="A248" s="1"/>
      <c r="B248" s="17" t="s">
        <v>446</v>
      </c>
      <c r="C248" s="45">
        <v>12004</v>
      </c>
      <c r="D248" s="45">
        <v>8822</v>
      </c>
      <c r="E248" s="25">
        <f t="shared" si="14"/>
        <v>3182</v>
      </c>
      <c r="F248" s="45">
        <v>12058</v>
      </c>
      <c r="G248" s="45">
        <v>8853</v>
      </c>
      <c r="H248" s="25">
        <f t="shared" si="14"/>
        <v>3205</v>
      </c>
      <c r="I248" s="17"/>
    </row>
    <row r="249" ht="13.5" customHeight="1">
      <c r="A249" s="1"/>
      <c r="B249" s="17"/>
      <c r="C249" s="20"/>
      <c r="D249" s="20"/>
      <c r="E249" s="20"/>
      <c r="F249" s="20"/>
      <c r="G249" s="20"/>
      <c r="H249" s="20"/>
      <c r="I249" s="17"/>
    </row>
    <row r="250" ht="24.75" customHeight="1">
      <c r="A250" s="1"/>
      <c r="B250" s="14" t="s">
        <v>904</v>
      </c>
      <c r="C250" s="22"/>
      <c r="D250" s="22"/>
      <c r="E250" s="22"/>
      <c r="F250" s="22"/>
      <c r="G250" s="22"/>
      <c r="H250" s="22"/>
      <c r="I250" s="17"/>
    </row>
    <row r="251" ht="24.75" customHeight="1">
      <c r="A251" s="1"/>
      <c r="B251" s="17" t="s">
        <v>905</v>
      </c>
      <c r="C251" s="45">
        <v>218.68</v>
      </c>
      <c r="D251" s="25"/>
      <c r="E251" s="25"/>
      <c r="F251" s="25"/>
      <c r="G251" s="25"/>
      <c r="H251" s="25"/>
      <c r="I251" s="32" t="s">
        <v>906</v>
      </c>
    </row>
    <row r="252" ht="24.75" customHeight="1">
      <c r="A252" s="1"/>
      <c r="B252" s="17" t="s">
        <v>907</v>
      </c>
      <c r="C252" s="25">
        <f>C75*C253/1000</f>
        <v>218.7070772946</v>
      </c>
      <c r="D252" s="25"/>
      <c r="E252" s="25"/>
      <c r="F252" s="25"/>
      <c r="G252" s="25"/>
      <c r="H252" s="25"/>
      <c r="I252" s="17"/>
    </row>
    <row r="253" ht="13.5" customHeight="1">
      <c r="A253" s="1"/>
      <c r="B253" s="17" t="s">
        <v>908</v>
      </c>
      <c r="C253" s="24">
        <f>'Share Count'!G21</f>
        <v>942.13439</v>
      </c>
      <c r="D253" s="25"/>
      <c r="E253" s="25"/>
      <c r="F253" s="25"/>
      <c r="G253" s="25"/>
      <c r="H253" s="25"/>
      <c r="I253" s="17"/>
    </row>
    <row r="254" ht="13.5" customHeight="1">
      <c r="A254" s="1"/>
      <c r="B254" s="17" t="s">
        <v>909</v>
      </c>
      <c r="C254" s="19" t="s">
        <v>910</v>
      </c>
      <c r="D254" s="19"/>
      <c r="E254" s="19"/>
      <c r="F254" s="19"/>
      <c r="G254" s="19"/>
      <c r="H254" s="19"/>
      <c r="I254" s="17"/>
    </row>
    <row r="255" ht="13.5" customHeight="1">
      <c r="A255" s="1"/>
      <c r="B255" s="17" t="s">
        <v>911</v>
      </c>
      <c r="C255" s="19" t="s">
        <v>912</v>
      </c>
      <c r="D255" s="19"/>
      <c r="E255" s="19"/>
      <c r="F255" s="19"/>
      <c r="G255" s="19"/>
      <c r="H255" s="19"/>
      <c r="I255" s="17"/>
    </row>
    <row r="256" ht="66" customHeight="1">
      <c r="A256" s="1"/>
      <c r="B256" s="32" t="s">
        <v>913</v>
      </c>
      <c r="C256" s="53">
        <v>0.78</v>
      </c>
      <c r="D256" s="39"/>
      <c r="E256" s="39"/>
      <c r="F256" s="39"/>
      <c r="G256" s="39"/>
      <c r="H256" s="39"/>
      <c r="I256" s="32" t="s">
        <v>914</v>
      </c>
    </row>
    <row r="257" ht="13.5" customHeight="1">
      <c r="A257" s="1"/>
      <c r="B257" s="17" t="s">
        <v>915</v>
      </c>
      <c r="C257" s="37">
        <f>IF(E94,1,0)+IF(E95,1,0)+IF(E96,1,0)+IF(E97,1,0)+IF(E98,1,0)+IF(E99,1,0)</f>
        <v>5</v>
      </c>
      <c r="D257" s="37"/>
      <c r="E257" s="37"/>
      <c r="F257" s="37"/>
      <c r="G257" s="37"/>
      <c r="H257" s="37"/>
      <c r="I257" s="17"/>
    </row>
    <row r="258" ht="13.5" customHeight="1">
      <c r="A258" s="1"/>
      <c r="B258" s="17" t="s">
        <v>916</v>
      </c>
      <c r="C258" s="37">
        <f>COUNT(D85:D90)</f>
        <v>6</v>
      </c>
      <c r="D258" s="37"/>
      <c r="E258" s="37"/>
      <c r="F258" s="37"/>
      <c r="G258" s="37"/>
      <c r="H258" s="37"/>
      <c r="I258" s="17"/>
    </row>
    <row r="259" ht="13.5" customHeight="1">
      <c r="A259" s="1"/>
      <c r="B259" s="17" t="s">
        <v>917</v>
      </c>
      <c r="C259" s="91">
        <v>8</v>
      </c>
      <c r="D259" s="37"/>
      <c r="E259" s="37"/>
      <c r="F259" s="37"/>
      <c r="G259" s="37"/>
      <c r="H259" s="37"/>
      <c r="I259" s="17"/>
    </row>
    <row r="260" ht="24.75" customHeight="1">
      <c r="A260" s="1"/>
      <c r="B260" s="33" t="s">
        <v>918</v>
      </c>
      <c r="C260" s="35">
        <f>(C259*C256+C257)/(C259+C258)</f>
        <v>0.8028571428571428</v>
      </c>
      <c r="D260" s="35"/>
      <c r="E260" s="35"/>
      <c r="F260" s="35"/>
      <c r="G260" s="35"/>
      <c r="H260" s="35"/>
      <c r="I260" s="17"/>
    </row>
    <row r="261" ht="36" customHeight="1">
      <c r="A261" s="1"/>
      <c r="B261" s="32" t="s">
        <v>919</v>
      </c>
      <c r="C261" s="39">
        <f>C262-C260</f>
        <v>-0.32285714285714284</v>
      </c>
      <c r="D261" s="39"/>
      <c r="E261" s="39"/>
      <c r="F261" s="39"/>
      <c r="G261" s="39"/>
      <c r="H261" s="39"/>
      <c r="I261" s="32" t="s">
        <v>920</v>
      </c>
    </row>
    <row r="262" ht="13.5" customHeight="1">
      <c r="A262" s="1"/>
      <c r="B262" s="33" t="s">
        <v>921</v>
      </c>
      <c r="C262" s="100">
        <v>0.48</v>
      </c>
      <c r="D262" s="35"/>
      <c r="E262" s="35"/>
      <c r="F262" s="35"/>
      <c r="G262" s="35"/>
      <c r="H262" s="35"/>
      <c r="I262" s="17"/>
    </row>
    <row r="263" ht="13.5" customHeight="1">
      <c r="A263" s="1"/>
      <c r="B263" s="14" t="s">
        <v>45</v>
      </c>
      <c r="C263" s="16" t="s">
        <v>46</v>
      </c>
      <c r="D263" s="16"/>
      <c r="E263" s="16"/>
      <c r="F263" s="16"/>
      <c r="G263" s="16"/>
      <c r="H263" s="16"/>
      <c r="I263" s="17"/>
    </row>
    <row r="264" ht="13.5" customHeight="1">
      <c r="A264" s="1"/>
      <c r="B264" s="17"/>
      <c r="C264" s="20"/>
      <c r="D264" s="20"/>
      <c r="E264" s="20"/>
      <c r="F264" s="20"/>
      <c r="G264" s="20"/>
      <c r="H264" s="20"/>
      <c r="I264" s="17"/>
    </row>
    <row r="265" ht="36" customHeight="1">
      <c r="A265" s="1"/>
      <c r="B265" s="14" t="s">
        <v>922</v>
      </c>
      <c r="C265" s="22"/>
      <c r="D265" s="22"/>
      <c r="E265" s="22"/>
      <c r="F265" s="22"/>
      <c r="G265" s="22"/>
      <c r="H265" s="22"/>
      <c r="I265" s="17"/>
    </row>
    <row r="266" ht="13.5" customHeight="1">
      <c r="A266" s="1"/>
      <c r="B266" s="14" t="s">
        <v>923</v>
      </c>
      <c r="C266" s="16" t="s">
        <v>924</v>
      </c>
      <c r="D266" s="16" t="s">
        <v>925</v>
      </c>
      <c r="E266" s="16" t="s">
        <v>926</v>
      </c>
      <c r="F266" s="16"/>
      <c r="G266" s="16"/>
      <c r="H266" s="16"/>
      <c r="I266" s="17"/>
    </row>
    <row r="267" ht="13.5" customHeight="1">
      <c r="A267" s="1"/>
      <c r="B267" s="17" t="s">
        <v>927</v>
      </c>
      <c r="C267" s="85">
        <v>2.87</v>
      </c>
      <c r="D267" s="45">
        <v>16840</v>
      </c>
      <c r="E267" s="91">
        <v>20</v>
      </c>
      <c r="F267" s="29"/>
      <c r="G267" s="29"/>
      <c r="H267" s="29"/>
      <c r="I267" s="17"/>
    </row>
    <row r="268" ht="13.5" customHeight="1">
      <c r="A268" s="1"/>
      <c r="B268" s="17" t="s">
        <v>928</v>
      </c>
      <c r="C268" s="85">
        <v>2.86</v>
      </c>
      <c r="D268" s="45">
        <v>16820</v>
      </c>
      <c r="E268" s="37"/>
      <c r="F268" s="29"/>
      <c r="G268" s="29"/>
      <c r="H268" s="29"/>
      <c r="I268" s="17"/>
    </row>
    <row r="269" ht="13.5" customHeight="1">
      <c r="A269" s="1"/>
      <c r="B269" s="17" t="s">
        <v>929</v>
      </c>
      <c r="C269" s="85">
        <v>2.82</v>
      </c>
      <c r="D269" s="45">
        <v>16800</v>
      </c>
      <c r="E269" s="37"/>
      <c r="F269" s="29"/>
      <c r="G269" s="29"/>
      <c r="H269" s="29"/>
      <c r="I269" s="17"/>
    </row>
    <row r="270" ht="13.5" customHeight="1">
      <c r="A270" s="1"/>
      <c r="B270" s="17" t="s">
        <v>930</v>
      </c>
      <c r="C270" s="85">
        <v>2.8</v>
      </c>
      <c r="D270" s="45">
        <v>16823</v>
      </c>
      <c r="E270" s="37"/>
      <c r="F270" s="29"/>
      <c r="G270" s="29"/>
      <c r="H270" s="29"/>
      <c r="I270" s="17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2026-10-19T19:13:46Z</dcterms:created>
</cp:coreProperties>
</file>