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omments10.xml" ContentType="application/vnd.openxmlformats-officedocument.spreadsheetml.comments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comments13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r:id="rId1" name="Cover" sheetId="1"/>
    <sheet r:id="rId2" name="Revenue summary" sheetId="2"/>
    <sheet r:id="rId3" name="Segment - GMNA" sheetId="3"/>
    <sheet r:id="rId4" name="Segment - GMI" sheetId="4"/>
    <sheet r:id="rId5" name="Segment - GM Financial" sheetId="5"/>
    <sheet r:id="rId6" name="Income Statement" sheetId="6"/>
    <sheet r:id="rId7" name="Balance Sheet" sheetId="7"/>
    <sheet r:id="rId8" name="Cash Flow Statement" sheetId="8"/>
    <sheet r:id="rId9" name="Geo" sheetId="9"/>
    <sheet r:id="rId10" name="Share Count" sheetId="10"/>
    <sheet r:id="rId11" name="Guidance" sheetId="11"/>
    <sheet r:id="rId12" name="Sources" sheetId="12"/>
    <sheet r:id="rId13" name="Inputs" sheetId="13"/>
  </sheets>
  <calcPr calcId="0" iterateCount="100" iterateDelta="0.001"/>
</workbook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J25" authorId="0">
      <text>
        <r>
          <rPr>
            <sz val="9"/>
            <color rgb="FF000000"/>
            <rFont val="Arial"/>
            <family val="2"/>
          </rPr>
          <t>GM U.S. Deliveries for Quarter 3 2026 (investor.gm.com static-files 1294f515) | p.1 | 670,974</t>
        </r>
      </text>
    </comment>
    <comment ref="J52" authorId="0">
      <text>
        <r>
          <rPr>
            <sz val="9"/>
            <color rgb="FF000000"/>
            <rFont val="Arial"/>
            <family val="2"/>
          </rPr>
          <t>GM U.S. Deliveries for Quarter 3 2026 (investor.gm.com static-files 1294f515) | p.1 | Dealer Inventory 568,151</t>
        </r>
      </text>
    </comment>
    <comment ref="E143" authorId="0">
      <text>
        <r>
          <rPr>
            <sz val="9"/>
            <color rgb="FF000000"/>
            <rFont val="Arial"/>
            <family val="2"/>
          </rPr>
          <t>gm-20250930.htm (GM 10-Q Q3 2025) | Note 12 | Adjustments and other 1,411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J19" authorId="0">
      <text>
        <r>
          <rPr>
            <sz val="9"/>
            <color rgb="FF000000"/>
            <rFont val="Arial"/>
            <family val="2"/>
          </rPr>
          <t>GM Delivers Solid Q3 Sales in China (investors.gm.com, 2026-10-12) | p.1 | more than 358,000 units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api</author>
  </authors>
  <commentList>
    <comment ref="F149" authorId="0">
      <text>
        <r>
          <rPr>
            <sz val="9"/>
            <color rgb="FF000000"/>
            <rFont val="Arial"/>
            <family val="2"/>
          </rPr>
          <t>Source: S4 GM Q4 2025 release, Basic and Diluted EPS table, three months ended Dec 31 2025: NI attributable to common stockholders $(3,330)</t>
        </r>
      </text>
    </comment>
    <comment ref="I149" authorId="0">
      <text>
        <r>
          <rPr>
            <sz val="9"/>
            <color rgb="FF000000"/>
            <rFont val="Arial"/>
            <family val="2"/>
          </rPr>
          <t>Source: S4 GM Q4 2025 release, Basic and Diluted EPS table, year ended Dec 31 2025: NI attributable to common stockholders $3,180</t>
        </r>
      </text>
    </comment>
    <comment ref="F151" authorId="0">
      <text>
        <r>
          <rPr>
            <sz val="9"/>
            <color rgb="FF000000"/>
            <rFont val="Arial"/>
            <family val="2"/>
          </rPr>
          <t>Source: S4 GM Q4 2025 release, diluted EPS three months ended Dec 31 2025: $(3.60)</t>
        </r>
      </text>
    </comment>
    <comment ref="I151" authorId="0">
      <text>
        <r>
          <rPr>
            <sz val="9"/>
            <color rgb="FF000000"/>
            <rFont val="Arial"/>
            <family val="2"/>
          </rPr>
          <t>Source: S4 GM Q4 2025 release, diluted EPS year ended Dec 31 2025: $3.27</t>
        </r>
      </text>
    </comment>
    <comment ref="F152" authorId="0">
      <text>
        <r>
          <rPr>
            <sz val="9"/>
            <color rgb="FF000000"/>
            <rFont val="Arial"/>
            <family val="2"/>
          </rPr>
          <t>Source: S4 GM Q4 2025 release, EPS-diluted-adjusted reconciliation, three months ended Dec 31 2025: $2,378</t>
        </r>
      </text>
    </comment>
    <comment ref="I152" authorId="0">
      <text>
        <r>
          <rPr>
            <sz val="9"/>
            <color rgb="FF000000"/>
            <rFont val="Arial"/>
            <family val="2"/>
          </rPr>
          <t>Source: S4 GM Q4 2025 release, EPS-diluted-adjusted reconciliation, year ended Dec 31 2025: $10,311</t>
        </r>
      </text>
    </comment>
    <comment ref="F153" authorId="0">
      <text>
        <r>
          <rPr>
            <sz val="9"/>
            <color rgb="FF000000"/>
            <rFont val="Arial"/>
            <family val="2"/>
          </rPr>
          <t>Source: S4 GM Q4 2025 release, EPS-diluted-adjusted three months ended Dec 31 2025: $2.51</t>
        </r>
      </text>
    </comment>
    <comment ref="I153" authorId="0">
      <text>
        <r>
          <rPr>
            <sz val="9"/>
            <color rgb="FF000000"/>
            <rFont val="Arial"/>
            <family val="2"/>
          </rPr>
          <t>Source: S4 GM Q4 2025 release, EPS-diluted-adjusted year ended Dec 31 2025: $10.60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  <author>api</author>
  </authors>
  <commentList>
    <comment ref="H32" authorId="0">
      <text>
        <r>
          <rPr>
            <sz val="9"/>
            <color rgb="FF000000"/>
            <rFont val="Arial"/>
            <family val="2"/>
          </rPr>
          <t>gm-20260630.htm (GM 10-Q Q2 2026) | cover | As of July 10, 2026 there were 877,451,541 shares of common stock outstanding</t>
        </r>
      </text>
    </comment>
    <comment ref="J46" authorId="0">
      <text>
        <r>
          <rPr>
            <sz val="9"/>
            <color rgb="FF000000"/>
            <rFont val="Arial"/>
            <family val="2"/>
          </rPr>
          <t>Source: S17 Alphastreet transcript of GM Q2 2026 earnings call (published 2026-07-21): 'We ended the second quarter with a diluted share count of 893 million'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23" authorId="0">
      <text>
        <r>
          <rPr>
            <sz val="9"/>
            <color rgb="FF000000"/>
            <rFont val="Arial"/>
            <family val="2"/>
          </rPr>
          <t>GM_consensus.json | summary_row | "eps_normalized_mean": "3.63"</t>
        </r>
      </text>
    </comment>
    <comment ref="C41" authorId="0">
      <text>
        <r>
          <rPr>
            <sz val="9"/>
            <color rgb="FF000000"/>
            <rFont val="Arial"/>
            <family val="2"/>
          </rPr>
          <t>GM_consensus.json | summary_row | "revenue_mean": "48762.9"</t>
        </r>
      </text>
    </comment>
    <comment ref="C54" authorId="0">
      <text>
        <r>
          <rPr>
            <sz val="9"/>
            <color rgb="FF000000"/>
            <rFont val="Arial"/>
            <family val="2"/>
          </rPr>
          <t>GM_consensus.json | summary_row | "net_income_excl_excep": "3246.71"</t>
        </r>
      </text>
    </comment>
    <comment ref="C96" authorId="0">
      <text>
        <r>
          <rPr>
            <sz val="9"/>
            <color rgb="FF000000"/>
            <rFont val="Arial"/>
            <family val="2"/>
          </rPr>
          <t>stockanalysis.com/stocks/gm/market-cap | p.1 | $73.67 billion as of October 16, 2026</t>
        </r>
      </text>
    </comment>
  </commentList>
</comments>
</file>

<file path=xl/sharedStrings.xml><?xml version="1.0" encoding="utf-8"?>
<sst xmlns="http://schemas.openxmlformats.org/spreadsheetml/2006/main" count="909" uniqueCount="909">
  <si>
    <t>Company Model — built by Shortcut</t>
  </si>
  <si>
    <t>General Motors Company (NYSE: GM)</t>
  </si>
  <si>
    <t>Cover</t>
  </si>
  <si>
    <t>$ millions, except per share</t>
  </si>
  <si>
    <t>Period</t>
  </si>
  <si>
    <t>1Q25A</t>
  </si>
  <si>
    <t>2Q25A</t>
  </si>
  <si>
    <t>3Q25A</t>
  </si>
  <si>
    <t>4Q25A</t>
  </si>
  <si>
    <t>1Q26A</t>
  </si>
  <si>
    <t>2Q26A</t>
  </si>
  <si>
    <t>FY25A</t>
  </si>
  <si>
    <t>3Q26E</t>
  </si>
  <si>
    <t>Notes / sources</t>
  </si>
  <si>
    <t>Period end</t>
  </si>
  <si>
    <t>Days in period</t>
  </si>
  <si>
    <t>Company (text fields; row-5 period band does not apply)</t>
  </si>
  <si>
    <t>Company</t>
  </si>
  <si>
    <t>General Motors Company</t>
  </si>
  <si>
    <t>Ticker / exchange</t>
  </si>
  <si>
    <t>GM / New York Stock Exchange (NYSE: GM)</t>
  </si>
  <si>
    <t>Fiscal year end</t>
  </si>
  <si>
    <t>December 31 (calendar year; 3Q26 = quarter ended 2026-09-30, supplied label FQ3 2026 - Sep 2026)</t>
  </si>
  <si>
    <t>Reporting currency</t>
  </si>
  <si>
    <t>USD; amounts in $ millions</t>
  </si>
  <si>
    <t>EPS basis (consensus)</t>
  </si>
  <si>
    <t>EPS-diluted-adjusted = CapIQ normalized diluted EPS per common share, USD</t>
  </si>
  <si>
    <t>Information cutoff</t>
  </si>
  <si>
    <t>2026-10-18T21:34:46Z</t>
  </si>
  <si>
    <t>Expected report date</t>
  </si>
  <si>
    <t>2026-10-20 before market (issuer-confirmed, S22; matches supplied CapIQ date)</t>
  </si>
  <si>
    <t>Author</t>
  </si>
  <si>
    <t>Shortcut</t>
  </si>
  <si>
    <t>Headline: 3Q26E estimate vs consensus at cutoff vs guidance (columns per row-20 headers; row-5 period band does not apply)</t>
  </si>
  <si>
    <t>Metric</t>
  </si>
  <si>
    <t>Consensus</t>
  </si>
  <si>
    <t>Variance</t>
  </si>
  <si>
    <t>Q3 guide</t>
  </si>
  <si>
    <t>FY26 mid</t>
  </si>
  <si>
    <t>C = Shortcut estimate; D = S&amp;P CapIQ consensus at cutoff (frozen, 2026-10-18); F = quarterly guidance midpoint (GM gives none); G = FY26 guidance midpoint (Jul 21 2026)</t>
  </si>
  <si>
    <t>Total net sales and revenue ($M)</t>
  </si>
  <si>
    <t>n.a.</t>
  </si>
  <si>
    <t>Variance % vs consensus</t>
  </si>
  <si>
    <t>EBIT-adjusted ($M)</t>
  </si>
  <si>
    <t>CapIQ EBIT mean $4,098M is not on the issuer EBIT-adjusted definition; not compared</t>
  </si>
  <si>
    <t>Adjusted net income to common ($M, EPS-adj numerator)</t>
  </si>
  <si>
    <t>D25 = CapIQ net_income_excl_excep: preferred/NCI basis and contributor set not documented; not verified like-for-like with GM adjusted NI to common (EPS-adj numerator)</t>
  </si>
  <si>
    <t>Net income attributable to stockholders - GAAP ($M)</t>
  </si>
  <si>
    <t>C27 = NI attributable to stockholders (Income Statement!J49); forecast NI to common = J57 (3,094.3). D27 = CapIQ net_income_gaap: stockholder vs common basis not verified; implies ~$3.14/share vs GAAP EPS mean $3.68 (n=6), so contributor sets differ - E27:E28 not like-for-like</t>
  </si>
  <si>
    <t>EPS-diluted-adjusted ($, consensus basis)</t>
  </si>
  <si>
    <t>EPS-diluted GAAP ($)</t>
  </si>
  <si>
    <t>CapIQ GAAP EPS mean has n_est 6 vs normalized EPS n_est 15 (16 contributors): different contributor sets; only normalized EPS (row 29) is scored</t>
  </si>
  <si>
    <t>P(beat consensus EPS)</t>
  </si>
  <si>
    <t>Confidence</t>
  </si>
  <si>
    <t>medium</t>
  </si>
  <si>
    <t>GM gives full-year guidance only: Q3 guidance midpoint is n.a.; column G shows FY26 midpoints (Jul 21 2026) for context.</t>
  </si>
  <si>
    <t>Model integrity</t>
  </si>
  <si>
    <t>Linkage confirmation (structural; cannot fail)</t>
  </si>
  <si>
    <t>C29/C21/C25 are direct links to Income Statement J118/J12/J115, so this is an identity check by construction, not an independent test</t>
  </si>
  <si>
    <t>Overall check result (excl. IS I141:I144 FY25 diffs)</t>
  </si>
  <si>
    <t>PASS</t>
  </si>
  <si>
    <t>PASS = all inline check rows are 0. Excludes Income Statement!I141:I144 (FY25 FY-less-quarters -4/-5/-5/-19; unresolved, counted in row 41). Revenue summary!I78 (FY25 revenue, -$4M) stays in PASS only within its pre-existing $5M tolerance (see its K78); no tolerance widened</t>
  </si>
  <si>
    <t>Check rows live inline on each tab; the named assertion table is in artifacts/checks.md.</t>
  </si>
  <si>
    <t>FY25 reconciliation exceptions (count, unresolved)</t>
  </si>
  <si>
    <t>Count of non-zero FY25 FY-less-quarters rows in Income Statement!I141:I144; disclosed separately, not part of the PASS result</t>
  </si>
  <si>
    <t>Other consensus observed before cutoff (not the scoring baseline; CapIQ frozen values above are kept; single values in column C, row-5 period band does not apply)</t>
  </si>
  <si>
    <t>Benzinga preview (2026-10-13) - EPS ($)</t>
  </si>
  <si>
    <t>Benzinga preview - revenue ($M)</t>
  </si>
  <si>
    <t>Alphastreet preview (2026-10-16) - EPS ($)</t>
  </si>
  <si>
    <t>Alphastreet preview - revenue ($M)</t>
  </si>
  <si>
    <t>Zacks (Yahoo Finance) (2026-10-16) - EPS ($)</t>
  </si>
  <si>
    <t>Zacks (Yahoo Finance) - revenue ($M)</t>
  </si>
  <si>
    <t>drillr preview (2026-09-22) - EPS ($)</t>
  </si>
  <si>
    <t>drillr preview - revenue ($M)</t>
  </si>
  <si>
    <t>EarningsToday (2026-10-17) - EPS ($)</t>
  </si>
  <si>
    <t>EarningsToday - revenue ($M)</t>
  </si>
  <si>
    <t>Revenue summary</t>
  </si>
  <si>
    <t>Revenue by reported segment ($ millions)</t>
  </si>
  <si>
    <t>Segment tabs; S7-S10 Note 2</t>
  </si>
  <si>
    <t>GM North America (GMNA)</t>
  </si>
  <si>
    <t>% Y/Y</t>
  </si>
  <si>
    <t>% Q/Q</t>
  </si>
  <si>
    <t>% of total revenue</t>
  </si>
  <si>
    <t>M&amp;A / scope impact</t>
  </si>
  <si>
    <t>Unavailable</t>
  </si>
  <si>
    <t>GM does not disclose an M&amp;A/scope component of revenue growth (10-Q MD&amp;A variance: Volume/Mix/Price/Other only)</t>
  </si>
  <si>
    <t>FX impact</t>
  </si>
  <si>
    <t>FX is embedded in 10-Q "Other" variance and not quantified separately; left unavailable, not zero</t>
  </si>
  <si>
    <t>Organic growth</t>
  </si>
  <si>
    <t>Total Y/Y (reported)</t>
  </si>
  <si>
    <t>GM International (GMI)</t>
  </si>
  <si>
    <t>Corporate - vehicle, parts and accessories</t>
  </si>
  <si>
    <t>Corporate includes GM Defense and other non-segment revenue; 3Q26E ~1H26 average; 4Q25 = reported Corporate less services</t>
  </si>
  <si>
    <t>Q/Q change (abs.)</t>
  </si>
  <si>
    <t>Corporate - services and other</t>
  </si>
  <si>
    <t>Corporate</t>
  </si>
  <si>
    <t>Memo: Corporate revenue as reported (segment table)</t>
  </si>
  <si>
    <t>Corporate % Y/Y</t>
  </si>
  <si>
    <t>Corporate % Q/Q</t>
  </si>
  <si>
    <t>Corporate % of total revenue</t>
  </si>
  <si>
    <t>Cruise (wound down; combined into GMNA from 2025)</t>
  </si>
  <si>
    <t>Automotive eliminations</t>
  </si>
  <si>
    <t>Total Automotive net sales and revenue</t>
  </si>
  <si>
    <t>GM Financial (before eliminations)</t>
  </si>
  <si>
    <t>Eliminations - finance charge income</t>
  </si>
  <si>
    <t>Eliminations - other income</t>
  </si>
  <si>
    <t>GM Financial net sales and revenue (consolidated)</t>
  </si>
  <si>
    <t>Total net sales and revenue</t>
  </si>
  <si>
    <t>Geography: GMNA and GMI are geographic segments; revenue by geography and regional deliveries are on the Geo tab.</t>
  </si>
  <si>
    <t>Checks</t>
  </si>
  <si>
    <t>Memo: CapIQ reported revenue (Inputs)</t>
  </si>
  <si>
    <t>Check: total revenue less CapIQ actual (tol. $5M)</t>
  </si>
  <si>
    <t>Check: FY25 less sum of four 2025 quarters (tol. $5M)</t>
  </si>
  <si>
    <t>FY25 less quarters = -$4M (Income Statement!I141) is within the $5M tolerance; unresolved rounding/non-additivity, flagged separately on Cover row 41</t>
  </si>
  <si>
    <t>Linkage: segment lines sum to total (structural identity)</t>
  </si>
  <si>
    <t>Identity by construction (C44 and C66 are sums of the same lines); linkage confirmation, not an independent check</t>
  </si>
  <si>
    <t>Segment - GM North America (GMNA)</t>
  </si>
  <si>
    <t>U.S. market and GM U.S. deliveries (vehicles in thousands)</t>
  </si>
  <si>
    <t>S5,S6,S3,S4 vehicle sales tables</t>
  </si>
  <si>
    <t>U.S. industry vehicle sales</t>
  </si>
  <si>
    <t>FY25 16,631k as recorded from the FY source vs sum of quarters 16,610k (+21k): source revision / non-additivity caveat; FY not re-derived</t>
  </si>
  <si>
    <t>GM U.S. deliveries - cars</t>
  </si>
  <si>
    <t>GM U.S. deliveries - trucks</t>
  </si>
  <si>
    <t>GM U.S. deliveries - crossovers</t>
  </si>
  <si>
    <t>GM U.S. deliveries - total</t>
  </si>
  <si>
    <t>Memo: GM U.S. deliveries as reported (total)</t>
  </si>
  <si>
    <t>3Q26E column = actual Q3 2026 U.S. deliveries 670,974 (GM U.S. deliveries release 2026-10-01, S18); type split for 3Q26 not published, estimated at 3Q25 mix</t>
  </si>
  <si>
    <t>Check: type split less reported total (rounding tol. 2k)</t>
  </si>
  <si>
    <t>GM U.S. market share</t>
  </si>
  <si>
    <t>Y/Y change (bps)</t>
  </si>
  <si>
    <t>Q/Q change (bps)</t>
  </si>
  <si>
    <t>Cars % of GM U.S. deliveries</t>
  </si>
  <si>
    <t>Trucks % of GM U.S. deliveries</t>
  </si>
  <si>
    <t>Crossovers % of GM U.S. deliveries</t>
  </si>
  <si>
    <t>GM deliveries - other North America (Canada, Mexico, other)</t>
  </si>
  <si>
    <t>3Q26E: flat Y/Y assumption - no complete Q3 2026 GM Canada/Mexico totals published before the cutoff</t>
  </si>
  <si>
    <t>GM North America deliveries - total</t>
  </si>
  <si>
    <t>U.S. dealer inventory ladder (vehicles in thousands, incl. in-transit)</t>
  </si>
  <si>
    <t>S20 and GM quarterly U.S. deliveries reports</t>
  </si>
  <si>
    <t>Opening dealer inventory</t>
  </si>
  <si>
    <t>+ Implied sell-in to U.S. dealers (wholesale proxy)</t>
  </si>
  <si>
    <t>- Deliveries to customers</t>
  </si>
  <si>
    <t>Closing dealer inventory</t>
  </si>
  <si>
    <t>3Q26E column = actual Sep 30 2026 dealer inventory 568,151 (GM U.S. deliveries release 2026-10-01; GM Authority 2026-10-02)</t>
  </si>
  <si>
    <t>Net inventory change</t>
  </si>
  <si>
    <t>Average dealer inventory</t>
  </si>
  <si>
    <t>Days supply (closing inventory / daily deliveries)</t>
  </si>
  <si>
    <t>Q/Q change (days)</t>
  </si>
  <si>
    <t>Fleet and wholesale (vehicles in thousands)</t>
  </si>
  <si>
    <t>GMNA fleet sales</t>
  </si>
  <si>
    <t>Q3 2026 fleet volume not published before cutoff (unavailable)</t>
  </si>
  <si>
    <t>Fleet % of GM North America deliveries</t>
  </si>
  <si>
    <t>GMNA wholesale vehicle sales</t>
  </si>
  <si>
    <t>3Q26E Y/Y +1.4%: U.S. sell-in proxy (deliveries + inventory build, row below) +2.3% Y/Y, haircut ~1pt for Canada/Mexico and in-transit timing</t>
  </si>
  <si>
    <t>Implied non-U.S. sell-in and timing (wholesale less U.S. sell-in proxy)</t>
  </si>
  <si>
    <t>Revenue build ($ millions)</t>
  </si>
  <si>
    <t>S7-S10 10-Q/10-K Note 2 revenue disaggregation</t>
  </si>
  <si>
    <t>Vehicle, parts and accessories</t>
  </si>
  <si>
    <t>4Q25 = reported 4Q25 segment revenue less used and services (each FY25 less 9M25)</t>
  </si>
  <si>
    <t>Vehicle revenue per wholesale unit ($000)</t>
  </si>
  <si>
    <t>3Q26E: -0.5% Y/Y (MY26 pricing lapped; lower EV mix vs 3Q25 EV tax-credit pull-forward)</t>
  </si>
  <si>
    <t>Used vehicles</t>
  </si>
  <si>
    <t>3Q26E: near 1H26 run-rate</t>
  </si>
  <si>
    <t>Services and other (incl. OnStar / software)</t>
  </si>
  <si>
    <t>3Q26E: Q2 run-rate +3% q/q; digital revenue growing ~20% y/y (Q2 call)</t>
  </si>
  <si>
    <t>GMNA total net sales and revenue</t>
  </si>
  <si>
    <t>Memo: GMNA revenue as reported (segment table)</t>
  </si>
  <si>
    <t>Check: components less reported segment revenue (tol. $5M)</t>
  </si>
  <si>
    <t>Revenue variance vs prior-year quarter (10-Q, $ billions)</t>
  </si>
  <si>
    <t>Volume</t>
  </si>
  <si>
    <t>Mix</t>
  </si>
  <si>
    <t>Price</t>
  </si>
  <si>
    <t>Other (incl. FX, software services)</t>
  </si>
  <si>
    <t>Total revenue variance</t>
  </si>
  <si>
    <t>Profitability ($ millions)</t>
  </si>
  <si>
    <t>S3-S6 segment reconciliation</t>
  </si>
  <si>
    <t>GMNA EBIT-adjusted</t>
  </si>
  <si>
    <t>GMNA EBIT-adjusted margin</t>
  </si>
  <si>
    <t>EBIT-adjusted per wholesale unit ($000)</t>
  </si>
  <si>
    <t>EBIT-adjusted variance vs prior-year quarter (10-Q, $ billions)</t>
  </si>
  <si>
    <t>Cost</t>
  </si>
  <si>
    <t>Other</t>
  </si>
  <si>
    <t>Total EBIT-adjusted variance</t>
  </si>
  <si>
    <t>Warranty expense, net of recoveries (consolidated, $ millions; 10-Q Note "Product Warranty")</t>
  </si>
  <si>
    <t>Warranties issued and assumed</t>
  </si>
  <si>
    <t>4Q25/FY25 three-month detail not retrieved (FY25 10-K note beyond fetched text) - unavailable; 3Q26E ~1H26 run-rate</t>
  </si>
  <si>
    <t>Supplier recoveries accrued</t>
  </si>
  <si>
    <t>Adjustments and other (incl. annual Q3 reassessment)</t>
  </si>
  <si>
    <t>3Q26E: Q2 call - most of remaining $0.5-1.0B FY warranty improvement lands in Q3; 3Q25 included $1.4B adjustments</t>
  </si>
  <si>
    <t>Net warranty expense</t>
  </si>
  <si>
    <t>Net warranty expense % of GMNA revenue</t>
  </si>
  <si>
    <t>3Q26E GMNA EBIT-adjusted bridge vs 3Q25A ($ millions; assumptions in blue)</t>
  </si>
  <si>
    <t>3Q25A GMNA EBIT-adjusted</t>
  </si>
  <si>
    <t>Variable profit per incremental wholesale unit ($000)</t>
  </si>
  <si>
    <t>3Q25 10-Q: Volume variance -$0.6B on -53k wholesale units = ~$11.3k/unit</t>
  </si>
  <si>
    <t>Volume (wholesale change x variable profit)</t>
  </si>
  <si>
    <t>Mix (trucks up, loss-making EVs down)</t>
  </si>
  <si>
    <t>Silverado LD +13%, small SUVs +27%, EV deliveries -66% Y/Y (S18,S19)</t>
  </si>
  <si>
    <t>FY NA pricing ~+0.5%; H1 +$0.6B; smaller in H2 as MY26 increases lap (Q2 call); incentives below industry (S19)</t>
  </si>
  <si>
    <t>Warranty (net warranty expense change)</t>
  </si>
  <si>
    <t>Consolidated warranty change (10-Q product-warranty note) allocated 100% to GMNA; segment split not disclosed in cached sources. GMI J80 ($100M) is a separate run-rate assumption and may overlap any GMI warranty effect. Allocation uncertainty unresolved; not adjusted</t>
  </si>
  <si>
    <t>Tariffs (3Q25 $1.1B vs ~$0.9B guided per quarter)</t>
  </si>
  <si>
    <t>3Q25 10-Q: $1.1B tariffs in cost; Q2 call: Q3/Q4 gross tariff ~ Q2 level (~$0.9B)</t>
  </si>
  <si>
    <t>EV losses / NRV inventory adjustments</t>
  </si>
  <si>
    <t>FY EV loss improvement $1.0-1.5B, $0.5B realized in H1 (Q2 call)</t>
  </si>
  <si>
    <t>Emissions-related regulatory savings</t>
  </si>
  <si>
    <t>FY $0.5-0.75B, $0.4B in H1; smaller in H2 as savings lap (Q2 call)</t>
  </si>
  <si>
    <t>Commodities, logistics and DRAM</t>
  </si>
  <si>
    <t>FY headwind $1.5-2.0B, $0.6B in H1; heavier in H2 (Q2 call)</t>
  </si>
  <si>
    <t>Onshoring / supply-chain investment</t>
  </si>
  <si>
    <t>FY $1.0-1.5B, $0.4B in H1; ramps in H2, largest in Q4 (Q2 call)</t>
  </si>
  <si>
    <t>Engineering, manufacturing and other cost</t>
  </si>
  <si>
    <t>Q2 10-Q: engineering +$0.2B, manufacturing +$0.2B unfavorable</t>
  </si>
  <si>
    <t>Other (software services growth, FX)</t>
  </si>
  <si>
    <t>3Q26E GMNA EBIT-adjusted</t>
  </si>
  <si>
    <t>Segment - GM International (GMI)</t>
  </si>
  <si>
    <t>China joint ventures (vehicles in thousands; equity method, not consolidated)</t>
  </si>
  <si>
    <t>S3-S6 vehicle sales; S21 GM China Q3 2026</t>
  </si>
  <si>
    <t>SAIC-GM (SGMS) deliveries</t>
  </si>
  <si>
    <t>SAIC-GM-Wuling (SGMW) deliveries</t>
  </si>
  <si>
    <t>GM China deliveries - total</t>
  </si>
  <si>
    <t>Memo: GM China deliveries as reported</t>
  </si>
  <si>
    <t>3Q26E column = GM China Q3 2026 sales "more than 358,000" (GM release 2026-10-12, Gasgoo 2026-10-10); JV split estimated at 3Q25 mix</t>
  </si>
  <si>
    <t>Check: JV split less reported total (tol. 2k)</t>
  </si>
  <si>
    <t>SGMW % of China deliveries</t>
  </si>
  <si>
    <t>China JV equity income ($M)</t>
  </si>
  <si>
    <t>Equity income per China delivery ($)</t>
  </si>
  <si>
    <t>3Q26E $200/vehicle: between 3Q25 ($171) and 2Q26 ($232); deliveries -24% Y/Y but NEV mix &gt;60% (S21)</t>
  </si>
  <si>
    <t>GMI wholesale and revenue build</t>
  </si>
  <si>
    <t>GMI wholesale vehicle sales (thousands)</t>
  </si>
  <si>
    <t>3Q26E +3% Y/Y: South America strong in 1H26 (+23% Brazil Q2), Middle East shipping disruption (Q2 call)</t>
  </si>
  <si>
    <t>Services and other</t>
  </si>
  <si>
    <t>GMI total net sales and revenue</t>
  </si>
  <si>
    <t>Memo: GMI revenue as reported (segment table)</t>
  </si>
  <si>
    <t>GMI EBIT-adjusted excl. China equity income</t>
  </si>
  <si>
    <t>3Q26E $100M: ~2Q26 level ($107M); Q2 call flagged Middle East softness. 4Q25 distorted by China restructuring presentation</t>
  </si>
  <si>
    <t>GMI EBIT-adjusted (incl. China equity income)</t>
  </si>
  <si>
    <t>GMI EBIT-adjusted margin</t>
  </si>
  <si>
    <t>Segment - GM Financial (GMF)</t>
  </si>
  <si>
    <t>Retail finance receivables ladder ($ millions)</t>
  </si>
  <si>
    <t>S11-S16 GM Financial earnings releases</t>
  </si>
  <si>
    <t>Opening retail finance receivables</t>
  </si>
  <si>
    <t>+ Retail loan originations</t>
  </si>
  <si>
    <t>3Q26E: between 2Q26 ($10.0B) and 3Q25 ($8.8B); U.S. deliveries -5.5% Y/Y</t>
  </si>
  <si>
    <t>- Collections, charge-offs and other (derived)</t>
  </si>
  <si>
    <t>Closing retail finance receivables</t>
  </si>
  <si>
    <t>Average retail finance receivables</t>
  </si>
  <si>
    <t>Retail run-off rate (% of opening, quarterly)</t>
  </si>
  <si>
    <t>Commercial (dealer floorplan) finance receivables</t>
  </si>
  <si>
    <t>Opening commercial finance receivables</t>
  </si>
  <si>
    <t>+ Net change (derived)</t>
  </si>
  <si>
    <t>Closing commercial finance receivables</t>
  </si>
  <si>
    <t>3Q26E: U.S. dealer inventory +57k units in Q3 (S20) lifts floorplan balances</t>
  </si>
  <si>
    <t>Average commercial finance receivables</t>
  </si>
  <si>
    <t>Leased vehicles, net</t>
  </si>
  <si>
    <t>Opening leased vehicles, net</t>
  </si>
  <si>
    <t>+ Operating lease originations</t>
  </si>
  <si>
    <t>3Q26E: ~1H26 run-rate ($4.0-4.1B)</t>
  </si>
  <si>
    <t>- Depreciation, terminations and other (derived)</t>
  </si>
  <si>
    <t>Closing leased vehicles, net</t>
  </si>
  <si>
    <t>Average leased vehicles, net</t>
  </si>
  <si>
    <t>Lease run-off rate (% of opening, quarterly)</t>
  </si>
  <si>
    <t>Earning assets</t>
  </si>
  <si>
    <t>Ending earning assets</t>
  </si>
  <si>
    <t>Memo: ending earning assets as reported</t>
  </si>
  <si>
    <t>Check: ending earning assets less reported (tol. $2M)</t>
  </si>
  <si>
    <t>Average finance receivables</t>
  </si>
  <si>
    <t>Average earning assets</t>
  </si>
  <si>
    <t>Memo: average earning assets as reported</t>
  </si>
  <si>
    <t>Check: average earning assets less reported (tol. $2M)</t>
  </si>
  <si>
    <t>GM Financial revenue ($ millions)</t>
  </si>
  <si>
    <t>S7-S10 GM 10-Q/10-K Note 2 (GM Financial column)</t>
  </si>
  <si>
    <t>Finance charge income</t>
  </si>
  <si>
    <t>Finance charge yield (annualized, % of avg finance receivables)</t>
  </si>
  <si>
    <t>Leased vehicle income</t>
  </si>
  <si>
    <t>Leased vehicle income yield (annualized)</t>
  </si>
  <si>
    <t>Other income (incl. insurance, investment income)</t>
  </si>
  <si>
    <t>4Q25 = reported GMF revenue less finance charge and leased vehicle income (each FY25 less 9M25)</t>
  </si>
  <si>
    <t>Other income yield on avg earning assets (annualized)</t>
  </si>
  <si>
    <t>GM Financial total revenue (before eliminations)</t>
  </si>
  <si>
    <t>Memo: GM Financial revenue as reported (segment table)</t>
  </si>
  <si>
    <t>Check: components less reported (tol. $5M)</t>
  </si>
  <si>
    <t>GM Financial costs and EBT ($ millions)</t>
  </si>
  <si>
    <t>Operating expenses</t>
  </si>
  <si>
    <t>Operating expense ratio (annualized, % of AEA)</t>
  </si>
  <si>
    <t>Leased vehicle expenses (incl. depreciation)</t>
  </si>
  <si>
    <t>Leased vehicle expenses % of leased vehicle income</t>
  </si>
  <si>
    <t>Provision for loan losses</t>
  </si>
  <si>
    <t>Provision rate (annualized, % of avg retail receivables)</t>
  </si>
  <si>
    <t>Interest expense</t>
  </si>
  <si>
    <t>Interest expense % of AEA (annualized cost of funds proxy)</t>
  </si>
  <si>
    <t>Total costs and expenses</t>
  </si>
  <si>
    <t>Equity income</t>
  </si>
  <si>
    <t>GM Financial EBT-adjusted</t>
  </si>
  <si>
    <t>EBT margin (% of revenue)</t>
  </si>
  <si>
    <t>Memo: GM Financial EBT-adjusted as reported (GM segment)</t>
  </si>
  <si>
    <t>Check: EBT less reported (tol. $5M)</t>
  </si>
  <si>
    <t>Income Statement</t>
  </si>
  <si>
    <t>Income statement as reported ($ millions)</t>
  </si>
  <si>
    <t>S3-S6 combining income statements; 4Q25 = FY25 less 9M25 where no three-month statement</t>
  </si>
  <si>
    <t>Automotive net sales and revenue</t>
  </si>
  <si>
    <t>GM Financial net sales and revenue</t>
  </si>
  <si>
    <t>Automotive and other cost of sales</t>
  </si>
  <si>
    <t>3Q26E residual, not modelled: = total costs (J20) less GMF expenses (J16) and SG&amp;A (J17); J20 = revenue less operating income (J21). Absorbs non-operating inputs (J33, J36) and special items</t>
  </si>
  <si>
    <t>GM Financial interest, operating and other expenses</t>
  </si>
  <si>
    <t>Automotive and other SG&amp;A</t>
  </si>
  <si>
    <t>3Q26E: ~1H26 run-rate ($2.07-2.20B)</t>
  </si>
  <si>
    <t>Operating income (loss)</t>
  </si>
  <si>
    <t>3Q26E residual: backed out of PBT (J40+J30-J33-J36), i.e. EBIT-adjusted build less special items and non-operating items; not an independent operating forecast</t>
  </si>
  <si>
    <t>Operating margin</t>
  </si>
  <si>
    <t>Automotive gross profit (derived: auto revenue less auto cost of sales)</t>
  </si>
  <si>
    <t>Not an issuer-defined metric; GM does not report gross profit. 3Q26E derived from residual cost of sales (K15) - non-independent output</t>
  </si>
  <si>
    <t>Automotive gross margin (derived)</t>
  </si>
  <si>
    <t>3Q26E derived from residual cost of sales (K15); non-independent output, not a modelled margin driver</t>
  </si>
  <si>
    <t>Automotive interest expense</t>
  </si>
  <si>
    <t>Interest income and other non-operating income, net</t>
  </si>
  <si>
    <t>3Q26E: ~2Q26 level; lower automotive cash</t>
  </si>
  <si>
    <t>Equity income (loss)</t>
  </si>
  <si>
    <t>3Q26E: China JV (GMI tab) + GMF equity income + other</t>
  </si>
  <si>
    <t>of which: other equity income (Ultium, other affiliates; derived)</t>
  </si>
  <si>
    <t>Historical = reported equity income less China JV and GMF equity income (incl. presentation differences); 3Q26E nil (Ultium equity income insignificant in 1H26)</t>
  </si>
  <si>
    <t>Income (loss) before income taxes</t>
  </si>
  <si>
    <t>Income tax expense (benefit)</t>
  </si>
  <si>
    <t>Effective tax rate</t>
  </si>
  <si>
    <t>Net income (loss)</t>
  </si>
  <si>
    <t>Net loss (income) attributable to noncontrolling interests</t>
  </si>
  <si>
    <t>3Q26E: ~2Q26 (-$48M) incl. GMF preferred dividends</t>
  </si>
  <si>
    <t>Net income (loss) attributable to stockholders</t>
  </si>
  <si>
    <t>Net income margin (attributable to stockholders)</t>
  </si>
  <si>
    <t>Adjustments to arrive at NI to common stockholders</t>
  </si>
  <si>
    <t>1Q25 incl. $593M return from preferred shareholders (Cruise); 3Q26E ~recent quarterly average. FY25 483 (S4) vs quarter sum 497 unresolved - see row 156</t>
  </si>
  <si>
    <t>Net income (loss) attributable to common stockholders</t>
  </si>
  <si>
    <t>Weighted-average shares - basic (millions)</t>
  </si>
  <si>
    <t>Weighted-average shares - diluted (millions)</t>
  </si>
  <si>
    <t>Basic EPS</t>
  </si>
  <si>
    <t>Diluted EPS (GAAP)</t>
  </si>
  <si>
    <t>Memo: NI attributable to stockholders as reported</t>
  </si>
  <si>
    <t>Check: NI to stockholders less reported (tol. $5M)</t>
  </si>
  <si>
    <t>Memo: CapIQ GAAP diluted EPS actual (Inputs)</t>
  </si>
  <si>
    <t>Check: diluted EPS less CapIQ GAAP actual (tol. $0.01 for $1-3M line-item rounding)</t>
  </si>
  <si>
    <t>Check: EPS = NI to common / diluted shares</t>
  </si>
  <si>
    <t>EBIT-adjusted reconciliation (one row per adjustment, $ millions)</t>
  </si>
  <si>
    <t>S3-S6 reconciliation of NI to EBIT-adjusted</t>
  </si>
  <si>
    <t>Net income attributable to stockholders</t>
  </si>
  <si>
    <t>+ Income tax expense</t>
  </si>
  <si>
    <t>+ Automotive interest expense</t>
  </si>
  <si>
    <t>Automotive interest income (as used in EBIT-adjusted)</t>
  </si>
  <si>
    <t>3Q26E: ~2Q26 ($183M) on lower automotive cash</t>
  </si>
  <si>
    <t>- Automotive interest income</t>
  </si>
  <si>
    <t>+ EV strategic realignment (incl. Ultium)</t>
  </si>
  <si>
    <t>3Q26E: CFO said material EV charges substantially complete but true-ups possible (Q2 call) - $150M assumed</t>
  </si>
  <si>
    <t>+ China restructuring actions</t>
  </si>
  <si>
    <t>3Q26E: $50M assumed (charges in each of 2Q25, 4Q25, 1Q26, 2Q26)</t>
  </si>
  <si>
    <t>+ Legal matters (incl. OnStar Smart Driver)</t>
  </si>
  <si>
    <t>+ Separation costs / restructuring actions</t>
  </si>
  <si>
    <t>+ Cruise restructuring</t>
  </si>
  <si>
    <t>+ GMI exit costs / plant wind-down</t>
  </si>
  <si>
    <t>+ Headquarters relocation</t>
  </si>
  <si>
    <t>Total adjustments</t>
  </si>
  <si>
    <t>EBIT-adjusted</t>
  </si>
  <si>
    <t>EBIT-adjusted (GM non-GAAP) is not EBITDA; issuer-defined EBITDA not applicable (not separately disclosed by GM). CapIQ EBITDA (Inputs!C50) unused</t>
  </si>
  <si>
    <t>EBIT-adjusted margin</t>
  </si>
  <si>
    <t>EBIT-adjusted by segment ($ millions)</t>
  </si>
  <si>
    <t>GM North America</t>
  </si>
  <si>
    <t>GM International</t>
  </si>
  <si>
    <t>Cruise</t>
  </si>
  <si>
    <t>GM Financial (EBT-adjusted)</t>
  </si>
  <si>
    <t>Total operating segments</t>
  </si>
  <si>
    <t>Corporate and eliminations</t>
  </si>
  <si>
    <t>3Q26E: between 1Q26 (-$219M) and 2Q26 (-$298M)</t>
  </si>
  <si>
    <t>EBIT-adjusted (segment build)</t>
  </si>
  <si>
    <t>Check: reconciliation EBIT-adjusted less segment build (tol. $5M)</t>
  </si>
  <si>
    <t>GAAP to non-GAAP EPS bridge (EPS-diluted-adjusted = consensus basis)</t>
  </si>
  <si>
    <t>S3-S6 reconciliation of diluted EPS to EPS-diluted-adjusted</t>
  </si>
  <si>
    <t>Net income attributable to common stockholders - diluted</t>
  </si>
  <si>
    <t>+ Adjustments (EBIT-adjusted items above)</t>
  </si>
  <si>
    <t>- Tax effect on adjustments</t>
  </si>
  <si>
    <t>Tax effect as % of adjustments</t>
  </si>
  <si>
    <t>3Q26E 15%: China/EV items carry limited tax benefit (2Q26 20%, 3Q25 28%)</t>
  </si>
  <si>
    <t>+ Return from preferred shareholders (Cruise)</t>
  </si>
  <si>
    <t>EPS-diluted-adjusted numerator (adjusted NI to common)</t>
  </si>
  <si>
    <t>Diluted shares - adjusted basis (millions)</t>
  </si>
  <si>
    <t>EPS-diluted-adjusted (normalized, consensus basis)</t>
  </si>
  <si>
    <t>Per share: diluted EPS (GAAP)</t>
  </si>
  <si>
    <t>Per share: adjustments</t>
  </si>
  <si>
    <t>Per share: tax effect</t>
  </si>
  <si>
    <t>Per share: return from preferred shareholders</t>
  </si>
  <si>
    <t>Per share: share-count basis difference (GAAP vs adjusted)</t>
  </si>
  <si>
    <t>Non-zero where the GAAP numerator is divided by a different share count (4Q25 net loss: basic 925M vs 949M adjusted)</t>
  </si>
  <si>
    <t>Memo: CapIQ normalized EPS actual (Inputs)</t>
  </si>
  <si>
    <t>Check: EPS-diluted-adjusted less CapIQ normalized actual (tol. $0.01 for line-item rounding)</t>
  </si>
  <si>
    <t>Check: EPS-adjusted = adjusted NI / adjusted diluted shares</t>
  </si>
  <si>
    <t>ETR-adjusted ($ millions)</t>
  </si>
  <si>
    <t>Income before income taxes</t>
  </si>
  <si>
    <t>+ Adjustments</t>
  </si>
  <si>
    <t>Adjusted income before income taxes</t>
  </si>
  <si>
    <t>Adjusted income tax expense</t>
  </si>
  <si>
    <t>of which: tax on adjustments</t>
  </si>
  <si>
    <t>ETR-adjusted</t>
  </si>
  <si>
    <t>3Q26E 18.5%: 6M26 18.3%, FY25 18.9%, 3Q25 19.8%</t>
  </si>
  <si>
    <t>FY25 annual reconciliation to quarters (FY less sum of 1Q25-4Q25) - unresolved, excluded from Cover PASS</t>
  </si>
  <si>
    <t>NI attributable to stockholders</t>
  </si>
  <si>
    <t>Adjusted NI to common (EPS-adj numerator)</t>
  </si>
  <si>
    <t>Unresolved reporting non-additivity (S4: rows/columns may not add due to rounding); YTD allocation explanation not source-confirmed. Not forced to zero; excluded from Cover!C39 and counted on Cover row 41</t>
  </si>
  <si>
    <t>Issuer-reported 4Q25 / FY25 EPS memo (S4, exact as reported)</t>
  </si>
  <si>
    <t>Reported values from S4 GM Q4 2025 release, Basic and Diluted EPS table and EPS-diluted-adjusted reconciliation (source: 'certain columns and rows may not add due to rounding'); derived rows above are component sums and differ by $1M from rounding. Memo only - no forecast dependency</t>
  </si>
  <si>
    <t>Reported: NI attributable to stockholders</t>
  </si>
  <si>
    <t>Reported: adjustments to NI to common</t>
  </si>
  <si>
    <t>Reported: NI attributable to common stockholders</t>
  </si>
  <si>
    <t>Reported: weighted-avg diluted shares (millions)</t>
  </si>
  <si>
    <t>Reported: diluted EPS (GAAP, $)</t>
  </si>
  <si>
    <t>Reported: EPS-diluted-adjusted numerator</t>
  </si>
  <si>
    <t>Reported: EPS-diluted-adjusted ($)</t>
  </si>
  <si>
    <t>Derived less reported: NI to common (rounding)</t>
  </si>
  <si>
    <t>S4 reports Q4 -3,330 / FY 3,180; model component sums give -3,329 / 3,179</t>
  </si>
  <si>
    <t>Derived less reported: adjusted NI (rounding)</t>
  </si>
  <si>
    <t>S4 reports Q4 2,378 / FY 10,311; model component sums give 2,379 / 10,310</t>
  </si>
  <si>
    <t>Unresolved: sum of quarterly adjustments less FY reported</t>
  </si>
  <si>
    <t>Unresolved source/allocation difference: quarters 577/-30/-30/-20 sum to 497 vs FY 483 reported (S4). 4Q25 -20 kept as reported; no balancing item invented; adjusted-NI FY gap (I144 = -19) likewise unresolved</t>
  </si>
  <si>
    <t>Balance Sheet</t>
  </si>
  <si>
    <t>Assets ($ millions)</t>
  </si>
  <si>
    <t>S3-S6 combining balance sheets (Combined column); 3Q26E rolled forward from Cash Flow Statement</t>
  </si>
  <si>
    <t>Cash and cash equivalents</t>
  </si>
  <si>
    <t>Marketable debt securities</t>
  </si>
  <si>
    <t>Accounts and notes receivable, net</t>
  </si>
  <si>
    <t>GM Financial receivables, net - current</t>
  </si>
  <si>
    <t>Inventories</t>
  </si>
  <si>
    <t>Other current assets</t>
  </si>
  <si>
    <t>Total current assets</t>
  </si>
  <si>
    <t>GM Financial receivables, net - non-current</t>
  </si>
  <si>
    <t>Equity in net assets of nonconsolidated affiliates</t>
  </si>
  <si>
    <t>Property, net</t>
  </si>
  <si>
    <t>Goodwill and intangible assets, net</t>
  </si>
  <si>
    <t>Equipment on operating leases, net</t>
  </si>
  <si>
    <t>Linked to GM Financial leased-vehicle ladder (single source); CF lease lines in 3Q26E are derived from the same ladder</t>
  </si>
  <si>
    <t>Deferred income taxes</t>
  </si>
  <si>
    <t>Other assets</t>
  </si>
  <si>
    <t>Total non-current assets</t>
  </si>
  <si>
    <t>Total assets</t>
  </si>
  <si>
    <t>Liabilities ($ millions)</t>
  </si>
  <si>
    <t>Accounts payable (principally trade)</t>
  </si>
  <si>
    <t>Short-term debt - Automotive</t>
  </si>
  <si>
    <t>Short-term debt - GM Financial</t>
  </si>
  <si>
    <t>Accrued liabilities</t>
  </si>
  <si>
    <t>Total current liabilities</t>
  </si>
  <si>
    <t>Long-term debt - Automotive</t>
  </si>
  <si>
    <t>Long-term debt - GM Financial</t>
  </si>
  <si>
    <t>Postretirement benefits other than pensions</t>
  </si>
  <si>
    <t>Pensions</t>
  </si>
  <si>
    <t>Other liabilities</t>
  </si>
  <si>
    <t>Total non-current liabilities</t>
  </si>
  <si>
    <t>Total liabilities</t>
  </si>
  <si>
    <t>Equity ($ millions)</t>
  </si>
  <si>
    <t>Common stock</t>
  </si>
  <si>
    <t>Additional paid-in capital</t>
  </si>
  <si>
    <t>Retained earnings</t>
  </si>
  <si>
    <t>3Q26E simplification: full buyback (CFS J34) charged to retained earnings and APIC (J41) held flat; GM historically splits repurchases between APIC and retained earnings. Balance sheet still balances; no EPS impact</t>
  </si>
  <si>
    <t>Accumulated other comprehensive loss</t>
  </si>
  <si>
    <t>Total stockholders' equity</t>
  </si>
  <si>
    <t>Noncontrolling interests (incl. GMF preferred stock)</t>
  </si>
  <si>
    <t>Total equity</t>
  </si>
  <si>
    <t>Total liabilities and equity</t>
  </si>
  <si>
    <t>Check: assets - liabilities - equity = 0 (tol. $5M; reported line items sum with rounding)</t>
  </si>
  <si>
    <t>Memo: total assets as reported</t>
  </si>
  <si>
    <t>Check: total assets less reported (tol. $2M)</t>
  </si>
  <si>
    <t>Cash reconciliation to Cash Flow Statement</t>
  </si>
  <si>
    <t>Restricted cash (in other current and other assets)</t>
  </si>
  <si>
    <t>10-Q cash reconciliation tables (S7,S9,S10); 1Q25/2Q25 derived as CF ending cash less BS cash (2025 10-Qs not retrieved)</t>
  </si>
  <si>
    <t>Cash, cash equivalents and restricted cash</t>
  </si>
  <si>
    <t>Automotive debt (short + long term)</t>
  </si>
  <si>
    <t>GM Financial debt (short + long term)</t>
  </si>
  <si>
    <t>Ratios</t>
  </si>
  <si>
    <t>Current ratio (x)</t>
  </si>
  <si>
    <t>Q/Q change (x)</t>
  </si>
  <si>
    <t>Cash Flow Statement</t>
  </si>
  <si>
    <t>Quarterly cash flow statement ($ millions; quarters derived from year-to-date as reported below)</t>
  </si>
  <si>
    <t>S3-S6 combining cash flow statements</t>
  </si>
  <si>
    <t>Depreciation and impairment of equipment on operating leases</t>
  </si>
  <si>
    <t>Depreciation, amortization and impairment of property</t>
  </si>
  <si>
    <t>FX remeasurement and transaction (gains) losses</t>
  </si>
  <si>
    <t>3Q26E forecast assumption: nil (not modelled)</t>
  </si>
  <si>
    <t>Undistributed earnings of nonconsolidated affiliates</t>
  </si>
  <si>
    <t>Pension contributions and OPEB payments</t>
  </si>
  <si>
    <t>Pension and OPEB (income) expense, net</t>
  </si>
  <si>
    <t>Provision (benefit) for deferred taxes</t>
  </si>
  <si>
    <t>Change in other operating assets and liabilities</t>
  </si>
  <si>
    <t>3Q26E forecast assumption: working capital change nil (not modelled)</t>
  </si>
  <si>
    <t>Net cash provided by operating activities</t>
  </si>
  <si>
    <t>3Q26E mechanical output: NI + D&amp;A + pension items, with FX, affiliate earnings, deferred tax and working capital assumed nil</t>
  </si>
  <si>
    <t>Expenditures for property</t>
  </si>
  <si>
    <t>AFS marketable securities, acquisitions</t>
  </si>
  <si>
    <t>AFS marketable securities, liquidations</t>
  </si>
  <si>
    <t>Purchases of finance receivables</t>
  </si>
  <si>
    <t>Principal collections and recoveries on finance receivables</t>
  </si>
  <si>
    <t>Proceeds from sale of finance receivables</t>
  </si>
  <si>
    <t>Purchases of leased vehicles</t>
  </si>
  <si>
    <t>Proceeds from termination of leased vehicles</t>
  </si>
  <si>
    <t>Other investing activities</t>
  </si>
  <si>
    <t>Net cash used in investing activities</t>
  </si>
  <si>
    <t>Net increase (decrease) in short-term debt</t>
  </si>
  <si>
    <t>Proceeds from issuance of debt (&gt;3 months)</t>
  </si>
  <si>
    <t>Payments on debt (&gt;3 months)</t>
  </si>
  <si>
    <t>Payments to purchase common stock</t>
  </si>
  <si>
    <t>Issuance (redemption) of subsidiary stock</t>
  </si>
  <si>
    <t>Dividends paid</t>
  </si>
  <si>
    <t>Other financing activities</t>
  </si>
  <si>
    <t>Net cash provided by (used in) financing activities</t>
  </si>
  <si>
    <t>Effect of exchange rate changes on cash</t>
  </si>
  <si>
    <t>Net increase (decrease) in cash, equivalents and restricted cash</t>
  </si>
  <si>
    <t>Cash, equivalents and restricted cash - beginning</t>
  </si>
  <si>
    <t>Cash, equivalents and restricted cash - ending</t>
  </si>
  <si>
    <t>Check: ending cash less YTD ending cash as reported (tol. $5M rounding)</t>
  </si>
  <si>
    <t>Check: change in cash ties to Balance Sheet (BS cash + restricted cash less CF ending cash; tol. $5M)</t>
  </si>
  <si>
    <t>Check: CF net change less change in BS cash incl. restricted (tol. $5M)</t>
  </si>
  <si>
    <t>Free cash flow ($ millions)</t>
  </si>
  <si>
    <t>S3-S6 adjusted automotive free cash flow reconciliation</t>
  </si>
  <si>
    <t>Net automotive cash provided by operating activities</t>
  </si>
  <si>
    <t>3Q26E: consolidated CFO less GM Financial operating cash flow assumption</t>
  </si>
  <si>
    <t>Memo 3Q26E: GM Financial operating cash flow (assumption)</t>
  </si>
  <si>
    <t>Assumption $1.7B (judgment) vs rough half-year anchor of ~$1.79B/quarter (GMF 6M26 operating cash flow $3.58B / 2, S6); input is not an exact $1.8B output</t>
  </si>
  <si>
    <t>Automotive capital expenditures</t>
  </si>
  <si>
    <t>Capex guidance FY26 $10-12B; 1H26 $3.4B</t>
  </si>
  <si>
    <t>Add: Buick dealer strategy</t>
  </si>
  <si>
    <t>Add: EV strategic realignment</t>
  </si>
  <si>
    <t>3Q26E nil: FY26 guided FCF adjustments of $4.1B were already reached in 1H26 (S6)</t>
  </si>
  <si>
    <t>Add: separation costs / restructuring actions</t>
  </si>
  <si>
    <t>Add: China restructuring actions</t>
  </si>
  <si>
    <t>Add: GMI exit costs / plant wind-down</t>
  </si>
  <si>
    <t>Less: Ultium strategic realignment</t>
  </si>
  <si>
    <t>Add: legal matters</t>
  </si>
  <si>
    <t>Total adjustments (management actions)</t>
  </si>
  <si>
    <t>Adjusted automotive free cash flow (issuer-defined)</t>
  </si>
  <si>
    <t>3Q26E mechanical: automotive OCF (J48) less capex (J50), management-action adjustments assumed nil; not an independent FCF forecast</t>
  </si>
  <si>
    <t>Memo: adjusted automotive FCF as reported</t>
  </si>
  <si>
    <t>Check: adjusted automotive FCF less reported (tol. $3M)</t>
  </si>
  <si>
    <t>Consolidated CFO less capex (derived, not issuer-defined)</t>
  </si>
  <si>
    <t>Year-to-date cash flow statement as reported ($ millions; 1Q=3M, 2Q=6M, 3Q=9M, 4Q=FY)</t>
  </si>
  <si>
    <t>Cash, equivalents and restricted cash - beginning of year</t>
  </si>
  <si>
    <t>Cash, equivalents and restricted cash - end of period</t>
  </si>
  <si>
    <t>Memo: net cash from operating activities (YTD as reported)</t>
  </si>
  <si>
    <t>Check: sum of YTD operating lines less reported YTD CFO (tol. $3M)</t>
  </si>
  <si>
    <t>Geo - revenue and deliveries by geography</t>
  </si>
  <si>
    <t>Revenue by geography ($ millions)</t>
  </si>
  <si>
    <t>GMNA = North America; GMI = International (incl. South America, Korea, Middle East); GM Financial global</t>
  </si>
  <si>
    <t>North America (GMNA)</t>
  </si>
  <si>
    <t>International (GMI)</t>
  </si>
  <si>
    <t>Corporate, Cruise and automotive eliminations (not allocated)</t>
  </si>
  <si>
    <t>GM Financial (North America and International, not split quarterly)</t>
  </si>
  <si>
    <t>Check: geographic revenue less Revenue summary total</t>
  </si>
  <si>
    <t>Wholesale volume generated outside the U.S. (% YTD as disclosed)</t>
  </si>
  <si>
    <t>Disclosed only on a year-to-date basis: 9M25 26.4%, FY25 27.5%, 3M26 24.9%, 6M26 26.8%</t>
  </si>
  <si>
    <t>GM total vehicle sales (deliveries) by region (vehicles in thousands; incl. China JVs at 100%)</t>
  </si>
  <si>
    <t>S3-S6 vehicle sales tables; 3Q26E only where observed before cutoff</t>
  </si>
  <si>
    <t>GM deliveries - United States</t>
  </si>
  <si>
    <t>GM deliveries - Other North America</t>
  </si>
  <si>
    <t>GM deliveries - China</t>
  </si>
  <si>
    <t>GM deliveries - Other Asia/Pacific, Middle East and Africa</t>
  </si>
  <si>
    <t>GM deliveries - Brazil</t>
  </si>
  <si>
    <t>GM deliveries - Other South America</t>
  </si>
  <si>
    <t>GM deliveries - Europe</t>
  </si>
  <si>
    <t>GM deliveries - worldwide</t>
  </si>
  <si>
    <t>Memo: GM worldwide deliveries as reported</t>
  </si>
  <si>
    <t>Check: regions less reported worldwide (tol. 3k rounding)</t>
  </si>
  <si>
    <t>Industry vehicle sales by region (thousands)</t>
  </si>
  <si>
    <t>Industry - United States</t>
  </si>
  <si>
    <t>Industry - Other North America</t>
  </si>
  <si>
    <t>Industry - China</t>
  </si>
  <si>
    <t>FY25 (col I) as recorded from FY source tables vs sum of quarters as originally reported: China +34k, Other APMEA -106k, Europe +120k (U.S. +21k, GMNA tab). Source revision / non-additivity caveat; FY not re-derived; FY shares use FY totals</t>
  </si>
  <si>
    <t>Industry - Other Asia/Pacific, Middle East and Africa</t>
  </si>
  <si>
    <t>FY25 less sum of quarters -106k: source revision / non-additivity caveat (see K55)</t>
  </si>
  <si>
    <t>Industry - Brazil</t>
  </si>
  <si>
    <t>Industry - Other South America</t>
  </si>
  <si>
    <t>Industry - Europe</t>
  </si>
  <si>
    <t>FY25 less sum of quarters +120k: source revision / non-additivity caveat (see K55)</t>
  </si>
  <si>
    <t>GM market share by region</t>
  </si>
  <si>
    <t>GM share - United States</t>
  </si>
  <si>
    <t>GM share - Other North America</t>
  </si>
  <si>
    <t>GM share - China</t>
  </si>
  <si>
    <t>GM share - Other Asia/Pacific, Middle East and Africa</t>
  </si>
  <si>
    <t>GM share - Brazil</t>
  </si>
  <si>
    <t>GM share - Other South America</t>
  </si>
  <si>
    <t>GM share - Europe</t>
  </si>
  <si>
    <t>Share Count</t>
  </si>
  <si>
    <t>Weighted-average shares (millions)</t>
  </si>
  <si>
    <t>S3-S6 EPS tables</t>
  </si>
  <si>
    <t>Weighted-average common shares - basic</t>
  </si>
  <si>
    <t>3Q26E = Jul 10 2026 10-Q cover-page count (877.451541M, S10; a cover-date count, not a Jun 30 or weighted figure) less half-weighted assumed $1.5B buyback at $78 plus 1M issuance. Timing/precision uncertainty: rows 43-50</t>
  </si>
  <si>
    <t>Dilutive effect of PSUs/RSUs/options</t>
  </si>
  <si>
    <t>Weighted-average common shares - diluted (GAAP)</t>
  </si>
  <si>
    <t>4Q25 GAAP diluted = basic because of the net loss</t>
  </si>
  <si>
    <t>Diluted shares - EPS-diluted-adjusted basis</t>
  </si>
  <si>
    <t>4Q25: 949M incl. dilutive securities for EPS-diluted-adjusted (S4 reconciliation)</t>
  </si>
  <si>
    <t>Buybacks and issuance</t>
  </si>
  <si>
    <t>Share repurchases ($M)</t>
  </si>
  <si>
    <t>3Q26E $1.5B: $3.5B authorization remaining at end-Q2; Q2 pace $2.0B; CFO "expect to continue to consistently repurchase" (S17)</t>
  </si>
  <si>
    <t>Shares repurchased (millions)</t>
  </si>
  <si>
    <t>2Q26: 24.99M (10-Q); 1Q26: 36M first-half total less 25M in Q2 (Q2 call)</t>
  </si>
  <si>
    <t>Average repurchase price ($/share)</t>
  </si>
  <si>
    <t>3Q26E $78: GM traded ~$72-85 in Q3 2026 (S30 market-cap history)</t>
  </si>
  <si>
    <t>Shares outstanding at latest filing cover date (millions)</t>
  </si>
  <si>
    <t>Cover-page counts: 10-K (Jan 15 2026), 10-Q Q1 (Apr 17 2026), 10-Q Q2 (Jul 10 2026)</t>
  </si>
  <si>
    <t>3Q26E share count build</t>
  </si>
  <si>
    <t>Starting shares outstanding (Jul 10 2026 10-Q cover)</t>
  </si>
  <si>
    <t>877,451,541 shares as of July 10, 2026 (Q2 10-Q cover, S10), kept at source precision. Timing caveat: any repurchases Jul 1-10 may be reflected both in this count and in the half-weighted Q3 buyback deduction</t>
  </si>
  <si>
    <t>Weighting of in-quarter repurchases (mid-quarter)</t>
  </si>
  <si>
    <t>Assumption: repurchases spread evenly through the quarter (mid-quarter weighting)</t>
  </si>
  <si>
    <t>Equity-compensation issuance (millions)</t>
  </si>
  <si>
    <t>Assumption: net equity-compensation issuance; diluted adds 14M dilutive securities (J13 = 2Q26)</t>
  </si>
  <si>
    <t>Diluted shares behind forecast EPS (millions)</t>
  </si>
  <si>
    <t>Dividends</t>
  </si>
  <si>
    <t>Dividend declared per common share ($)</t>
  </si>
  <si>
    <t>Share-count sensitivity (disclosure only; not applied to forecast EPS)</t>
  </si>
  <si>
    <t>Back-test 1Q26: method less reported basic (millions)</t>
  </si>
  <si>
    <t>Same cover-count method applied to 1Q26 (Jan 15 2026 cover count, half-weighted Q1 buyback, +1M) vs reported weighted basic 911M</t>
  </si>
  <si>
    <t>Back-test 2Q26: method less reported basic (millions)</t>
  </si>
  <si>
    <t>Same method applied to 2Q26 (Apr 17 2026 cover count) vs reported weighted basic 896M; historical bias disclosed as uncertainty, not a correction factor</t>
  </si>
  <si>
    <t>End-Q2 2026 diluted share count per Q2 call (millions)</t>
  </si>
  <si>
    <t>S17 Q2 2026 call (Jul 21 2026): 'We ended the second quarter with a diluted share count of 893 million' (rounded; period-end, not weighted)</t>
  </si>
  <si>
    <t>Alt. diluted: end-Q2 count less half Q3 buyback + issuance</t>
  </si>
  <si>
    <t>EPS-diluted-adjusted if 2Q26 back-test bias recurred ($)</t>
  </si>
  <si>
    <t>Sensitivities only. Forecast keeps the Jul 10 cover anchor (J34); no retuning toward any alternative</t>
  </si>
  <si>
    <t>EPS-diluted-adjusted if 1Q26 back-test bias recurred ($)</t>
  </si>
  <si>
    <t>EPS-diluted-adjusted on end-Q2 diluted anchor ($)</t>
  </si>
  <si>
    <t>Guidance</t>
  </si>
  <si>
    <t>Guidance log (one row per guidance item)</t>
  </si>
  <si>
    <t>S3-S6 releases; S17 Q2 call</t>
  </si>
  <si>
    <t>Date</t>
  </si>
  <si>
    <t>Low</t>
  </si>
  <si>
    <t>High</t>
  </si>
  <si>
    <t>Midpoint</t>
  </si>
  <si>
    <t>Actual</t>
  </si>
  <si>
    <t>Beat / miss</t>
  </si>
  <si>
    <t>Net income attributable to stockholders ($B)</t>
  </si>
  <si>
    <t>FY2025</t>
  </si>
  <si>
    <t>Miss (below range)</t>
  </si>
  <si>
    <t>FY25 actuals for NI to stockholders, EPS-diluted and EPS-diluted-adjusted link to issuer-reported S4 values (Income Statement rows 147/151/153), not $1M-rounded component reconstructions</t>
  </si>
  <si>
    <t>EBIT-adjusted ($B)</t>
  </si>
  <si>
    <t>Beat (above range)</t>
  </si>
  <si>
    <t>Automotive operating cash flow ($B)</t>
  </si>
  <si>
    <t>In range, below mid</t>
  </si>
  <si>
    <t>Adjusted automotive free cash flow ($B)</t>
  </si>
  <si>
    <t>EPS-diluted ($)</t>
  </si>
  <si>
    <t>EPS-diluted-adjusted ($)</t>
  </si>
  <si>
    <t>In range, at/above mid</t>
  </si>
  <si>
    <t>FY2026</t>
  </si>
  <si>
    <t>Pending</t>
  </si>
  <si>
    <t>Pending (FY26 not reported)</t>
  </si>
  <si>
    <t>Capital spending incl. battery JVs ($B)</t>
  </si>
  <si>
    <t>Gross tariff costs ($B)</t>
  </si>
  <si>
    <t>Capital expenditures ($B)</t>
  </si>
  <si>
    <t>GM Financial EBT-adjusted ($B, Q2 call)</t>
  </si>
  <si>
    <t>Gross tariff costs ($B, Q2 call)</t>
  </si>
  <si>
    <t>Guidance-implied second half 2026 (context only; GM gives no quarterly guidance)</t>
  </si>
  <si>
    <t>Implied 2H26 EBIT-adjusted at Jul-21 midpoint ($B)</t>
  </si>
  <si>
    <t>Implied 2H26 EPS-adj, Jul-21 mid ($; approx. per-share sum)</t>
  </si>
  <si>
    <t>Approximation: FY guidance midpoint less 1Q26+2Q26 per-share EPS; diluted shares differ by quarter, so this is not a share-weighted FY calculation</t>
  </si>
  <si>
    <t>Model 3Q26E EBIT-adjusted share of implied 2H26 midpoint</t>
  </si>
  <si>
    <t>FY26 EPS-adj, sum of quarterly EPS (= mid by construction)</t>
  </si>
  <si>
    <t>Equality by construction: G118+H118+J49 = G42 algebraically; not a genuine FY weighted-share forecast or independent check. No 4Q26 assumption is made</t>
  </si>
  <si>
    <t>Sources</t>
  </si>
  <si>
    <t>URL or file</t>
  </si>
  <si>
    <t>Source register</t>
  </si>
  <si>
    <t>ID</t>
  </si>
  <si>
    <t>Pub. date</t>
  </si>
  <si>
    <t>Publisher</t>
  </si>
  <si>
    <t>What it feeds</t>
  </si>
  <si>
    <t>S1</t>
  </si>
  <si>
    <t>S&amp;P CapIQ</t>
  </si>
  <si>
    <t>Inputs history rows; revenue/EPS checks; beat calibration</t>
  </si>
  <si>
    <t>GM_history.csv</t>
  </si>
  <si>
    <t>S2</t>
  </si>
  <si>
    <t>Inputs summary row; Cover consensus at cutoff</t>
  </si>
  <si>
    <t>GM_consensus.json</t>
  </si>
  <si>
    <t>S3</t>
  </si>
  <si>
    <t>GM IR</t>
  </si>
  <si>
    <t>3Q25A statements, segments, vehicle sales, guidance</t>
  </si>
  <si>
    <t>https://investor.gm.com/static-files/f3c86336-c7f8-46d3-a390-5e09198a9ccd</t>
  </si>
  <si>
    <t>S4</t>
  </si>
  <si>
    <t>4Q25A/FY25A statements, 2026 guidance</t>
  </si>
  <si>
    <t>https://investor.gm.com/static-files/36170429-ef23-4ad5-97dd-6a523c3f8deb</t>
  </si>
  <si>
    <t>S5</t>
  </si>
  <si>
    <t>1Q26A and 1Q25A comparatives, guidance update</t>
  </si>
  <si>
    <t>https://investor.gm.com/static-files/ad646529-cae6-43b3-9502-848ba44f8ea9</t>
  </si>
  <si>
    <t>S6</t>
  </si>
  <si>
    <t>2Q26A and 2Q25A comparatives, guidance update</t>
  </si>
  <si>
    <t>https://investor.gm.com/static-files/4ee9aed7-9a23-46d5-aa6c-093668907497</t>
  </si>
  <si>
    <t>S7</t>
  </si>
  <si>
    <t>SEC (10-Q)</t>
  </si>
  <si>
    <t>Revenue disaggregation (R29), GMNA variance, warranty, restricted cash</t>
  </si>
  <si>
    <t>https://www.sec.gov/Archives/edgar/data/1467858/000146785825000143/gm-20250930.htm</t>
  </si>
  <si>
    <t>S8</t>
  </si>
  <si>
    <t>SEC (10-K)</t>
  </si>
  <si>
    <t>FY25 revenue disaggregation</t>
  </si>
  <si>
    <t>https://www.sec.gov/Archives/edgar/data/1467858/000146785826000013/R11.htm</t>
  </si>
  <si>
    <t>S9</t>
  </si>
  <si>
    <t>1Q26 disaggregation, variance, warranty, restricted cash, share count</t>
  </si>
  <si>
    <t>https://www.sec.gov/Archives/edgar/data/1467858/000146785826000035/gm-20260331.htm</t>
  </si>
  <si>
    <t>S10</t>
  </si>
  <si>
    <t>2Q26 disaggregation, variance, warranty, restricted cash, 877.45M shares</t>
  </si>
  <si>
    <t>https://www.sec.gov/Archives/edgar/data/1467858/000146785826000051/gm-20260630.htm</t>
  </si>
  <si>
    <t>S11</t>
  </si>
  <si>
    <t>GMF IR</t>
  </si>
  <si>
    <t>GMF 1Q25 earning assets and P&amp;L</t>
  </si>
  <si>
    <t>https://gmfinancial.gcs-web.com/static-files/3aafd7a8-6742-4aa0-8a03-276a16bb6c45</t>
  </si>
  <si>
    <t>S12</t>
  </si>
  <si>
    <t>GMF 2Q25 earning assets and P&amp;L</t>
  </si>
  <si>
    <t>https://gmfinancial.gcs-web.com/static-files/da4d30d5-f22d-4306-bda0-458ac349c0f7</t>
  </si>
  <si>
    <t>S13</t>
  </si>
  <si>
    <t>SEC (GMF)</t>
  </si>
  <si>
    <t>GMF 3Q25</t>
  </si>
  <si>
    <t>https://www.sec.gov/Archives/edgar/data/804269/000080426925000049/0000804269-25-000049.txt</t>
  </si>
  <si>
    <t>S14</t>
  </si>
  <si>
    <t>GMF 4Q25/FY25</t>
  </si>
  <si>
    <t>https://www.sec.gov/Archives/edgar/data/804269/000080426926000006/january2026quarterearnings.htm</t>
  </si>
  <si>
    <t>S15</t>
  </si>
  <si>
    <t>GMF 1Q26</t>
  </si>
  <si>
    <t>https://www.sec.gov/Archives/edgar/data/804269/000080426926000011/a1q26gmfearningsrelease.htm</t>
  </si>
  <si>
    <t>S16</t>
  </si>
  <si>
    <t>GMF 2Q26</t>
  </si>
  <si>
    <t>https://www.sec.gov/Archives/edgar/data/804269/000080426926000018/a2q26gmfearningsrelease.htm</t>
  </si>
  <si>
    <t>S17</t>
  </si>
  <si>
    <t>Alphastreet</t>
  </si>
  <si>
    <t>H2 cost/warranty/tariff/pricing cadence; buybacks; 893M diluted at end-Q2</t>
  </si>
  <si>
    <t>https://news.alphastreet.com/general-motors-company-gm-q2-2026-earnings-call-transcript/</t>
  </si>
  <si>
    <t>S18</t>
  </si>
  <si>
    <t>Q3 2026 U.S. deliveries 670,974; dealer inventory 568,151</t>
  </si>
  <si>
    <t>https://investor.gm.com/static-files/1294f515-0131-4d38-986e-f4d3160e7a68</t>
  </si>
  <si>
    <t>S19</t>
  </si>
  <si>
    <t>Q3 2026 U.S. sales deck: SAAR, ICE in line, incentives</t>
  </si>
  <si>
    <t>https://investor.gm.com/static-files/e68c39ec-2245-414e-b0f6-b827fdeacc06</t>
  </si>
  <si>
    <t>S20</t>
  </si>
  <si>
    <t>GMAuthority</t>
  </si>
  <si>
    <t>Dealer inventory history</t>
  </si>
  <si>
    <t>https://gmauthority.com/blog/2026/10/gm-dealer-inventory-up-11-percent-in-q3-2026/</t>
  </si>
  <si>
    <t>S21</t>
  </si>
  <si>
    <t>GM China Q3 2026 deliveries &gt;358k</t>
  </si>
  <si>
    <t>https://investors.gm.com/news-releases/news-release-details/gm-delivers-solid-q3-sales-china-nevs-reach-record-share/</t>
  </si>
  <si>
    <t>S22</t>
  </si>
  <si>
    <t>Report date Oct 20 2026 6:30am ET (issuer-confirmed)</t>
  </si>
  <si>
    <t>https://investor.gm.com/news-releases/news-release-details/gm-announces-third-quarter-2026-earnings-conference-call-details/</t>
  </si>
  <si>
    <t>S23</t>
  </si>
  <si>
    <t>Investing.com</t>
  </si>
  <si>
    <t>CFO: on track with raised range; consumer resilient</t>
  </si>
  <si>
    <t>https://ca.investing.com/news/stock-market-news/general-motors-at-us-all-stars-conference-cash-flow-trucks-and-digital-growth-93CH-4849105</t>
  </si>
  <si>
    <t>S24</t>
  </si>
  <si>
    <t>AutoIgloo</t>
  </si>
  <si>
    <t>CFO Sep 15: Q3 demand stronger than expected</t>
  </si>
  <si>
    <t>https://autoigloo.com/gm-says-vehicle-demand-is-running-stronger-than-expected-as-north-american-auto-market-defies-the-pressure</t>
  </si>
  <si>
    <t>S25</t>
  </si>
  <si>
    <t>Cox Auto</t>
  </si>
  <si>
    <t>Industry SAAR / U.S. industry assumption</t>
  </si>
  <si>
    <t>https://www.coxautoinc.com/press-releases/q3-september-2026-cox-automotive-new-vehicle-sales-forecast-press-release/</t>
  </si>
  <si>
    <t>S26</t>
  </si>
  <si>
    <t>Benzinga</t>
  </si>
  <si>
    <t>Other consensus observation</t>
  </si>
  <si>
    <t>https://www.benzinga.com/analyst-stock-ratings/price-target/26/10/62315048/general-motors-likely-to-report-higher-q3-earnings-these-most-accurate-analysts-revise-forecasts-ahead-of-earnings-call</t>
  </si>
  <si>
    <t>S27</t>
  </si>
  <si>
    <t>Other consensus observation; revisions</t>
  </si>
  <si>
    <t>https://news.alphastreet.com/general-motors-q3-2026-earnings-preview-october-20-street-expects-3-63-eps/</t>
  </si>
  <si>
    <t>S28</t>
  </si>
  <si>
    <t>Yahoo/Zacks</t>
  </si>
  <si>
    <t>https://finance.yahoo.com/markets/stocks/articles/q3-auto-earnings-preview-4-142900262.html</t>
  </si>
  <si>
    <t>S29</t>
  </si>
  <si>
    <t>drillr</t>
  </si>
  <si>
    <t>Other consensus observation; Q3 watch items</t>
  </si>
  <si>
    <t>https://drillr.ai/article/gm-general-motors-q3-2026-earnings-preview-north-america-margin-cost-wall</t>
  </si>
  <si>
    <t>S30</t>
  </si>
  <si>
    <t>StockAnalysis</t>
  </si>
  <si>
    <t>Market cap $73.67B (size bucket)</t>
  </si>
  <si>
    <t>https://stockanalysis.com/stocks/gm/market-cap/</t>
  </si>
  <si>
    <t>S31</t>
  </si>
  <si>
    <t>WhichIndex</t>
  </si>
  <si>
    <t>S&amp;P 500 membership</t>
  </si>
  <si>
    <t>https://whichindex.com/companies/general-motors/</t>
  </si>
  <si>
    <t>S32</t>
  </si>
  <si>
    <t>Yonhap</t>
  </si>
  <si>
    <t>GM Korea Sept exports +79.5% (Trax/Trailblazer for U.S.)</t>
  </si>
  <si>
    <t>https://en.yna.co.kr/view/AEN20261001012000320</t>
  </si>
  <si>
    <t>S33</t>
  </si>
  <si>
    <t>Stellantis</t>
  </si>
  <si>
    <t>Peer: NA shipments -12% (planned shutdowns)</t>
  </si>
  <si>
    <t>https://www.stellantis.com/en/news/press-releases/2026/october/stellantis-reports-q3-2026-estimated-consolidated-shipments-of-1-3-million-units-down-1-percent-year-over-year</t>
  </si>
  <si>
    <t>S34</t>
  </si>
  <si>
    <t>SeekingAlpha</t>
  </si>
  <si>
    <t>Preview: NA margin &gt;8%</t>
  </si>
  <si>
    <t>https://seekingalpha.com/article/4954263-general-motors-fewer-evs-better-profits-ahead-of-q3-earnings</t>
  </si>
  <si>
    <t>S35</t>
  </si>
  <si>
    <t>Dealer inventory at Dec 31 2025 (486,494)</t>
  </si>
  <si>
    <t>https://investor.gm.com/static-files/23adce96-ea26-4a6e-82dd-68a0042df51c</t>
  </si>
  <si>
    <t>S36</t>
  </si>
  <si>
    <t>Method, tracked metrics, review checklist</t>
  </si>
  <si>
    <t>forecasting-playbook.md; metric-targets.json; house-style review checklist</t>
  </si>
  <si>
    <t>Tabs omitted</t>
  </si>
  <si>
    <t>Segment - Cruise omitted: Cruise revenue was $0 in 2Q25-2Q26 and its operations were combined into GMNA (checked GM 10-Q Q2 2026, Note 18 Segment Reporting); Cruise rows kept on Revenue summary and Income Statement.</t>
  </si>
  <si>
    <t>Inputs tab: holds the raw S&amp;P Capital IQ files (complete summary row and six history rows, blanks preserved) as required for formula-linking; consensus at cutoff is presented in the Cover headline table.</t>
  </si>
  <si>
    <t>Retrieval: web sources were retrieved 2026-10-19 (UTC), after the 2026-10-18T21:34Z cutoff; every web source above (S3-S36) has a publication date on or before 2026-10-16, and the CapIQ files (S1-S2) are frozen in the 2026-10-18 manifest (date precision). Retrieval was not captured as frozen snapshots, so live pages (e.g. S30 market cap, S31 index membership) may reflect post-cutoff content - documented limitation. No Q3 2026 GM results were seen.</t>
  </si>
  <si>
    <t>Inputs - S&amp;P Capital IQ snapshot and calibration</t>
  </si>
  <si>
    <t>S&amp;P Capital IQ consensus summary row (GM_consensus.json, captured 2026-10-18, date precision only) - complete, blanks preserved; single values in column C (row-5 period band does not apply)</t>
  </si>
  <si>
    <t>ticker</t>
  </si>
  <si>
    <t>GM</t>
  </si>
  <si>
    <t>company_name</t>
  </si>
  <si>
    <t>exchange_ticker</t>
  </si>
  <si>
    <t>NYSE:GM</t>
  </si>
  <si>
    <t>capiq_company_id</t>
  </si>
  <si>
    <t>currency_basis</t>
  </si>
  <si>
    <t>USD</t>
  </si>
  <si>
    <t>fiscal_year_end</t>
  </si>
  <si>
    <t>Dec-31</t>
  </si>
  <si>
    <t>fiscal_quarter</t>
  </si>
  <si>
    <t>FQ3 2026 - Sep 2026</t>
  </si>
  <si>
    <t>quarter_end_date</t>
  </si>
  <si>
    <t>expected_report_date</t>
  </si>
  <si>
    <t>eps_basis</t>
  </si>
  <si>
    <t>normalized diluted and GAAP diluted, as labelled</t>
  </si>
  <si>
    <t>eps_normalized_estimates</t>
  </si>
  <si>
    <t>eps_normalized_contributors</t>
  </si>
  <si>
    <t>detail_tab_total_contributors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</si>
  <si>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</si>
  <si>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</si>
  <si>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</si>
  <si>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</si>
  <si>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</si>
  <si>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</si>
  <si>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</si>
  <si>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</si>
  <si>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</si>
  <si>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</si>
  <si>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</si>
  <si>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</si>
  <si>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</si>
  <si>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</si>
  <si>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</si>
  <si>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</si>
  <si>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eps_gaap_guidance_low</t>
  </si>
  <si>
    <t>eps_gaap_guidance_high</t>
  </si>
  <si>
    <t>revenue_mean</t>
  </si>
  <si>
    <t>revenue_median</t>
  </si>
  <si>
    <t>revenue_high</t>
  </si>
  <si>
    <t>revenue_low</t>
  </si>
  <si>
    <t>revenue_std_dev</t>
  </si>
  <si>
    <t>revenue_n_est</t>
  </si>
  <si>
    <t>revenue_guidance</t>
  </si>
  <si>
    <t>revenue_guidance_low</t>
  </si>
  <si>
    <t>revenue_guidance_high</t>
  </si>
  <si>
    <t>ebitda</t>
  </si>
  <si>
    <t>CapIQ EBITDA consensus unused: GM does not separately disclose an issuer-defined EBITDA (it reports EBIT-adjusted, a different measure); issuer_defined_ebitda = not applicable</t>
  </si>
  <si>
    <t>ebit</t>
  </si>
  <si>
    <t>ebt_excl_excep</t>
  </si>
  <si>
    <t>ebt_gaap</t>
  </si>
  <si>
    <t>net_income_excl_excep</t>
  </si>
  <si>
    <t>net_income_gaap</t>
  </si>
  <si>
    <t>gross_margin_pct</t>
  </si>
  <si>
    <t>effective_tax_rate_pct</t>
  </si>
  <si>
    <t>d_and_a</t>
  </si>
  <si>
    <t>capex</t>
  </si>
  <si>
    <t>cfo</t>
  </si>
  <si>
    <t>fcf</t>
  </si>
  <si>
    <t>interest_expense</t>
  </si>
  <si>
    <t>net_debt</t>
  </si>
  <si>
    <t>nav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</si>
  <si>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</si>
  <si>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</si>
  <si>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</si>
  <si>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</si>
  <si>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</si>
  <si>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</si>
  <si>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</si>
  <si>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</si>
  <si>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</si>
  <si>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</si>
  <si>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</si>
  <si>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wk52_high_low</t>
  </si>
  <si>
    <t>91.85/57.55</t>
  </si>
  <si>
    <t>estimates_captured_at</t>
  </si>
  <si>
    <t>notes</t>
  </si>
  <si>
    <t>large GAAP-versus-normalized divergence every quarter (Dec-2025 GAAP actual -3.60 against 1.75 consensus) from tariff and restructuring charges; normalized is the comparable series</t>
  </si>
  <si>
    <t>File-level fields: as_of_date 2026-10-18; analyst_count 15; currency USD; summary_sha256 e59b846434f90c9b5de8c2ed951fd1b25c1f6d0217c680f72dea41992051a49d</t>
  </si>
  <si>
    <t>S&amp;P Capital IQ six-quarter history (GM_history.csv) - columns C..H = 1Q25A..2Q26A</t>
  </si>
  <si>
    <t>period_end_date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</si>
  <si>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</si>
  <si>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</si>
  <si>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</si>
  <si>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</si>
  <si>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</si>
  <si>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</si>
  <si>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</si>
  <si>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Historical normalized EPS surprise (formula-linked)</t>
  </si>
  <si>
    <t>Surprise: actual less consensus ($/share)</t>
  </si>
  <si>
    <t>Surprise % of consensus</t>
  </si>
  <si>
    <t>Strict beat (1 = actual &gt; consensus)</t>
  </si>
  <si>
    <t>Revenue surprise ($M)</t>
  </si>
  <si>
    <t>Beat-probability calibration (playbook v2: size and issuer history) - see artifacts/prior-calibration.json; single values in column C (row-5 period band does not apply)</t>
  </si>
  <si>
    <t>Market capitalization ($ billions, Oct 16 2026 close)</t>
  </si>
  <si>
    <t>stockanalysis.com market cap 2026-10-16 (S30)</t>
  </si>
  <si>
    <t>Size bucket</t>
  </si>
  <si>
    <t>Large (&gt;$10B)</t>
  </si>
  <si>
    <t>S&amp;P 500 member</t>
  </si>
  <si>
    <t>Yes</t>
  </si>
  <si>
    <t>whichindex.com S&amp;P 500 constituents as of 2026-10-15/16 (S31)</t>
  </si>
  <si>
    <t>Cohort prior (large or S&amp;P 500, applied once)</t>
  </si>
  <si>
    <t>Frozen experimental prior (playbook: 0.78 for large OR S&amp;P 500, applied once) recorded in original artifacts/prior-calibration.json - cached internal experimental basis, not external proof</t>
  </si>
  <si>
    <t>Pseudo-observation weight</t>
  </si>
  <si>
    <t>Strict beats in six CapIQ pairs (b)</t>
  </si>
  <si>
    <t>Valid pairs (n)</t>
  </si>
  <si>
    <t>Starting probability = (8 x prior + b) / (8 + n)</t>
  </si>
  <si>
    <t>(8 x 0.78 + 6) / (8 + 6) = 0.8742857; final 0.80 in C104 is a judgment, used only on Cover!C33 and the memo in C105; never in EPS</t>
  </si>
  <si>
    <t>Final P(beat consensus EPS) (judgment after quarter-specific evidence)</t>
  </si>
  <si>
    <t>Model EPS only ~2% above consensus; consensus already revised up ~2% in the last month; H2 commodity/onshoring headwinds; China deliveries -24%</t>
  </si>
  <si>
    <t>Quarter-specific evidence update (final less starting)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</si>
</sst>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4717" formatCode="0.0%_);(0.0%);–_)"/>
    <numFmt numFmtId="14719" formatCode="#,##0.0_);(#,##0.0);–_)"/>
    <numFmt numFmtId="14726" formatCode="yyyy-mm-dd"/>
    <numFmt numFmtId="14731" formatCode="#,##0_);(#,##0);–_)"/>
    <numFmt numFmtId="14734" formatCode="$0.00"/>
    <numFmt numFmtId="14746" formatCode="#,##0.00_);(#,##0.00);–_)"/>
    <numFmt numFmtId="14748" formatCode="0.0x"/>
    <numFmt numFmtId="14772" formatCode="$0.00_);($0.00);$0.00_)"/>
  </numFmts>
  <fonts count="13">
    <font>
      <b val="0"/>
      <i val="0"/>
      <sz val="11"/>
      <color auto="1"/>
      <name val="Calibri"/>
    </font>
    <font>
      <b val="0"/>
      <i val="0"/>
      <sz val="10"/>
      <color rgb="FF000000"/>
      <name val="Arial"/>
    </font>
    <font>
      <b val="0"/>
      <i/>
      <sz val="10"/>
      <color rgb="FF000000"/>
      <name val="Arial"/>
    </font>
    <font>
      <b val="0"/>
      <i val="0"/>
      <sz val="10"/>
      <color rgb="FF0000FF"/>
      <name val="Arial"/>
    </font>
    <font>
      <b/>
      <i val="0"/>
      <sz val="10"/>
      <color rgb="FF000000"/>
      <name val="Arial"/>
    </font>
    <font>
      <b val="0"/>
      <i val="0"/>
      <sz val="10"/>
      <color rgb="FF006100"/>
      <name val="Arial"/>
    </font>
    <font>
      <b/>
      <i val="0"/>
      <u/>
      <sz val="10"/>
      <color rgb="FF000000"/>
      <name val="Arial"/>
    </font>
    <font>
      <b/>
      <i val="0"/>
      <sz val="10"/>
      <color rgb="FF0000FF"/>
      <name val="Arial"/>
    </font>
    <font>
      <b/>
      <i val="0"/>
      <sz val="12"/>
      <color rgb="FF000000"/>
      <name val="Arial"/>
    </font>
    <font>
      <b val="0"/>
      <i/>
      <sz val="10"/>
      <color rgb="FF006100"/>
      <name val="Arial"/>
    </font>
    <font>
      <b/>
      <i val="0"/>
      <sz val="16"/>
      <color rgb="FF000000"/>
      <name val="Arial"/>
    </font>
    <font>
      <b val="0"/>
      <i/>
      <sz val="10"/>
      <color rgb="FF0000FF"/>
      <name val="Arial"/>
    </font>
    <font>
      <b/>
      <i val="0"/>
      <sz val="10"/>
      <color rgb="FF0061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EF3FA"/>
      </patternFill>
    </fill>
    <fill>
      <patternFill patternType="solid">
        <fgColor rgb="FFF2F2F2"/>
      </patternFill>
    </fill>
    <fill>
      <patternFill patternType="solid">
        <fgColor rgb="FFDCE6F1"/>
      </patternFill>
    </fill>
  </fills>
  <borders count="6">
    <border>
      <left/>
      <right/>
      <top/>
      <bottom/>
    </border>
    <border>
      <left/>
      <right/>
      <top/>
      <bottom/>
      <diagonal/>
    </border>
    <border>
      <top style="thin">
        <color rgb="FF000000"/>
      </top>
    </border>
    <border>
      <bottom style="thin">
        <color rgb="FF000000"/>
      </bottom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1"/>
  </cellStyleXfs>
  <cellXfs count="101">
    <xf numFmtId="0" fontId="0" fillId="0" borderId="1" xfId="0"/>
    <xf numFmtId="0" fontId="1" fillId="0" borderId="1" xfId="0"/>
    <xf numFmtId="0" fontId="10" fillId="0" borderId="1" xfId="0"/>
    <xf numFmtId="0" fontId="8" fillId="0" borderId="1" xfId="0"/>
    <xf numFmtId="0" fontId="4" fillId="0" borderId="1" xfId="0"/>
    <xf numFmtId="0" fontId="2" fillId="0" borderId="1" xfId="0"/>
    <xf numFmtId="0" fontId="4" fillId="3" borderId="4" xfId="0"/>
    <xf numFmtId="0" fontId="4" fillId="3" borderId="4" xfId="0">
      <alignment horizontal="right" vertical="bottom"/>
    </xf>
    <xf numFmtId="0" fontId="4" fillId="4" borderId="4" xfId="0">
      <alignment horizontal="right" vertical="bottom"/>
    </xf>
    <xf numFmtId="0" fontId="1" fillId="3" borderId="1" xfId="0"/>
    <xf numFmtId="14726" fontId="1" fillId="3" borderId="1" xfId="0">
      <alignment horizontal="right" vertical="bottom"/>
    </xf>
    <xf numFmtId="14726" fontId="1" fillId="4" borderId="1" xfId="0">
      <alignment horizontal="right" vertical="bottom"/>
    </xf>
    <xf numFmtId="0" fontId="1" fillId="3" borderId="5" xfId="0"/>
    <xf numFmtId="1" fontId="1" fillId="3" borderId="5" xfId="0">
      <alignment horizontal="right" vertical="bottom"/>
    </xf>
    <xf numFmtId="1" fontId="1" fillId="4" borderId="5" xfId="0">
      <alignment horizontal="right" vertical="bottom"/>
    </xf>
    <xf numFmtId="0" fontId="1" fillId="2" borderId="1" xfId="0"/>
    <xf numFmtId="0" fontId="6" fillId="0" borderId="1" xfId="0"/>
    <xf numFmtId="0" fontId="1" fillId="0" borderId="1" xfId="0">
      <alignment horizontal="right" vertical="bottom"/>
    </xf>
    <xf numFmtId="0" fontId="1" fillId="2" borderId="1" xfId="0">
      <alignment horizontal="right" vertical="bottom"/>
    </xf>
    <xf numFmtId="0" fontId="1" fillId="0" borderId="1" xfId="0">
      <alignment horizontal="left" vertical="bottom" indent="1"/>
    </xf>
    <xf numFmtId="0" fontId="1" fillId="0" borderId="1" xfId="0">
      <alignment horizontal="left" vertical="bottom"/>
    </xf>
    <xf numFmtId="0" fontId="4" fillId="0" borderId="5" xfId="0"/>
    <xf numFmtId="0" fontId="4" fillId="0" borderId="5" xfId="0">
      <alignment horizontal="right" vertical="bottom"/>
    </xf>
    <xf numFmtId="0" fontId="4" fillId="2" borderId="5" xfId="0">
      <alignment horizontal="right" vertical="bottom"/>
    </xf>
    <xf numFmtId="0" fontId="1" fillId="0" borderId="1" xfId="0">
      <alignment horizontal="left" vertical="bottom" wrapText="1" indent="1"/>
    </xf>
    <xf numFmtId="14719" fontId="5" fillId="0" borderId="1" xfId="0">
      <alignment horizontal="right" vertical="bottom"/>
    </xf>
    <xf numFmtId="14719" fontId="1" fillId="0" borderId="1" xfId="0">
      <alignment horizontal="right" vertical="bottom"/>
    </xf>
    <xf numFmtId="14719" fontId="1" fillId="2" borderId="1" xfId="0">
      <alignment horizontal="right" vertical="bottom"/>
    </xf>
    <xf numFmtId="0" fontId="2" fillId="0" borderId="1" xfId="0">
      <alignment horizontal="left" vertical="bottom" indent="2"/>
    </xf>
    <xf numFmtId="14717" fontId="2" fillId="0" borderId="1" xfId="0">
      <alignment horizontal="right" vertical="bottom"/>
    </xf>
    <xf numFmtId="14717" fontId="2" fillId="2" borderId="1" xfId="0">
      <alignment horizontal="right" vertical="bottom"/>
    </xf>
    <xf numFmtId="14772" fontId="5" fillId="0" borderId="1" xfId="0">
      <alignment horizontal="right" vertical="bottom"/>
    </xf>
    <xf numFmtId="14772" fontId="1" fillId="0" borderId="1" xfId="0">
      <alignment horizontal="right" vertical="bottom"/>
    </xf>
    <xf numFmtId="14772" fontId="1" fillId="2" borderId="1" xfId="0">
      <alignment horizontal="right" vertical="bottom"/>
    </xf>
    <xf numFmtId="0" fontId="4" fillId="0" borderId="1" xfId="0">
      <alignment horizontal="left" vertical="bottom" indent="1"/>
    </xf>
    <xf numFmtId="14717" fontId="12" fillId="0" borderId="4" xfId="0">
      <alignment horizontal="right" vertical="bottom"/>
    </xf>
    <xf numFmtId="14717" fontId="4" fillId="0" borderId="4" xfId="0">
      <alignment horizontal="right" vertical="bottom"/>
    </xf>
    <xf numFmtId="14717" fontId="4" fillId="2" borderId="4" xfId="0">
      <alignment horizontal="right" vertical="bottom"/>
    </xf>
    <xf numFmtId="0" fontId="12" fillId="0" borderId="4" xfId="0">
      <alignment horizontal="right" vertical="bottom"/>
    </xf>
    <xf numFmtId="0" fontId="4" fillId="0" borderId="4" xfId="0">
      <alignment horizontal="right" vertical="bottom"/>
    </xf>
    <xf numFmtId="0" fontId="4" fillId="2" borderId="4" xfId="0">
      <alignment horizontal="right" vertical="bottom"/>
    </xf>
    <xf numFmtId="1" fontId="5" fillId="0" borderId="1" xfId="0">
      <alignment horizontal="right" vertical="bottom"/>
    </xf>
    <xf numFmtId="1" fontId="1" fillId="0" borderId="1" xfId="0">
      <alignment horizontal="right" vertical="bottom"/>
    </xf>
    <xf numFmtId="1" fontId="1" fillId="2" borderId="1" xfId="0">
      <alignment horizontal="right" vertical="bottom"/>
    </xf>
    <xf numFmtId="0" fontId="4" fillId="0" borderId="1" xfId="0">
      <alignment horizontal="left" vertical="bottom" wrapText="1" indent="1"/>
    </xf>
    <xf numFmtId="14772" fontId="3" fillId="0" borderId="1" xfId="0">
      <alignment horizontal="right" vertical="bottom"/>
    </xf>
    <xf numFmtId="0" fontId="1" fillId="0" borderId="1" xfId="0">
      <alignment horizontal="left" vertical="bottom" wrapText="1" indent="2"/>
    </xf>
    <xf numFmtId="14719" fontId="3" fillId="0" borderId="1" xfId="0">
      <alignment horizontal="right" vertical="bottom"/>
    </xf>
    <xf numFmtId="14719" fontId="5" fillId="2" borderId="1" xfId="0">
      <alignment horizontal="right" vertical="bottom"/>
    </xf>
    <xf numFmtId="14719" fontId="3" fillId="2" borderId="1" xfId="0">
      <alignment horizontal="right" vertical="bottom"/>
    </xf>
    <xf numFmtId="14719" fontId="2" fillId="0" borderId="1" xfId="0">
      <alignment horizontal="right" vertical="bottom"/>
    </xf>
    <xf numFmtId="14719" fontId="2" fillId="2" borderId="1" xfId="0">
      <alignment horizontal="right" vertical="bottom"/>
    </xf>
    <xf numFmtId="14719" fontId="4" fillId="0" borderId="4" xfId="0">
      <alignment horizontal="right" vertical="bottom"/>
    </xf>
    <xf numFmtId="14719" fontId="4" fillId="2" borderId="4" xfId="0">
      <alignment horizontal="right" vertical="bottom"/>
    </xf>
    <xf numFmtId="0" fontId="1" fillId="0" borderId="1" xfId="0">
      <alignment vertical="bottom" wrapText="1"/>
    </xf>
    <xf numFmtId="0" fontId="4" fillId="0" borderId="1" xfId="0">
      <alignment vertical="bottom" wrapText="1"/>
    </xf>
    <xf numFmtId="14717" fontId="11" fillId="2" borderId="1" xfId="0">
      <alignment horizontal="right" vertical="bottom"/>
    </xf>
    <xf numFmtId="0" fontId="2" fillId="0" borderId="1" xfId="0">
      <alignment horizontal="left" vertical="bottom" indent="1"/>
    </xf>
    <xf numFmtId="14731" fontId="2" fillId="0" borderId="1" xfId="0">
      <alignment horizontal="right" vertical="bottom"/>
    </xf>
    <xf numFmtId="14731" fontId="2" fillId="2" borderId="1" xfId="0">
      <alignment horizontal="right" vertical="bottom"/>
    </xf>
    <xf numFmtId="0" fontId="2" fillId="0" borderId="1" xfId="0">
      <alignment horizontal="left" vertical="bottom" wrapText="1" indent="1"/>
    </xf>
    <xf numFmtId="14719" fontId="7" fillId="0" borderId="4" xfId="0">
      <alignment horizontal="right" vertical="bottom"/>
    </xf>
    <xf numFmtId="14719" fontId="7" fillId="2" borderId="4" xfId="0">
      <alignment horizontal="right" vertical="bottom"/>
    </xf>
    <xf numFmtId="14746" fontId="1" fillId="0" borderId="1" xfId="0">
      <alignment horizontal="right" vertical="bottom"/>
    </xf>
    <xf numFmtId="14746" fontId="1" fillId="2" borderId="1" xfId="0">
      <alignment horizontal="right" vertical="bottom"/>
    </xf>
    <xf numFmtId="14746" fontId="2" fillId="0" borderId="1" xfId="0">
      <alignment horizontal="right" vertical="bottom"/>
    </xf>
    <xf numFmtId="14746" fontId="2" fillId="2" borderId="1" xfId="0">
      <alignment horizontal="right" vertical="bottom"/>
    </xf>
    <xf numFmtId="14717" fontId="9" fillId="0" borderId="1" xfId="0">
      <alignment horizontal="right" vertical="bottom"/>
    </xf>
    <xf numFmtId="14717" fontId="9" fillId="2" borderId="1" xfId="0">
      <alignment horizontal="right" vertical="bottom"/>
    </xf>
    <xf numFmtId="14746" fontId="3" fillId="2" borderId="1" xfId="0">
      <alignment horizontal="right" vertical="bottom"/>
    </xf>
    <xf numFmtId="0" fontId="2" fillId="0" borderId="1" xfId="0">
      <alignment horizontal="left" vertical="bottom" wrapText="1" indent="2"/>
    </xf>
    <xf numFmtId="0" fontId="2" fillId="0" borderId="1" xfId="0">
      <alignment horizontal="left" vertical="bottom" indent="3"/>
    </xf>
    <xf numFmtId="14772" fontId="4" fillId="0" borderId="4" xfId="0">
      <alignment horizontal="right" vertical="bottom"/>
    </xf>
    <xf numFmtId="14772" fontId="4" fillId="2" borderId="4" xfId="0">
      <alignment horizontal="right" vertical="bottom"/>
    </xf>
    <xf numFmtId="0" fontId="1" fillId="0" borderId="1" xfId="0">
      <alignment horizontal="left" vertical="bottom" indent="2"/>
    </xf>
    <xf numFmtId="14748" fontId="1" fillId="0" borderId="1" xfId="0">
      <alignment horizontal="right" vertical="bottom"/>
    </xf>
    <xf numFmtId="14748" fontId="1" fillId="2" borderId="1" xfId="0">
      <alignment horizontal="right" vertical="bottom"/>
    </xf>
    <xf numFmtId="14748" fontId="2" fillId="0" borderId="1" xfId="0">
      <alignment horizontal="right" vertical="bottom"/>
    </xf>
    <xf numFmtId="14748" fontId="2" fillId="2" borderId="1" xfId="0">
      <alignment horizontal="right" vertical="bottom"/>
    </xf>
    <xf numFmtId="14717" fontId="11" fillId="0" borderId="1" xfId="0">
      <alignment horizontal="right" vertical="bottom"/>
    </xf>
    <xf numFmtId="14772" fontId="3" fillId="2" borderId="1" xfId="0">
      <alignment horizontal="right" vertical="bottom"/>
    </xf>
    <xf numFmtId="14772" fontId="2" fillId="0" borderId="1" xfId="0">
      <alignment horizontal="right" vertical="bottom"/>
    </xf>
    <xf numFmtId="14772" fontId="2" fillId="2" borderId="1" xfId="0">
      <alignment horizontal="right" vertical="bottom"/>
    </xf>
    <xf numFmtId="14717" fontId="1" fillId="0" borderId="1" xfId="0">
      <alignment horizontal="right" vertical="bottom"/>
    </xf>
    <xf numFmtId="14717" fontId="3" fillId="2" borderId="1" xfId="0">
      <alignment horizontal="right" vertical="bottom"/>
    </xf>
    <xf numFmtId="14772" fontId="5" fillId="2" borderId="1" xfId="0">
      <alignment horizontal="right" vertical="bottom"/>
    </xf>
    <xf numFmtId="0" fontId="4" fillId="0" borderId="5" xfId="0">
      <alignment horizontal="left" vertical="bottom"/>
    </xf>
    <xf numFmtId="14726" fontId="3" fillId="0" borderId="1" xfId="0">
      <alignment horizontal="right" vertical="bottom"/>
    </xf>
    <xf numFmtId="14746" fontId="3" fillId="0" borderId="1" xfId="0">
      <alignment horizontal="right" vertical="bottom"/>
    </xf>
    <xf numFmtId="14746" fontId="5" fillId="0" borderId="1" xfId="0">
      <alignment horizontal="right" vertical="bottom"/>
    </xf>
    <xf numFmtId="14719" fontId="1" fillId="0" borderId="1" xfId="0">
      <alignment horizontal="left" vertical="bottom"/>
    </xf>
    <xf numFmtId="14746" fontId="1" fillId="0" borderId="1" xfId="0">
      <alignment horizontal="left" vertical="bottom"/>
    </xf>
    <xf numFmtId="14746" fontId="5" fillId="2" borderId="1" xfId="0">
      <alignment horizontal="right" vertical="bottom"/>
    </xf>
    <xf numFmtId="14772" fontId="1" fillId="0" borderId="1" xfId="0">
      <alignment horizontal="left" vertical="bottom"/>
    </xf>
    <xf numFmtId="14717" fontId="2" fillId="0" borderId="1" xfId="0">
      <alignment horizontal="left" vertical="bottom"/>
    </xf>
    <xf numFmtId="0" fontId="1" fillId="2" borderId="1" xfId="0">
      <alignment horizontal="left" vertical="bottom"/>
    </xf>
    <xf numFmtId="0" fontId="4" fillId="2" borderId="5" xfId="0">
      <alignment horizontal="left" vertical="bottom"/>
    </xf>
    <xf numFmtId="0" fontId="3" fillId="0" borderId="1" xfId="0">
      <alignment horizontal="left" vertical="bottom"/>
    </xf>
    <xf numFmtId="14726" fontId="3" fillId="0" borderId="1" xfId="0">
      <alignment horizontal="left" vertical="bottom"/>
    </xf>
    <xf numFmtId="1" fontId="3" fillId="0" borderId="1" xfId="0">
      <alignment horizontal="right" vertical="bottom"/>
    </xf>
    <xf numFmtId="14717" fontId="7" fillId="0" borderId="4" xfId="0">
      <alignment horizontal="right" vertical="bottom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styles" Target="styles.xml"/><Relationship Id="rId15" Type="http://schemas.openxmlformats.org/officeDocument/2006/relationships/theme" Target="theme/theme1.xml"/><Relationship Id="rId1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476250</xdr:colOff>
      <xdr:row>0</xdr:row>
      <xdr:rowOff>600075</xdr:rowOff>
    </xdr:to>
    <xdr:pic>
      <xdr:nvPicPr>
        <xdr:cNvPr id="2" name="Shortcut logo"/>
        <xdr:cNvPicPr>
          <a:picLocks noChangeAspect="1"/>
        </xdr:cNvPicPr>
      </xdr:nvPicPr>
      <xdr:blipFill>
        <a:blip xmlns:r="http://schemas.openxmlformats.org/officeDocument/2006/relationships" r:embed="rId1"/>
        <a:srcRect l="0" r="0" t="0" b="0"/>
        <a:stretch/>
      </xdr:blipFill>
      <xdr:spPr>
        <a:xfrm>
          <a:off x="38100" y="28575"/>
          <a:ext cx="575733" cy="571500"/>
        </a:xfrm>
        <a:prstGeom prst="rect">
          <a:avLst/>
        </a:prstGeom>
        <a:noFill/>
        <a:ln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3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4.v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comments" Target="../comments13.xml"/><Relationship Id="rId2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28D652B6-C358-04E8-F2FA-28DAAAE0F698}" mc:Ignorable="x14ac xr xr2 xr3">
  <dimension ref="A1:CV10000"/>
  <sheetViews>
    <sheetView showGridLines="0" topLeftCell="A1" zoomScale="90" workbookViewId="0" tabSelected="1">
      <selection activeCell="A1" sqref="A1"/>
    </sheetView>
  </sheetViews>
  <sheetFormatPr defaultRowHeight="15" defaultColWidth="9.140625" customHeight="1"/>
  <cols>
    <col min="1" max="1" width="2.00390625" customWidth="1"/>
    <col min="2" max="2" width="32.00390625" customWidth="1"/>
    <col min="3" max="10" width="12.00390625" customWidth="1"/>
    <col min="11" max="11" width="60.00390625" customWidth="1"/>
  </cols>
  <sheetData>
    <row r="1" ht="49.5" customHeight="1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  <c r="K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</row>
    <row r="3" ht="15" customHeight="1">
      <c r="A3" s="1"/>
      <c r="B3" s="4" t="s">
        <v>2</v>
      </c>
      <c r="C3" s="1"/>
      <c r="D3" s="1"/>
      <c r="E3" s="1"/>
      <c r="F3" s="1"/>
      <c r="G3" s="1"/>
      <c r="H3" s="1"/>
      <c r="I3" s="1"/>
      <c r="J3" s="1"/>
      <c r="K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</row>
    <row r="5" ht="15" customHeight="1">
      <c r="A5" s="1"/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8" t="s">
        <v>12</v>
      </c>
      <c r="K5" s="6" t="s">
        <v>13</v>
      </c>
    </row>
    <row r="6" ht="15" customHeight="1">
      <c r="A6" s="1"/>
      <c r="B6" s="9" t="s">
        <v>14</v>
      </c>
      <c r="C6" s="10">
        <f>DATE(2025,3,31)</f>
        <v>45747</v>
      </c>
      <c r="D6" s="10">
        <f>DATE(2025,6,30)</f>
        <v>45838</v>
      </c>
      <c r="E6" s="10">
        <f>DATE(2025,9,30)</f>
        <v>45930</v>
      </c>
      <c r="F6" s="10">
        <f t="shared" si="0" ref="F6:I6">DATE(2025,12,31)</f>
        <v>46022</v>
      </c>
      <c r="G6" s="10">
        <f>DATE(2026,3,31)</f>
        <v>46112</v>
      </c>
      <c r="H6" s="10">
        <f>DATE(2026,6,30)</f>
        <v>46203</v>
      </c>
      <c r="I6" s="10">
        <f t="shared" si="0"/>
        <v>46022</v>
      </c>
      <c r="J6" s="11">
        <f>DATE(2026,9,30)</f>
        <v>46295</v>
      </c>
      <c r="K6" s="9"/>
    </row>
    <row r="7" ht="15" customHeight="1">
      <c r="A7" s="1"/>
      <c r="B7" s="12" t="s">
        <v>15</v>
      </c>
      <c r="C7" s="13">
        <f t="shared" si="1" ref="C7:J7">C6-EOMONTH(C6,-3)</f>
        <v>90</v>
      </c>
      <c r="D7" s="13">
        <f t="shared" si="1"/>
        <v>91</v>
      </c>
      <c r="E7" s="13">
        <f t="shared" si="1"/>
        <v>92</v>
      </c>
      <c r="F7" s="13">
        <f t="shared" si="1"/>
        <v>92</v>
      </c>
      <c r="G7" s="13">
        <f t="shared" si="1"/>
        <v>90</v>
      </c>
      <c r="H7" s="13">
        <f t="shared" si="1"/>
        <v>91</v>
      </c>
      <c r="I7" s="13">
        <f>I6-EOMONTH(I6,-12)</f>
        <v>365</v>
      </c>
      <c r="J7" s="14">
        <f t="shared" si="1"/>
        <v>92</v>
      </c>
      <c r="K7" s="12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5"/>
      <c r="K8" s="1"/>
    </row>
    <row r="9" ht="15" customHeight="1">
      <c r="A9" s="1"/>
      <c r="B9" s="16" t="s">
        <v>16</v>
      </c>
      <c r="C9" s="17"/>
      <c r="D9" s="17"/>
      <c r="E9" s="17"/>
      <c r="F9" s="17"/>
      <c r="G9" s="17"/>
      <c r="H9" s="17"/>
      <c r="I9" s="17"/>
      <c r="J9" s="18"/>
      <c r="K9" s="1"/>
    </row>
    <row r="10" ht="15" customHeight="1">
      <c r="A10" s="1"/>
      <c r="B10" s="19" t="s">
        <v>17</v>
      </c>
      <c r="C10" s="20" t="s">
        <v>18</v>
      </c>
      <c r="D10" s="17"/>
      <c r="E10" s="17"/>
      <c r="F10" s="17"/>
      <c r="G10" s="17"/>
      <c r="H10" s="17"/>
      <c r="I10" s="17"/>
      <c r="J10" s="18"/>
      <c r="K10" s="1"/>
    </row>
    <row r="11" ht="15" customHeight="1">
      <c r="A11" s="1"/>
      <c r="B11" s="19" t="s">
        <v>19</v>
      </c>
      <c r="C11" s="20" t="s">
        <v>20</v>
      </c>
      <c r="D11" s="17"/>
      <c r="E11" s="17"/>
      <c r="F11" s="17"/>
      <c r="G11" s="17"/>
      <c r="H11" s="17"/>
      <c r="I11" s="17"/>
      <c r="J11" s="18"/>
      <c r="K11" s="1"/>
    </row>
    <row r="12" ht="15" customHeight="1">
      <c r="A12" s="1"/>
      <c r="B12" s="19" t="s">
        <v>21</v>
      </c>
      <c r="C12" s="20" t="s">
        <v>22</v>
      </c>
      <c r="D12" s="17"/>
      <c r="E12" s="17"/>
      <c r="F12" s="17"/>
      <c r="G12" s="17"/>
      <c r="H12" s="17"/>
      <c r="I12" s="17"/>
      <c r="J12" s="18"/>
      <c r="K12" s="1"/>
    </row>
    <row r="13" ht="15" customHeight="1">
      <c r="A13" s="1"/>
      <c r="B13" s="19" t="s">
        <v>23</v>
      </c>
      <c r="C13" s="20" t="s">
        <v>24</v>
      </c>
      <c r="D13" s="17"/>
      <c r="E13" s="17"/>
      <c r="F13" s="17"/>
      <c r="G13" s="17"/>
      <c r="H13" s="17"/>
      <c r="I13" s="17"/>
      <c r="J13" s="18"/>
      <c r="K13" s="1"/>
    </row>
    <row r="14" ht="15" customHeight="1">
      <c r="A14" s="1"/>
      <c r="B14" s="19" t="s">
        <v>25</v>
      </c>
      <c r="C14" s="20" t="s">
        <v>26</v>
      </c>
      <c r="D14" s="17"/>
      <c r="E14" s="17"/>
      <c r="F14" s="17"/>
      <c r="G14" s="17"/>
      <c r="H14" s="17"/>
      <c r="I14" s="17"/>
      <c r="J14" s="18"/>
      <c r="K14" s="1"/>
    </row>
    <row r="15" ht="15" customHeight="1">
      <c r="A15" s="1"/>
      <c r="B15" s="19" t="s">
        <v>27</v>
      </c>
      <c r="C15" s="20" t="s">
        <v>28</v>
      </c>
      <c r="D15" s="17"/>
      <c r="E15" s="17"/>
      <c r="F15" s="17"/>
      <c r="G15" s="17"/>
      <c r="H15" s="17"/>
      <c r="I15" s="17"/>
      <c r="J15" s="18"/>
      <c r="K15" s="1"/>
    </row>
    <row r="16" ht="15" customHeight="1">
      <c r="A16" s="1"/>
      <c r="B16" s="19" t="s">
        <v>29</v>
      </c>
      <c r="C16" s="20" t="s">
        <v>30</v>
      </c>
      <c r="D16" s="17"/>
      <c r="E16" s="17"/>
      <c r="F16" s="17"/>
      <c r="G16" s="17"/>
      <c r="H16" s="17"/>
      <c r="I16" s="17"/>
      <c r="J16" s="18"/>
      <c r="K16" s="1"/>
    </row>
    <row r="17" ht="15" customHeight="1">
      <c r="A17" s="1"/>
      <c r="B17" s="19" t="s">
        <v>31</v>
      </c>
      <c r="C17" s="20" t="s">
        <v>32</v>
      </c>
      <c r="D17" s="17"/>
      <c r="E17" s="17"/>
      <c r="F17" s="17"/>
      <c r="G17" s="17"/>
      <c r="H17" s="17"/>
      <c r="I17" s="17"/>
      <c r="J17" s="18"/>
      <c r="K17" s="1"/>
    </row>
    <row r="18" ht="15" customHeight="1">
      <c r="A18" s="1"/>
      <c r="B18" s="1"/>
      <c r="C18" s="17"/>
      <c r="D18" s="17"/>
      <c r="E18" s="17"/>
      <c r="F18" s="17"/>
      <c r="G18" s="17"/>
      <c r="H18" s="17"/>
      <c r="I18" s="17"/>
      <c r="J18" s="18"/>
      <c r="K18" s="1"/>
    </row>
    <row r="19" ht="15" customHeight="1">
      <c r="A19" s="1"/>
      <c r="B19" s="16" t="s">
        <v>33</v>
      </c>
      <c r="C19" s="17"/>
      <c r="D19" s="17"/>
      <c r="E19" s="17"/>
      <c r="F19" s="17"/>
      <c r="G19" s="17"/>
      <c r="H19" s="17"/>
      <c r="I19" s="17"/>
      <c r="J19" s="18"/>
      <c r="K19" s="1"/>
    </row>
    <row r="20" ht="15" customHeight="1">
      <c r="A20" s="1"/>
      <c r="B20" s="21" t="s">
        <v>34</v>
      </c>
      <c r="C20" s="22" t="s">
        <v>12</v>
      </c>
      <c r="D20" s="22" t="s">
        <v>35</v>
      </c>
      <c r="E20" s="22" t="s">
        <v>36</v>
      </c>
      <c r="F20" s="22" t="s">
        <v>37</v>
      </c>
      <c r="G20" s="22" t="s">
        <v>38</v>
      </c>
      <c r="H20" s="22"/>
      <c r="I20" s="22"/>
      <c r="J20" s="23"/>
      <c r="K20" s="21" t="s">
        <v>39</v>
      </c>
    </row>
    <row r="21" ht="28.5" customHeight="1">
      <c r="A21" s="1"/>
      <c r="B21" s="24" t="s">
        <v>40</v>
      </c>
      <c r="C21" s="25">
        <f>'Income Statement'!J12</f>
        <v>49062.770285378305</v>
      </c>
      <c r="D21" s="25">
        <f>Inputs!C41</f>
        <v>48762.9</v>
      </c>
      <c r="E21" s="26">
        <f t="shared" si="2" ref="E21:E31">_xlfn.IFERROR(C21-D21,"n.a.")</f>
        <v>299.8702853783034</v>
      </c>
      <c r="F21" s="26" t="s">
        <v>41</v>
      </c>
      <c r="G21" s="26" t="s">
        <v>41</v>
      </c>
      <c r="H21" s="26"/>
      <c r="I21" s="26"/>
      <c r="J21" s="27"/>
      <c r="K21" s="1"/>
    </row>
    <row r="22" ht="15" customHeight="1">
      <c r="A22" s="1"/>
      <c r="B22" s="28" t="s">
        <v>42</v>
      </c>
      <c r="C22" s="29"/>
      <c r="D22" s="29"/>
      <c r="E22" s="29">
        <f t="shared" si="3" ref="E22:E32">_xlfn.IFERROR(E21/D21,"n.a.")</f>
        <v>0.00614955807341859</v>
      </c>
      <c r="F22" s="29"/>
      <c r="G22" s="29"/>
      <c r="H22" s="29"/>
      <c r="I22" s="29"/>
      <c r="J22" s="30"/>
      <c r="K22" s="1"/>
    </row>
    <row r="23" ht="15" customHeight="1">
      <c r="A23" s="1"/>
      <c r="B23" s="19" t="s">
        <v>43</v>
      </c>
      <c r="C23" s="25">
        <f>'Income Statement'!J89</f>
        <v>4015.083642516385</v>
      </c>
      <c r="D23" s="26" t="s">
        <v>41</v>
      </c>
      <c r="E23" s="26" t="str">
        <f t="shared" si="2"/>
        <v>n.a.</v>
      </c>
      <c r="F23" s="26" t="s">
        <v>41</v>
      </c>
      <c r="G23" s="25">
        <f>Guidance!G38*1000</f>
        <v>15000</v>
      </c>
      <c r="H23" s="26"/>
      <c r="I23" s="26"/>
      <c r="J23" s="27"/>
      <c r="K23" s="1"/>
    </row>
    <row r="24" ht="15" customHeight="1">
      <c r="A24" s="1"/>
      <c r="B24" s="28" t="s">
        <v>42</v>
      </c>
      <c r="C24" s="29"/>
      <c r="D24" s="29"/>
      <c r="E24" s="29" t="str">
        <f t="shared" si="3"/>
        <v>n.a.</v>
      </c>
      <c r="F24" s="29"/>
      <c r="G24" s="29"/>
      <c r="H24" s="29"/>
      <c r="I24" s="29"/>
      <c r="J24" s="30"/>
      <c r="K24" s="1" t="s">
        <v>44</v>
      </c>
    </row>
    <row r="25" ht="28.5" customHeight="1">
      <c r="A25" s="1"/>
      <c r="B25" s="24" t="s">
        <v>45</v>
      </c>
      <c r="C25" s="25">
        <f>'Income Statement'!J115</f>
        <v>3264.343168650854</v>
      </c>
      <c r="D25" s="25">
        <f>Inputs!C54</f>
        <v>3246.71</v>
      </c>
      <c r="E25" s="26">
        <f t="shared" si="2"/>
        <v>17.633168650853804</v>
      </c>
      <c r="F25" s="26" t="s">
        <v>41</v>
      </c>
      <c r="G25" s="26" t="s">
        <v>41</v>
      </c>
      <c r="H25" s="26"/>
      <c r="I25" s="26"/>
      <c r="J25" s="27"/>
      <c r="K25" s="1" t="s">
        <v>46</v>
      </c>
    </row>
    <row r="26" ht="15" customHeight="1">
      <c r="A26" s="1"/>
      <c r="B26" s="28" t="s">
        <v>42</v>
      </c>
      <c r="C26" s="29"/>
      <c r="D26" s="29"/>
      <c r="E26" s="29">
        <f t="shared" si="3"/>
        <v>0.005431088286558948</v>
      </c>
      <c r="F26" s="29"/>
      <c r="G26" s="29"/>
      <c r="H26" s="29"/>
      <c r="I26" s="29"/>
      <c r="J26" s="30"/>
      <c r="K26" s="1"/>
    </row>
    <row r="27" ht="28.5" customHeight="1">
      <c r="A27" s="1"/>
      <c r="B27" s="24" t="s">
        <v>47</v>
      </c>
      <c r="C27" s="25">
        <f>'Income Statement'!J49</f>
        <v>3114.343168650854</v>
      </c>
      <c r="D27" s="25">
        <f>Inputs!C55</f>
        <v>2775.25</v>
      </c>
      <c r="E27" s="26">
        <f t="shared" si="2"/>
        <v>339.09316865085384</v>
      </c>
      <c r="F27" s="26" t="s">
        <v>41</v>
      </c>
      <c r="G27" s="25">
        <f>Guidance!G37*1000</f>
        <v>9100.000000000002</v>
      </c>
      <c r="H27" s="26"/>
      <c r="I27" s="26"/>
      <c r="J27" s="27"/>
      <c r="K27" s="1" t="s">
        <v>48</v>
      </c>
    </row>
    <row r="28" ht="15" customHeight="1">
      <c r="A28" s="1"/>
      <c r="B28" s="28" t="s">
        <v>42</v>
      </c>
      <c r="C28" s="29"/>
      <c r="D28" s="29"/>
      <c r="E28" s="29">
        <f t="shared" si="3"/>
        <v>0.12218472881753134</v>
      </c>
      <c r="F28" s="29"/>
      <c r="G28" s="29"/>
      <c r="H28" s="29"/>
      <c r="I28" s="29"/>
      <c r="J28" s="30"/>
      <c r="K28" s="1"/>
    </row>
    <row r="29" ht="28.5" customHeight="1">
      <c r="A29" s="1"/>
      <c r="B29" s="24" t="s">
        <v>49</v>
      </c>
      <c r="C29" s="31">
        <f>'Income Statement'!J118</f>
        <v>3.697563976105113</v>
      </c>
      <c r="D29" s="31">
        <f>Inputs!C23</f>
        <v>3.63</v>
      </c>
      <c r="E29" s="32">
        <f t="shared" si="2"/>
        <v>0.067563976105113</v>
      </c>
      <c r="F29" s="32" t="s">
        <v>41</v>
      </c>
      <c r="G29" s="31">
        <f>Guidance!G42</f>
        <v>13</v>
      </c>
      <c r="H29" s="32"/>
      <c r="I29" s="32"/>
      <c r="J29" s="33"/>
      <c r="K29" s="1"/>
    </row>
    <row r="30" ht="15" customHeight="1">
      <c r="A30" s="1"/>
      <c r="B30" s="28" t="s">
        <v>42</v>
      </c>
      <c r="C30" s="29"/>
      <c r="D30" s="29"/>
      <c r="E30" s="29">
        <f t="shared" si="3"/>
        <v>0.01861266559369504</v>
      </c>
      <c r="F30" s="29"/>
      <c r="G30" s="29"/>
      <c r="H30" s="29"/>
      <c r="I30" s="29"/>
      <c r="J30" s="30"/>
      <c r="K30" s="1"/>
    </row>
    <row r="31" ht="15" customHeight="1">
      <c r="A31" s="1"/>
      <c r="B31" s="19" t="s">
        <v>50</v>
      </c>
      <c r="C31" s="31">
        <f>'Income Statement'!J61</f>
        <v>3.5050027644119006</v>
      </c>
      <c r="D31" s="31">
        <f>Inputs!C32</f>
        <v>3.68</v>
      </c>
      <c r="E31" s="32">
        <f t="shared" si="2"/>
        <v>-0.17499723558809954</v>
      </c>
      <c r="F31" s="32" t="s">
        <v>41</v>
      </c>
      <c r="G31" s="31">
        <f>Guidance!G41</f>
        <v>9.98</v>
      </c>
      <c r="H31" s="32"/>
      <c r="I31" s="32"/>
      <c r="J31" s="33"/>
      <c r="K31" s="1" t="s">
        <v>51</v>
      </c>
    </row>
    <row r="32" ht="15" customHeight="1">
      <c r="A32" s="1"/>
      <c r="B32" s="28" t="s">
        <v>42</v>
      </c>
      <c r="C32" s="29"/>
      <c r="D32" s="29"/>
      <c r="E32" s="29">
        <f t="shared" si="3"/>
        <v>-0.04755359662720096</v>
      </c>
      <c r="F32" s="29"/>
      <c r="G32" s="29"/>
      <c r="H32" s="29"/>
      <c r="I32" s="29"/>
      <c r="J32" s="30"/>
      <c r="K32" s="1"/>
    </row>
    <row r="33" ht="15" customHeight="1">
      <c r="A33" s="1"/>
      <c r="B33" s="34" t="s">
        <v>52</v>
      </c>
      <c r="C33" s="35">
        <f>Inputs!C104</f>
        <v>0.8</v>
      </c>
      <c r="D33" s="36"/>
      <c r="E33" s="36"/>
      <c r="F33" s="36"/>
      <c r="G33" s="36"/>
      <c r="H33" s="36"/>
      <c r="I33" s="36"/>
      <c r="J33" s="37"/>
      <c r="K33" s="1"/>
    </row>
    <row r="34" ht="15" customHeight="1">
      <c r="A34" s="1"/>
      <c r="B34" s="34" t="s">
        <v>53</v>
      </c>
      <c r="C34" s="38" t="str">
        <f>Inputs!C106</f>
        <v>medium</v>
      </c>
      <c r="D34" s="39"/>
      <c r="E34" s="39"/>
      <c r="F34" s="39"/>
      <c r="G34" s="39"/>
      <c r="H34" s="39"/>
      <c r="I34" s="39"/>
      <c r="J34" s="40"/>
      <c r="K34" s="1"/>
    </row>
    <row r="35" ht="15" customHeight="1">
      <c r="A35" s="1"/>
      <c r="B35" s="5" t="s">
        <v>55</v>
      </c>
      <c r="C35" s="17"/>
      <c r="D35" s="17"/>
      <c r="E35" s="17"/>
      <c r="F35" s="17"/>
      <c r="G35" s="17"/>
      <c r="H35" s="17"/>
      <c r="I35" s="17"/>
      <c r="J35" s="18"/>
      <c r="K35" s="1"/>
    </row>
    <row r="36" ht="15" customHeight="1">
      <c r="A36" s="1"/>
      <c r="B36" s="1"/>
      <c r="C36" s="17"/>
      <c r="D36" s="17"/>
      <c r="E36" s="17"/>
      <c r="F36" s="17"/>
      <c r="G36" s="17"/>
      <c r="H36" s="17"/>
      <c r="I36" s="17"/>
      <c r="J36" s="18"/>
      <c r="K36" s="1"/>
    </row>
    <row r="37" ht="15" customHeight="1">
      <c r="A37" s="1"/>
      <c r="B37" s="16" t="s">
        <v>56</v>
      </c>
      <c r="C37" s="17"/>
      <c r="D37" s="17"/>
      <c r="E37" s="17"/>
      <c r="F37" s="17"/>
      <c r="G37" s="17"/>
      <c r="H37" s="17"/>
      <c r="I37" s="17"/>
      <c r="J37" s="18"/>
      <c r="K37" s="1"/>
    </row>
    <row r="38" ht="28.5" customHeight="1">
      <c r="A38" s="1"/>
      <c r="B38" s="24" t="s">
        <v>57</v>
      </c>
      <c r="C38" s="41">
        <f>IF(AND(ABS(C29-'Income Statement'!J118)&lt;0.0001,ABS(C21-'Income Statement'!J12)&lt;0.01,ABS(C25-'Income Statement'!J115)&lt;0.01),0,1)</f>
        <v>0</v>
      </c>
      <c r="D38" s="42"/>
      <c r="E38" s="42"/>
      <c r="F38" s="42"/>
      <c r="G38" s="42"/>
      <c r="H38" s="42"/>
      <c r="I38" s="42"/>
      <c r="J38" s="43"/>
      <c r="K38" s="1" t="s">
        <v>58</v>
      </c>
    </row>
    <row r="39" ht="28.5" customHeight="1">
      <c r="A39" s="1"/>
      <c r="B39" s="44" t="s">
        <v>59</v>
      </c>
      <c r="C39" s="38" t="str">
        <f>IF(SUMPRODUCT(ABS('Revenue summary'!C77:J77))+SUMPRODUCT(ABS('Revenue summary'!C78:J78))+SUMPRODUCT(ABS('Revenue summary'!C79:J79))+SUMPRODUCT(ABS('Segment - GMNA'!C26:J26))+SUMPRODUCT(ABS('Segment - GMNA'!C110:J110))+SUMPRODUCT(ABS('Segment - GMI'!C20:J20))+SUMPRODUCT(ABS('Segment - GMI'!C71:J71))+SUMPRODUCT(ABS('Segment - GM Financial'!C47:J47))+SUMPRODUCT(ABS('Segment - GM Financial'!C53:J53))+SUMPRODUCT(ABS('Segment - GM Financial'!C98:J98))+SUMPRODUCT(ABS('Segment - GM Financial'!C128:J128))+SUMPRODUCT(ABS('Income Statement'!C64:J64))+SUMPRODUCT(ABS('Income Statement'!C66:J66))+SUMPRODUCT(ABS('Income Statement'!C67:J67))+SUMPRODUCT(ABS('Income Statement'!C105:J105))+SUMPRODUCT(ABS('Income Statement'!C127:J127))+SUMPRODUCT(ABS('Income Statement'!C128:J128))+SUMPRODUCT(ABS('Balance Sheet'!C48:J48))+SUMPRODUCT(ABS('Balance Sheet'!C50:J50))+SUMPRODUCT(ABS('Cash Flow Statement'!C43:J43))+SUMPRODUCT(ABS('Cash Flow Statement'!C44:J44))+SUMPRODUCT(ABS('Cash Flow Statement'!C45:J45))+SUMPRODUCT(ABS('Cash Flow Statement'!C62:J62))+SUMPRODUCT(ABS('Cash Flow Statement'!C95:J95))+SUMPRODUCT(ABS(Geo!C18:J18))+SUMPRODUCT(ABS(Geo!C47:J47))+C38=0,"PASS","FAIL")</f>
        <v>PASS</v>
      </c>
      <c r="D39" s="39"/>
      <c r="E39" s="39"/>
      <c r="F39" s="39"/>
      <c r="G39" s="39"/>
      <c r="H39" s="39"/>
      <c r="I39" s="39"/>
      <c r="J39" s="40"/>
      <c r="K39" s="1" t="s">
        <v>61</v>
      </c>
    </row>
    <row r="40" ht="15" customHeight="1">
      <c r="A40" s="1"/>
      <c r="B40" s="5" t="s">
        <v>62</v>
      </c>
      <c r="C40" s="17"/>
      <c r="D40" s="17"/>
      <c r="E40" s="17"/>
      <c r="F40" s="17"/>
      <c r="G40" s="17"/>
      <c r="H40" s="17"/>
      <c r="I40" s="17"/>
      <c r="J40" s="18"/>
      <c r="K40" s="1"/>
    </row>
    <row r="41" ht="28.5" customHeight="1">
      <c r="A41" s="1"/>
      <c r="B41" s="24" t="s">
        <v>63</v>
      </c>
      <c r="C41" s="41">
        <f>COUNTIF('Income Statement'!I141:I144,"&lt;&gt;0")</f>
        <v>4</v>
      </c>
      <c r="D41" s="17"/>
      <c r="E41" s="17"/>
      <c r="F41" s="17"/>
      <c r="G41" s="17"/>
      <c r="H41" s="17"/>
      <c r="I41" s="17"/>
      <c r="J41" s="18"/>
      <c r="K41" s="1" t="s">
        <v>64</v>
      </c>
    </row>
    <row r="42" ht="15" customHeight="1">
      <c r="A42" s="1"/>
      <c r="B42" s="16" t="s">
        <v>65</v>
      </c>
      <c r="C42" s="17"/>
      <c r="D42" s="17"/>
      <c r="E42" s="17"/>
      <c r="F42" s="17"/>
      <c r="G42" s="17"/>
      <c r="H42" s="17"/>
      <c r="I42" s="17"/>
      <c r="J42" s="18"/>
      <c r="K42" s="1"/>
    </row>
    <row r="43" ht="28.5" customHeight="1">
      <c r="A43" s="1"/>
      <c r="B43" s="24" t="s">
        <v>66</v>
      </c>
      <c r="C43" s="45">
        <v>3.61</v>
      </c>
      <c r="D43" s="32"/>
      <c r="E43" s="32"/>
      <c r="F43" s="32"/>
      <c r="G43" s="32"/>
      <c r="H43" s="32"/>
      <c r="I43" s="32"/>
      <c r="J43" s="33"/>
      <c r="K43" s="1"/>
    </row>
    <row r="44" ht="28.5" customHeight="1">
      <c r="A44" s="1"/>
      <c r="B44" s="46" t="s">
        <v>67</v>
      </c>
      <c r="C44" s="47">
        <v>48680</v>
      </c>
      <c r="D44" s="26"/>
      <c r="E44" s="26"/>
      <c r="F44" s="26"/>
      <c r="G44" s="26"/>
      <c r="H44" s="26"/>
      <c r="I44" s="26"/>
      <c r="J44" s="27"/>
      <c r="K44" s="1"/>
    </row>
    <row r="45" ht="28.5" customHeight="1">
      <c r="A45" s="1"/>
      <c r="B45" s="24" t="s">
        <v>68</v>
      </c>
      <c r="C45" s="45">
        <v>3.63</v>
      </c>
      <c r="D45" s="32"/>
      <c r="E45" s="32"/>
      <c r="F45" s="32"/>
      <c r="G45" s="32"/>
      <c r="H45" s="32"/>
      <c r="I45" s="32"/>
      <c r="J45" s="33"/>
      <c r="K45" s="1"/>
    </row>
    <row r="46" ht="28.5" customHeight="1">
      <c r="A46" s="1"/>
      <c r="B46" s="46" t="s">
        <v>69</v>
      </c>
      <c r="C46" s="47">
        <v>48760</v>
      </c>
      <c r="D46" s="26"/>
      <c r="E46" s="26"/>
      <c r="F46" s="26"/>
      <c r="G46" s="26"/>
      <c r="H46" s="26"/>
      <c r="I46" s="26"/>
      <c r="J46" s="27"/>
      <c r="K46" s="1"/>
    </row>
    <row r="47" ht="28.5" customHeight="1">
      <c r="A47" s="1"/>
      <c r="B47" s="24" t="s">
        <v>70</v>
      </c>
      <c r="C47" s="45">
        <v>3.52</v>
      </c>
      <c r="D47" s="32"/>
      <c r="E47" s="32"/>
      <c r="F47" s="32"/>
      <c r="G47" s="32"/>
      <c r="H47" s="32"/>
      <c r="I47" s="32"/>
      <c r="J47" s="33"/>
      <c r="K47" s="1"/>
    </row>
    <row r="48" ht="28.5" customHeight="1">
      <c r="A48" s="1"/>
      <c r="B48" s="46" t="s">
        <v>71</v>
      </c>
      <c r="C48" s="47">
        <v>48240</v>
      </c>
      <c r="D48" s="26"/>
      <c r="E48" s="26"/>
      <c r="F48" s="26"/>
      <c r="G48" s="26"/>
      <c r="H48" s="26"/>
      <c r="I48" s="26"/>
      <c r="J48" s="27"/>
      <c r="K48" s="1"/>
    </row>
    <row r="49" ht="28.5" customHeight="1">
      <c r="A49" s="1"/>
      <c r="B49" s="24" t="s">
        <v>72</v>
      </c>
      <c r="C49" s="45">
        <v>3.68</v>
      </c>
      <c r="D49" s="32"/>
      <c r="E49" s="32"/>
      <c r="F49" s="32"/>
      <c r="G49" s="32"/>
      <c r="H49" s="32"/>
      <c r="I49" s="32"/>
      <c r="J49" s="33"/>
      <c r="K49" s="1"/>
    </row>
    <row r="50" ht="28.5" customHeight="1">
      <c r="A50" s="1"/>
      <c r="B50" s="46" t="s">
        <v>73</v>
      </c>
      <c r="C50" s="47">
        <v>48740</v>
      </c>
      <c r="D50" s="26"/>
      <c r="E50" s="26"/>
      <c r="F50" s="26"/>
      <c r="G50" s="26"/>
      <c r="H50" s="26"/>
      <c r="I50" s="26"/>
      <c r="J50" s="27"/>
      <c r="K50" s="1"/>
    </row>
    <row r="51" ht="28.5" customHeight="1">
      <c r="A51" s="1"/>
      <c r="B51" s="24" t="s">
        <v>74</v>
      </c>
      <c r="C51" s="45">
        <v>3.59</v>
      </c>
      <c r="D51" s="32"/>
      <c r="E51" s="32"/>
      <c r="F51" s="32"/>
      <c r="G51" s="32"/>
      <c r="H51" s="32"/>
      <c r="I51" s="32"/>
      <c r="J51" s="33"/>
      <c r="K51" s="1"/>
    </row>
    <row r="52" ht="28.5" customHeight="1">
      <c r="A52" s="1"/>
      <c r="B52" s="46" t="s">
        <v>75</v>
      </c>
      <c r="C52" s="26" t="s">
        <v>41</v>
      </c>
      <c r="D52" s="26"/>
      <c r="E52" s="26"/>
      <c r="F52" s="26"/>
      <c r="G52" s="26"/>
      <c r="H52" s="26"/>
      <c r="I52" s="26"/>
      <c r="J52" s="27"/>
      <c r="K52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drawing r:id="rId1"/>
  <extLst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2547B0B-8E08-B9C8-B188-8E1727B2A05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</row>
    <row r="3" ht="15" customHeight="1">
      <c r="A3" s="1"/>
      <c r="B3" s="4" t="s">
        <v>76</v>
      </c>
      <c r="C3" s="1"/>
      <c r="D3" s="1"/>
      <c r="E3" s="1"/>
      <c r="F3" s="1"/>
      <c r="G3" s="1"/>
      <c r="H3" s="1"/>
      <c r="I3" s="1"/>
      <c r="J3" s="1"/>
      <c r="K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</row>
    <row r="5" ht="15" customHeight="1">
      <c r="A5" s="1"/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8" t="s">
        <v>12</v>
      </c>
      <c r="K5" s="6" t="s">
        <v>13</v>
      </c>
    </row>
    <row r="6" ht="15" customHeight="1">
      <c r="A6" s="1"/>
      <c r="B6" s="9" t="s">
        <v>14</v>
      </c>
      <c r="C6" s="10">
        <f>DATE(2025,3,31)</f>
        <v>45747</v>
      </c>
      <c r="D6" s="10">
        <f>DATE(2025,6,30)</f>
        <v>45838</v>
      </c>
      <c r="E6" s="10">
        <f>DATE(2025,9,30)</f>
        <v>45930</v>
      </c>
      <c r="F6" s="10">
        <f t="shared" si="0" ref="F6:I6">DATE(2025,12,31)</f>
        <v>46022</v>
      </c>
      <c r="G6" s="10">
        <f>DATE(2026,3,31)</f>
        <v>46112</v>
      </c>
      <c r="H6" s="10">
        <f>DATE(2026,6,30)</f>
        <v>46203</v>
      </c>
      <c r="I6" s="10">
        <f t="shared" si="0"/>
        <v>46022</v>
      </c>
      <c r="J6" s="11">
        <f>DATE(2026,9,30)</f>
        <v>46295</v>
      </c>
      <c r="K6" s="9"/>
    </row>
    <row r="7" ht="15" customHeight="1">
      <c r="A7" s="1"/>
      <c r="B7" s="12" t="s">
        <v>15</v>
      </c>
      <c r="C7" s="13">
        <f t="shared" si="1" ref="C7:J7">C6-EOMONTH(C6,-3)</f>
        <v>90</v>
      </c>
      <c r="D7" s="13">
        <f t="shared" si="1"/>
        <v>91</v>
      </c>
      <c r="E7" s="13">
        <f t="shared" si="1"/>
        <v>92</v>
      </c>
      <c r="F7" s="13">
        <f t="shared" si="1"/>
        <v>92</v>
      </c>
      <c r="G7" s="13">
        <f t="shared" si="1"/>
        <v>90</v>
      </c>
      <c r="H7" s="13">
        <f t="shared" si="1"/>
        <v>91</v>
      </c>
      <c r="I7" s="13">
        <f>I6-EOMONTH(I6,-12)</f>
        <v>365</v>
      </c>
      <c r="J7" s="14">
        <f t="shared" si="1"/>
        <v>92</v>
      </c>
      <c r="K7" s="12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5"/>
      <c r="K8" s="1"/>
    </row>
    <row r="9" ht="15" customHeight="1">
      <c r="A9" s="1"/>
      <c r="B9" s="16" t="s">
        <v>77</v>
      </c>
      <c r="C9" s="17"/>
      <c r="D9" s="17"/>
      <c r="E9" s="17"/>
      <c r="F9" s="17"/>
      <c r="G9" s="17"/>
      <c r="H9" s="17"/>
      <c r="I9" s="17"/>
      <c r="J9" s="18"/>
      <c r="K9" s="1" t="s">
        <v>78</v>
      </c>
    </row>
    <row r="10" ht="15" customHeight="1">
      <c r="A10" s="1"/>
      <c r="B10" s="1" t="s">
        <v>79</v>
      </c>
      <c r="C10" s="25">
        <f>'Segment - GMNA'!C101</f>
        <v>37388</v>
      </c>
      <c r="D10" s="25">
        <f>'Segment - GMNA'!D101</f>
        <v>39486</v>
      </c>
      <c r="E10" s="25">
        <f>'Segment - GMNA'!E101</f>
        <v>40552</v>
      </c>
      <c r="F10" s="25">
        <f>'Segment - GMNA'!F101</f>
        <v>36893</v>
      </c>
      <c r="G10" s="25">
        <f>'Segment - GMNA'!G101</f>
        <v>36401</v>
      </c>
      <c r="H10" s="25">
        <f>'Segment - GMNA'!H101</f>
        <v>39912</v>
      </c>
      <c r="I10" s="25">
        <f>'Segment - GMNA'!I101</f>
        <v>154317</v>
      </c>
      <c r="J10" s="48">
        <f>'Segment - GMNA'!J101</f>
        <v>40928.05536</v>
      </c>
      <c r="K10" s="1"/>
    </row>
    <row r="11" ht="15" customHeight="1">
      <c r="A11" s="1"/>
      <c r="B11" s="28" t="s">
        <v>80</v>
      </c>
      <c r="C11" s="29" t="s">
        <v>41</v>
      </c>
      <c r="D11" s="29" t="s">
        <v>41</v>
      </c>
      <c r="E11" s="29" t="s">
        <v>41</v>
      </c>
      <c r="F11" s="29" t="s">
        <v>41</v>
      </c>
      <c r="G11" s="29">
        <f t="shared" si="2" ref="G11:H67">_xlfn.IFERROR(G10/C10-1,"n.a.")</f>
        <v>-0.02639884454905317</v>
      </c>
      <c r="H11" s="29">
        <f t="shared" si="2"/>
        <v>0.010788633946208881</v>
      </c>
      <c r="I11" s="29" t="s">
        <v>41</v>
      </c>
      <c r="J11" s="30">
        <f t="shared" si="7" ref="J11:J67">_xlfn.IFERROR(J10/E10-1,"n.a.")</f>
        <v>0.009273410929177217</v>
      </c>
      <c r="K11" s="1"/>
    </row>
    <row r="12" ht="15" customHeight="1">
      <c r="A12" s="1"/>
      <c r="B12" s="28" t="s">
        <v>81</v>
      </c>
      <c r="C12" s="29" t="s">
        <v>41</v>
      </c>
      <c r="D12" s="29">
        <f t="shared" si="3" ref="D12:H68">_xlfn.IFERROR(D10/C10-1,"n.a.")</f>
        <v>0.05611426126029739</v>
      </c>
      <c r="E12" s="29">
        <f t="shared" si="3"/>
        <v>0.026996910297320653</v>
      </c>
      <c r="F12" s="29">
        <f t="shared" si="3"/>
        <v>-0.09022982836851445</v>
      </c>
      <c r="G12" s="29">
        <f t="shared" si="3"/>
        <v>-0.013335863171875406</v>
      </c>
      <c r="H12" s="29">
        <f t="shared" si="3"/>
        <v>0.09645339413752363</v>
      </c>
      <c r="I12" s="29" t="s">
        <v>41</v>
      </c>
      <c r="J12" s="30">
        <f t="shared" si="8" ref="J12:J68">_xlfn.IFERROR(J10/H10-1,"n.a.")</f>
        <v>0.025457390258568857</v>
      </c>
      <c r="K12" s="1"/>
    </row>
    <row r="13" ht="15" customHeight="1">
      <c r="A13" s="1"/>
      <c r="B13" s="28" t="s">
        <v>82</v>
      </c>
      <c r="C13" s="29">
        <f t="shared" si="4" ref="C13:J13">_xlfn.IFERROR(C10/C66,"n.a.")</f>
        <v>0.8493219145407873</v>
      </c>
      <c r="D13" s="29">
        <f t="shared" si="4"/>
        <v>0.8379347664622371</v>
      </c>
      <c r="E13" s="29">
        <f t="shared" si="4"/>
        <v>0.8345406651300625</v>
      </c>
      <c r="F13" s="29">
        <f t="shared" si="4"/>
        <v>0.8146487954600659</v>
      </c>
      <c r="G13" s="29">
        <f t="shared" si="4"/>
        <v>0.834387750424059</v>
      </c>
      <c r="H13" s="29">
        <f t="shared" si="4"/>
        <v>0.8310498479990005</v>
      </c>
      <c r="I13" s="29">
        <f t="shared" si="4"/>
        <v>0.8340602857003875</v>
      </c>
      <c r="J13" s="30">
        <f t="shared" si="4"/>
        <v>0.8341978066452025</v>
      </c>
      <c r="K13" s="1"/>
    </row>
    <row r="14" ht="15" customHeight="1">
      <c r="A14" s="1"/>
      <c r="B14" s="28" t="s">
        <v>83</v>
      </c>
      <c r="C14" s="29" t="s">
        <v>84</v>
      </c>
      <c r="D14" s="29" t="s">
        <v>84</v>
      </c>
      <c r="E14" s="29" t="s">
        <v>84</v>
      </c>
      <c r="F14" s="29" t="s">
        <v>84</v>
      </c>
      <c r="G14" s="29" t="s">
        <v>84</v>
      </c>
      <c r="H14" s="29" t="s">
        <v>84</v>
      </c>
      <c r="I14" s="29" t="s">
        <v>84</v>
      </c>
      <c r="J14" s="30" t="s">
        <v>84</v>
      </c>
      <c r="K14" s="1" t="s">
        <v>85</v>
      </c>
    </row>
    <row r="15" ht="15" customHeight="1">
      <c r="A15" s="1"/>
      <c r="B15" s="28" t="s">
        <v>86</v>
      </c>
      <c r="C15" s="29" t="s">
        <v>84</v>
      </c>
      <c r="D15" s="29" t="s">
        <v>84</v>
      </c>
      <c r="E15" s="29" t="s">
        <v>84</v>
      </c>
      <c r="F15" s="29" t="s">
        <v>84</v>
      </c>
      <c r="G15" s="29" t="s">
        <v>84</v>
      </c>
      <c r="H15" s="29" t="s">
        <v>84</v>
      </c>
      <c r="I15" s="29" t="s">
        <v>84</v>
      </c>
      <c r="J15" s="30" t="s">
        <v>84</v>
      </c>
      <c r="K15" s="1" t="s">
        <v>87</v>
      </c>
    </row>
    <row r="16" ht="15" customHeight="1">
      <c r="A16" s="1"/>
      <c r="B16" s="28" t="s">
        <v>88</v>
      </c>
      <c r="C16" s="29" t="str">
        <f t="shared" si="5" ref="C16:J58">IF(AND(ISNUMBER(C11),ISNUMBER(C14),ISNUMBER(C15)),(1+C11)/((1+C14)*(1+C15))-1,"Unavailable")</f>
        <v>Unavailable</v>
      </c>
      <c r="D16" s="29" t="str">
        <f t="shared" si="5"/>
        <v>Unavailable</v>
      </c>
      <c r="E16" s="29" t="str">
        <f t="shared" si="5"/>
        <v>Unavailable</v>
      </c>
      <c r="F16" s="29" t="str">
        <f t="shared" si="5"/>
        <v>Unavailable</v>
      </c>
      <c r="G16" s="29" t="str">
        <f t="shared" si="5"/>
        <v>Unavailable</v>
      </c>
      <c r="H16" s="29" t="str">
        <f t="shared" si="5"/>
        <v>Unavailable</v>
      </c>
      <c r="I16" s="29" t="str">
        <f t="shared" si="5"/>
        <v>Unavailable</v>
      </c>
      <c r="J16" s="30" t="str">
        <f t="shared" si="5"/>
        <v>Unavailable</v>
      </c>
      <c r="K16" s="1"/>
    </row>
    <row r="17" ht="15" customHeight="1">
      <c r="A17" s="1"/>
      <c r="B17" s="28" t="s">
        <v>89</v>
      </c>
      <c r="C17" s="29" t="str">
        <f t="shared" si="6" ref="C17:J59">C11</f>
        <v>n.a.</v>
      </c>
      <c r="D17" s="29" t="str">
        <f t="shared" si="6"/>
        <v>n.a.</v>
      </c>
      <c r="E17" s="29" t="str">
        <f t="shared" si="6"/>
        <v>n.a.</v>
      </c>
      <c r="F17" s="29" t="str">
        <f t="shared" si="6"/>
        <v>n.a.</v>
      </c>
      <c r="G17" s="29">
        <f t="shared" si="6"/>
        <v>-0.02639884454905317</v>
      </c>
      <c r="H17" s="29">
        <f t="shared" si="6"/>
        <v>0.010788633946208881</v>
      </c>
      <c r="I17" s="29" t="str">
        <f t="shared" si="6"/>
        <v>n.a.</v>
      </c>
      <c r="J17" s="30">
        <f t="shared" si="6"/>
        <v>0.009273410929177217</v>
      </c>
      <c r="K17" s="1"/>
    </row>
    <row r="18" ht="15" customHeight="1">
      <c r="A18" s="1"/>
      <c r="B18" s="1" t="s">
        <v>90</v>
      </c>
      <c r="C18" s="25">
        <f>'Segment - GMI'!C62</f>
        <v>2427</v>
      </c>
      <c r="D18" s="25">
        <f>'Segment - GMI'!D62</f>
        <v>3327</v>
      </c>
      <c r="E18" s="25">
        <f>'Segment - GMI'!E62</f>
        <v>3645</v>
      </c>
      <c r="F18" s="25">
        <f>'Segment - GMI'!F62</f>
        <v>4029</v>
      </c>
      <c r="G18" s="25">
        <f>'Segment - GMI'!G62</f>
        <v>2859</v>
      </c>
      <c r="H18" s="25">
        <f>'Segment - GMI'!H62</f>
        <v>3691</v>
      </c>
      <c r="I18" s="25">
        <f>'Segment - GMI'!I62</f>
        <v>13427</v>
      </c>
      <c r="J18" s="48">
        <f>'Segment - GMI'!J62</f>
        <v>3681.537</v>
      </c>
      <c r="K18" s="1"/>
    </row>
    <row r="19" ht="15" customHeight="1">
      <c r="A19" s="1"/>
      <c r="B19" s="28" t="s">
        <v>80</v>
      </c>
      <c r="C19" s="29" t="s">
        <v>41</v>
      </c>
      <c r="D19" s="29" t="s">
        <v>41</v>
      </c>
      <c r="E19" s="29" t="s">
        <v>41</v>
      </c>
      <c r="F19" s="29" t="s">
        <v>41</v>
      </c>
      <c r="G19" s="29">
        <f t="shared" si="2"/>
        <v>0.17799752781211375</v>
      </c>
      <c r="H19" s="29">
        <f t="shared" si="2"/>
        <v>0.10940787496242854</v>
      </c>
      <c r="I19" s="29" t="s">
        <v>41</v>
      </c>
      <c r="J19" s="30">
        <f t="shared" si="7"/>
        <v>0.010023868312757145</v>
      </c>
      <c r="K19" s="1"/>
    </row>
    <row r="20" ht="15" customHeight="1">
      <c r="A20" s="1"/>
      <c r="B20" s="28" t="s">
        <v>81</v>
      </c>
      <c r="C20" s="29" t="s">
        <v>41</v>
      </c>
      <c r="D20" s="29">
        <f t="shared" si="3"/>
        <v>0.37082818294190356</v>
      </c>
      <c r="E20" s="29">
        <f t="shared" si="3"/>
        <v>0.09558160504959412</v>
      </c>
      <c r="F20" s="29">
        <f t="shared" si="3"/>
        <v>0.10534979423868318</v>
      </c>
      <c r="G20" s="29">
        <f t="shared" si="3"/>
        <v>-0.2903946388682055</v>
      </c>
      <c r="H20" s="29">
        <f t="shared" si="3"/>
        <v>0.29101084295208124</v>
      </c>
      <c r="I20" s="29" t="s">
        <v>41</v>
      </c>
      <c r="J20" s="30">
        <f t="shared" si="8"/>
        <v>-0.0025638038471959</v>
      </c>
      <c r="K20" s="1"/>
    </row>
    <row r="21" ht="15" customHeight="1">
      <c r="A21" s="1"/>
      <c r="B21" s="28" t="s">
        <v>82</v>
      </c>
      <c r="C21" s="29">
        <f t="shared" si="9" ref="C21:J21">_xlfn.IFERROR(C18/C66,"n.a.")</f>
        <v>0.05513277753799323</v>
      </c>
      <c r="D21" s="29">
        <f t="shared" si="9"/>
        <v>0.0706024658871464</v>
      </c>
      <c r="E21" s="29">
        <f t="shared" si="9"/>
        <v>0.07501234771155746</v>
      </c>
      <c r="F21" s="29">
        <f t="shared" si="9"/>
        <v>0.0889659284121271</v>
      </c>
      <c r="G21" s="29">
        <f t="shared" si="9"/>
        <v>0.06553431439966992</v>
      </c>
      <c r="H21" s="29">
        <f t="shared" si="9"/>
        <v>0.07685420397284803</v>
      </c>
      <c r="I21" s="29">
        <f t="shared" si="9"/>
        <v>0.07257092514822802</v>
      </c>
      <c r="J21" s="30">
        <f t="shared" si="9"/>
        <v>0.07503728343479153</v>
      </c>
      <c r="K21" s="1"/>
    </row>
    <row r="22" ht="15" customHeight="1">
      <c r="A22" s="1"/>
      <c r="B22" s="28" t="s">
        <v>83</v>
      </c>
      <c r="C22" s="29" t="s">
        <v>84</v>
      </c>
      <c r="D22" s="29" t="s">
        <v>84</v>
      </c>
      <c r="E22" s="29" t="s">
        <v>84</v>
      </c>
      <c r="F22" s="29" t="s">
        <v>84</v>
      </c>
      <c r="G22" s="29" t="s">
        <v>84</v>
      </c>
      <c r="H22" s="29" t="s">
        <v>84</v>
      </c>
      <c r="I22" s="29" t="s">
        <v>84</v>
      </c>
      <c r="J22" s="30" t="s">
        <v>84</v>
      </c>
      <c r="K22" s="1" t="s">
        <v>85</v>
      </c>
    </row>
    <row r="23" ht="15" customHeight="1">
      <c r="A23" s="1"/>
      <c r="B23" s="28" t="s">
        <v>86</v>
      </c>
      <c r="C23" s="29" t="s">
        <v>84</v>
      </c>
      <c r="D23" s="29" t="s">
        <v>84</v>
      </c>
      <c r="E23" s="29" t="s">
        <v>84</v>
      </c>
      <c r="F23" s="29" t="s">
        <v>84</v>
      </c>
      <c r="G23" s="29" t="s">
        <v>84</v>
      </c>
      <c r="H23" s="29" t="s">
        <v>84</v>
      </c>
      <c r="I23" s="29" t="s">
        <v>84</v>
      </c>
      <c r="J23" s="30" t="s">
        <v>84</v>
      </c>
      <c r="K23" s="1" t="s">
        <v>87</v>
      </c>
    </row>
    <row r="24" ht="15" customHeight="1">
      <c r="A24" s="1"/>
      <c r="B24" s="28" t="s">
        <v>88</v>
      </c>
      <c r="C24" s="29" t="str">
        <f t="shared" si="5"/>
        <v>Unavailable</v>
      </c>
      <c r="D24" s="29" t="str">
        <f t="shared" si="5"/>
        <v>Unavailable</v>
      </c>
      <c r="E24" s="29" t="str">
        <f t="shared" si="5"/>
        <v>Unavailable</v>
      </c>
      <c r="F24" s="29" t="str">
        <f t="shared" si="5"/>
        <v>Unavailable</v>
      </c>
      <c r="G24" s="29" t="str">
        <f t="shared" si="5"/>
        <v>Unavailable</v>
      </c>
      <c r="H24" s="29" t="str">
        <f t="shared" si="5"/>
        <v>Unavailable</v>
      </c>
      <c r="I24" s="29" t="str">
        <f t="shared" si="5"/>
        <v>Unavailable</v>
      </c>
      <c r="J24" s="30" t="str">
        <f t="shared" si="5"/>
        <v>Unavailable</v>
      </c>
      <c r="K24" s="1"/>
    </row>
    <row r="25" ht="15" customHeight="1">
      <c r="A25" s="1"/>
      <c r="B25" s="28" t="s">
        <v>89</v>
      </c>
      <c r="C25" s="29" t="str">
        <f t="shared" si="6"/>
        <v>n.a.</v>
      </c>
      <c r="D25" s="29" t="str">
        <f t="shared" si="6"/>
        <v>n.a.</v>
      </c>
      <c r="E25" s="29" t="str">
        <f t="shared" si="6"/>
        <v>n.a.</v>
      </c>
      <c r="F25" s="29" t="str">
        <f t="shared" si="6"/>
        <v>n.a.</v>
      </c>
      <c r="G25" s="29">
        <f t="shared" si="6"/>
        <v>0.17799752781211375</v>
      </c>
      <c r="H25" s="29">
        <f t="shared" si="6"/>
        <v>0.10940787496242854</v>
      </c>
      <c r="I25" s="29" t="str">
        <f t="shared" si="6"/>
        <v>n.a.</v>
      </c>
      <c r="J25" s="30">
        <f t="shared" si="6"/>
        <v>0.010023868312757145</v>
      </c>
      <c r="K25" s="1"/>
    </row>
    <row r="26" ht="28.5" customHeight="1">
      <c r="A26" s="1"/>
      <c r="B26" s="24" t="s">
        <v>91</v>
      </c>
      <c r="C26" s="47">
        <v>18</v>
      </c>
      <c r="D26" s="47">
        <v>30</v>
      </c>
      <c r="E26" s="47">
        <v>52</v>
      </c>
      <c r="F26" s="26">
        <f>F33-F29</f>
        <v>46</v>
      </c>
      <c r="G26" s="47">
        <v>67</v>
      </c>
      <c r="H26" s="47">
        <v>125</v>
      </c>
      <c r="I26" s="47">
        <v>145</v>
      </c>
      <c r="J26" s="49">
        <v>95</v>
      </c>
      <c r="K26" s="1" t="s">
        <v>92</v>
      </c>
    </row>
    <row r="27" ht="15" customHeight="1">
      <c r="A27" s="1"/>
      <c r="B27" s="28" t="s">
        <v>80</v>
      </c>
      <c r="C27" s="29" t="s">
        <v>41</v>
      </c>
      <c r="D27" s="29" t="s">
        <v>41</v>
      </c>
      <c r="E27" s="29" t="s">
        <v>41</v>
      </c>
      <c r="F27" s="29" t="s">
        <v>41</v>
      </c>
      <c r="G27" s="29">
        <f t="shared" si="2"/>
        <v>2.7222222222222223</v>
      </c>
      <c r="H27" s="29">
        <f t="shared" si="2"/>
        <v>3.166666666666667</v>
      </c>
      <c r="I27" s="29" t="s">
        <v>41</v>
      </c>
      <c r="J27" s="30">
        <f t="shared" si="7"/>
        <v>0.8269230769230769</v>
      </c>
      <c r="K27" s="1"/>
    </row>
    <row r="28" ht="15" customHeight="1">
      <c r="A28" s="1"/>
      <c r="B28" s="28" t="s">
        <v>93</v>
      </c>
      <c r="C28" s="50" t="s">
        <v>41</v>
      </c>
      <c r="D28" s="50">
        <f t="shared" si="10" ref="D28:H31">_xlfn.IFERROR(D26-C26,"n.a.")</f>
        <v>12</v>
      </c>
      <c r="E28" s="50">
        <f t="shared" si="10"/>
        <v>22</v>
      </c>
      <c r="F28" s="50">
        <f t="shared" si="10"/>
        <v>-6</v>
      </c>
      <c r="G28" s="50">
        <f t="shared" si="10"/>
        <v>21</v>
      </c>
      <c r="H28" s="50">
        <f t="shared" si="10"/>
        <v>58</v>
      </c>
      <c r="I28" s="50" t="s">
        <v>41</v>
      </c>
      <c r="J28" s="51">
        <f t="shared" si="11" ref="J28:J31">_xlfn.IFERROR(J26-H26,"n.a.")</f>
        <v>-30</v>
      </c>
      <c r="K28" s="1"/>
    </row>
    <row r="29" ht="15" customHeight="1">
      <c r="A29" s="1"/>
      <c r="B29" s="19" t="s">
        <v>94</v>
      </c>
      <c r="C29" s="47">
        <v>28</v>
      </c>
      <c r="D29" s="47">
        <v>27</v>
      </c>
      <c r="E29" s="47">
        <v>8</v>
      </c>
      <c r="F29" s="26">
        <f t="shared" si="16" ref="F29:F61">I29-C29-D29-E29</f>
        <v>19</v>
      </c>
      <c r="G29" s="47">
        <v>23</v>
      </c>
      <c r="H29" s="47">
        <v>34</v>
      </c>
      <c r="I29" s="47">
        <v>82</v>
      </c>
      <c r="J29" s="49">
        <v>35</v>
      </c>
      <c r="K29" s="1"/>
    </row>
    <row r="30" ht="15" customHeight="1">
      <c r="A30" s="1"/>
      <c r="B30" s="28" t="s">
        <v>80</v>
      </c>
      <c r="C30" s="29" t="s">
        <v>41</v>
      </c>
      <c r="D30" s="29" t="s">
        <v>41</v>
      </c>
      <c r="E30" s="29" t="s">
        <v>41</v>
      </c>
      <c r="F30" s="29" t="s">
        <v>41</v>
      </c>
      <c r="G30" s="29">
        <f t="shared" si="2"/>
        <v>-0.1785714285714286</v>
      </c>
      <c r="H30" s="29">
        <f t="shared" si="2"/>
        <v>0.2592592592592593</v>
      </c>
      <c r="I30" s="29" t="s">
        <v>41</v>
      </c>
      <c r="J30" s="30">
        <f t="shared" si="7"/>
        <v>3.375</v>
      </c>
      <c r="K30" s="1"/>
    </row>
    <row r="31" ht="15" customHeight="1">
      <c r="A31" s="1"/>
      <c r="B31" s="28" t="s">
        <v>93</v>
      </c>
      <c r="C31" s="50" t="s">
        <v>41</v>
      </c>
      <c r="D31" s="50">
        <f t="shared" si="10"/>
        <v>-1</v>
      </c>
      <c r="E31" s="50">
        <f t="shared" si="10"/>
        <v>-19</v>
      </c>
      <c r="F31" s="50">
        <f t="shared" si="10"/>
        <v>11</v>
      </c>
      <c r="G31" s="50">
        <f t="shared" si="10"/>
        <v>4</v>
      </c>
      <c r="H31" s="50">
        <f t="shared" si="10"/>
        <v>11</v>
      </c>
      <c r="I31" s="50" t="s">
        <v>41</v>
      </c>
      <c r="J31" s="51">
        <f t="shared" si="11"/>
        <v>1</v>
      </c>
      <c r="K31" s="1"/>
    </row>
    <row r="32" ht="15" customHeight="1">
      <c r="A32" s="1"/>
      <c r="B32" s="4" t="s">
        <v>95</v>
      </c>
      <c r="C32" s="52">
        <f t="shared" si="12" ref="C32:J32">C26+C29</f>
        <v>46</v>
      </c>
      <c r="D32" s="52">
        <f t="shared" si="12"/>
        <v>57</v>
      </c>
      <c r="E32" s="52">
        <f t="shared" si="12"/>
        <v>60</v>
      </c>
      <c r="F32" s="52">
        <f t="shared" si="12"/>
        <v>65</v>
      </c>
      <c r="G32" s="52">
        <f t="shared" si="12"/>
        <v>90</v>
      </c>
      <c r="H32" s="52">
        <f t="shared" si="12"/>
        <v>159</v>
      </c>
      <c r="I32" s="52">
        <f t="shared" si="12"/>
        <v>227</v>
      </c>
      <c r="J32" s="53">
        <f t="shared" si="12"/>
        <v>130</v>
      </c>
      <c r="K32" s="1"/>
    </row>
    <row r="33" ht="28.5" customHeight="1">
      <c r="A33" s="1"/>
      <c r="B33" s="24" t="s">
        <v>96</v>
      </c>
      <c r="C33" s="47">
        <v>46</v>
      </c>
      <c r="D33" s="47">
        <v>57</v>
      </c>
      <c r="E33" s="47">
        <v>60</v>
      </c>
      <c r="F33" s="47">
        <v>65</v>
      </c>
      <c r="G33" s="47">
        <v>90</v>
      </c>
      <c r="H33" s="47">
        <v>159</v>
      </c>
      <c r="I33" s="47">
        <v>227</v>
      </c>
      <c r="J33" s="27" t="s">
        <v>41</v>
      </c>
      <c r="K33" s="1"/>
    </row>
    <row r="34" ht="15" customHeight="1">
      <c r="A34" s="1"/>
      <c r="B34" s="28" t="s">
        <v>97</v>
      </c>
      <c r="C34" s="29" t="s">
        <v>41</v>
      </c>
      <c r="D34" s="29" t="s">
        <v>41</v>
      </c>
      <c r="E34" s="29" t="s">
        <v>41</v>
      </c>
      <c r="F34" s="29" t="s">
        <v>41</v>
      </c>
      <c r="G34" s="29">
        <f t="shared" si="13" ref="G34:H34">_xlfn.IFERROR(G32/C32-1,"n.a.")</f>
        <v>0.9565217391304348</v>
      </c>
      <c r="H34" s="29">
        <f t="shared" si="13"/>
        <v>1.789473684210526</v>
      </c>
      <c r="I34" s="29" t="s">
        <v>41</v>
      </c>
      <c r="J34" s="30">
        <f>_xlfn.IFERROR(J32/E32-1,"n.a.")</f>
        <v>1.1666666666666665</v>
      </c>
      <c r="K34" s="1"/>
    </row>
    <row r="35" ht="15" customHeight="1">
      <c r="A35" s="1"/>
      <c r="B35" s="28" t="s">
        <v>98</v>
      </c>
      <c r="C35" s="29" t="s">
        <v>41</v>
      </c>
      <c r="D35" s="29">
        <f t="shared" si="14" ref="D35:H35">_xlfn.IFERROR(D32/C32-1,"n.a.")</f>
        <v>0.23913043478260865</v>
      </c>
      <c r="E35" s="29">
        <f t="shared" si="14"/>
        <v>0.05263157894736836</v>
      </c>
      <c r="F35" s="29">
        <f t="shared" si="14"/>
        <v>0.08333333333333326</v>
      </c>
      <c r="G35" s="29">
        <f t="shared" si="14"/>
        <v>0.3846153846153846</v>
      </c>
      <c r="H35" s="29">
        <f t="shared" si="14"/>
        <v>0.7666666666666666</v>
      </c>
      <c r="I35" s="29" t="s">
        <v>41</v>
      </c>
      <c r="J35" s="30">
        <f>_xlfn.IFERROR(J32/H32-1,"n.a.")</f>
        <v>-0.1823899371069182</v>
      </c>
      <c r="K35" s="1"/>
    </row>
    <row r="36" ht="15" customHeight="1">
      <c r="A36" s="1"/>
      <c r="B36" s="28" t="s">
        <v>99</v>
      </c>
      <c r="C36" s="29">
        <f t="shared" si="15" ref="C36:J36">_xlfn.IFERROR(C32/C66,"n.a.")</f>
        <v>0.001044955816542105</v>
      </c>
      <c r="D36" s="29">
        <f t="shared" si="15"/>
        <v>0.0012096004074443477</v>
      </c>
      <c r="E36" s="29">
        <f t="shared" si="15"/>
        <v>0.0012347711557458018</v>
      </c>
      <c r="F36" s="29">
        <f t="shared" si="15"/>
        <v>0.0014352904807119042</v>
      </c>
      <c r="G36" s="29">
        <f t="shared" si="15"/>
        <v>0.0020629899601155273</v>
      </c>
      <c r="H36" s="29">
        <f t="shared" si="15"/>
        <v>0.003310706700537209</v>
      </c>
      <c r="I36" s="29">
        <f t="shared" si="15"/>
        <v>0.001226901020976224</v>
      </c>
      <c r="J36" s="30">
        <f t="shared" si="15"/>
        <v>0.00264966693164374</v>
      </c>
      <c r="K36" s="1"/>
    </row>
    <row r="37" ht="15" customHeight="1">
      <c r="A37" s="1"/>
      <c r="B37" s="28" t="s">
        <v>83</v>
      </c>
      <c r="C37" s="29" t="s">
        <v>84</v>
      </c>
      <c r="D37" s="29" t="s">
        <v>84</v>
      </c>
      <c r="E37" s="29" t="s">
        <v>84</v>
      </c>
      <c r="F37" s="29" t="s">
        <v>84</v>
      </c>
      <c r="G37" s="29" t="s">
        <v>84</v>
      </c>
      <c r="H37" s="29" t="s">
        <v>84</v>
      </c>
      <c r="I37" s="29" t="s">
        <v>84</v>
      </c>
      <c r="J37" s="30" t="s">
        <v>84</v>
      </c>
      <c r="K37" s="1" t="s">
        <v>85</v>
      </c>
    </row>
    <row r="38" ht="15" customHeight="1">
      <c r="A38" s="1"/>
      <c r="B38" s="28" t="s">
        <v>86</v>
      </c>
      <c r="C38" s="29" t="s">
        <v>84</v>
      </c>
      <c r="D38" s="29" t="s">
        <v>84</v>
      </c>
      <c r="E38" s="29" t="s">
        <v>84</v>
      </c>
      <c r="F38" s="29" t="s">
        <v>84</v>
      </c>
      <c r="G38" s="29" t="s">
        <v>84</v>
      </c>
      <c r="H38" s="29" t="s">
        <v>84</v>
      </c>
      <c r="I38" s="29" t="s">
        <v>84</v>
      </c>
      <c r="J38" s="30" t="s">
        <v>84</v>
      </c>
      <c r="K38" s="1" t="s">
        <v>87</v>
      </c>
    </row>
    <row r="39" ht="15" customHeight="1">
      <c r="A39" s="1"/>
      <c r="B39" s="28" t="s">
        <v>88</v>
      </c>
      <c r="C39" s="29" t="str">
        <f t="shared" si="5"/>
        <v>Unavailable</v>
      </c>
      <c r="D39" s="29" t="str">
        <f t="shared" si="5"/>
        <v>Unavailable</v>
      </c>
      <c r="E39" s="29" t="str">
        <f t="shared" si="5"/>
        <v>Unavailable</v>
      </c>
      <c r="F39" s="29" t="str">
        <f t="shared" si="5"/>
        <v>Unavailable</v>
      </c>
      <c r="G39" s="29" t="str">
        <f t="shared" si="5"/>
        <v>Unavailable</v>
      </c>
      <c r="H39" s="29" t="str">
        <f t="shared" si="5"/>
        <v>Unavailable</v>
      </c>
      <c r="I39" s="29" t="str">
        <f t="shared" si="5"/>
        <v>Unavailable</v>
      </c>
      <c r="J39" s="30" t="str">
        <f t="shared" si="5"/>
        <v>Unavailable</v>
      </c>
      <c r="K39" s="1"/>
    </row>
    <row r="40" ht="15" customHeight="1">
      <c r="A40" s="1"/>
      <c r="B40" s="28" t="s">
        <v>89</v>
      </c>
      <c r="C40" s="29" t="str">
        <f t="shared" si="6"/>
        <v>n.a.</v>
      </c>
      <c r="D40" s="29" t="str">
        <f t="shared" si="6"/>
        <v>n.a.</v>
      </c>
      <c r="E40" s="29" t="str">
        <f t="shared" si="6"/>
        <v>n.a.</v>
      </c>
      <c r="F40" s="29" t="str">
        <f t="shared" si="6"/>
        <v>n.a.</v>
      </c>
      <c r="G40" s="29">
        <f t="shared" si="6"/>
        <v>0.9565217391304348</v>
      </c>
      <c r="H40" s="29">
        <f t="shared" si="6"/>
        <v>1.789473684210526</v>
      </c>
      <c r="I40" s="29" t="str">
        <f t="shared" si="6"/>
        <v>n.a.</v>
      </c>
      <c r="J40" s="30">
        <f t="shared" si="6"/>
        <v>1.1666666666666665</v>
      </c>
      <c r="K40" s="1"/>
    </row>
    <row r="41" ht="28.5" customHeight="1">
      <c r="A41" s="1"/>
      <c r="B41" s="54" t="s">
        <v>100</v>
      </c>
      <c r="C41" s="47">
        <v>1</v>
      </c>
      <c r="D41" s="47">
        <v>0</v>
      </c>
      <c r="E41" s="47">
        <v>0</v>
      </c>
      <c r="F41" s="26">
        <f t="shared" si="16"/>
        <v>0</v>
      </c>
      <c r="G41" s="47">
        <v>0</v>
      </c>
      <c r="H41" s="47">
        <v>0</v>
      </c>
      <c r="I41" s="47">
        <v>1</v>
      </c>
      <c r="J41" s="49">
        <v>0</v>
      </c>
      <c r="K41" s="1"/>
    </row>
    <row r="42" ht="15" customHeight="1">
      <c r="A42" s="1"/>
      <c r="B42" s="28" t="s">
        <v>82</v>
      </c>
      <c r="C42" s="29">
        <f t="shared" si="17" ref="C42:J42">_xlfn.IFERROR(C41/C66,"n.a.")</f>
        <v>0.000022716430794393584</v>
      </c>
      <c r="D42" s="29">
        <f t="shared" si="17"/>
        <v>0</v>
      </c>
      <c r="E42" s="29">
        <f t="shared" si="17"/>
        <v>0</v>
      </c>
      <c r="F42" s="29">
        <f t="shared" si="17"/>
        <v>0</v>
      </c>
      <c r="G42" s="29">
        <f t="shared" si="17"/>
        <v>0</v>
      </c>
      <c r="H42" s="29">
        <f t="shared" si="17"/>
        <v>0</v>
      </c>
      <c r="I42" s="29">
        <f t="shared" si="17"/>
        <v>0.000005404850312670591</v>
      </c>
      <c r="J42" s="30">
        <f t="shared" si="17"/>
        <v>0</v>
      </c>
      <c r="K42" s="1"/>
    </row>
    <row r="43" ht="15" customHeight="1">
      <c r="A43" s="1"/>
      <c r="B43" s="1" t="s">
        <v>101</v>
      </c>
      <c r="C43" s="47">
        <v>0</v>
      </c>
      <c r="D43" s="47">
        <v>0</v>
      </c>
      <c r="E43" s="47">
        <v>0</v>
      </c>
      <c r="F43" s="47">
        <v>-1</v>
      </c>
      <c r="G43" s="47">
        <v>0</v>
      </c>
      <c r="H43" s="47">
        <v>0</v>
      </c>
      <c r="I43" s="47">
        <v>-1</v>
      </c>
      <c r="J43" s="49">
        <v>0</v>
      </c>
      <c r="K43" s="1"/>
    </row>
    <row r="44" ht="28.5" customHeight="1">
      <c r="A44" s="1"/>
      <c r="B44" s="55" t="s">
        <v>102</v>
      </c>
      <c r="C44" s="52">
        <f t="shared" si="18" ref="C44:J44">C10+C18+C32+C41+C43</f>
        <v>39862</v>
      </c>
      <c r="D44" s="52">
        <f t="shared" si="18"/>
        <v>42870</v>
      </c>
      <c r="E44" s="52">
        <f t="shared" si="18"/>
        <v>44257</v>
      </c>
      <c r="F44" s="52">
        <f t="shared" si="18"/>
        <v>40986</v>
      </c>
      <c r="G44" s="52">
        <f t="shared" si="18"/>
        <v>39350</v>
      </c>
      <c r="H44" s="52">
        <f t="shared" si="18"/>
        <v>43762</v>
      </c>
      <c r="I44" s="52">
        <f t="shared" si="18"/>
        <v>167971</v>
      </c>
      <c r="J44" s="53">
        <f t="shared" si="18"/>
        <v>44739.592359999995</v>
      </c>
      <c r="K44" s="1"/>
    </row>
    <row r="45" ht="15" customHeight="1">
      <c r="A45" s="1"/>
      <c r="B45" s="28" t="s">
        <v>80</v>
      </c>
      <c r="C45" s="29" t="s">
        <v>41</v>
      </c>
      <c r="D45" s="29" t="s">
        <v>41</v>
      </c>
      <c r="E45" s="29" t="s">
        <v>41</v>
      </c>
      <c r="F45" s="29" t="s">
        <v>41</v>
      </c>
      <c r="G45" s="29">
        <f t="shared" si="2"/>
        <v>-0.012844312879433994</v>
      </c>
      <c r="H45" s="29">
        <f t="shared" si="2"/>
        <v>0.020807091205971462</v>
      </c>
      <c r="I45" s="29" t="s">
        <v>41</v>
      </c>
      <c r="J45" s="30">
        <f t="shared" si="7"/>
        <v>0.010904317057188528</v>
      </c>
      <c r="K45" s="1"/>
    </row>
    <row r="46" ht="15" customHeight="1">
      <c r="A46" s="1"/>
      <c r="B46" s="28" t="s">
        <v>81</v>
      </c>
      <c r="C46" s="29" t="s">
        <v>41</v>
      </c>
      <c r="D46" s="29">
        <f t="shared" si="3"/>
        <v>0.07546033816667497</v>
      </c>
      <c r="E46" s="29">
        <f t="shared" si="3"/>
        <v>0.03235362724515989</v>
      </c>
      <c r="F46" s="29">
        <f t="shared" si="3"/>
        <v>-0.07390921210204038</v>
      </c>
      <c r="G46" s="29">
        <f t="shared" si="3"/>
        <v>-0.039916068901576174</v>
      </c>
      <c r="H46" s="29">
        <f t="shared" si="3"/>
        <v>0.11212198221092762</v>
      </c>
      <c r="I46" s="29" t="s">
        <v>41</v>
      </c>
      <c r="J46" s="30">
        <f t="shared" si="8"/>
        <v>0.022338841003610277</v>
      </c>
      <c r="K46" s="1"/>
    </row>
    <row r="47" ht="15" customHeight="1">
      <c r="A47" s="1"/>
      <c r="B47" s="28" t="s">
        <v>82</v>
      </c>
      <c r="C47" s="29">
        <f t="shared" si="19" ref="C47:J47">_xlfn.IFERROR(C44/C66,"n.a.")</f>
        <v>0.9055223643261171</v>
      </c>
      <c r="D47" s="29">
        <f t="shared" si="19"/>
        <v>0.9097468327568279</v>
      </c>
      <c r="E47" s="29">
        <f t="shared" si="19"/>
        <v>0.9107877839973658</v>
      </c>
      <c r="F47" s="29">
        <f t="shared" si="19"/>
        <v>0.9050279329608939</v>
      </c>
      <c r="G47" s="29">
        <f t="shared" si="19"/>
        <v>0.9019850547838445</v>
      </c>
      <c r="H47" s="29">
        <f t="shared" si="19"/>
        <v>0.9112147586723858</v>
      </c>
      <c r="I47" s="29">
        <f t="shared" si="19"/>
        <v>0.9078581118695918</v>
      </c>
      <c r="J47" s="30">
        <f t="shared" si="19"/>
        <v>0.9118847570116377</v>
      </c>
      <c r="K47" s="1"/>
    </row>
    <row r="48" ht="15" customHeight="1">
      <c r="A48" s="1"/>
      <c r="B48" s="28" t="s">
        <v>83</v>
      </c>
      <c r="C48" s="29" t="s">
        <v>84</v>
      </c>
      <c r="D48" s="29" t="s">
        <v>84</v>
      </c>
      <c r="E48" s="29" t="s">
        <v>84</v>
      </c>
      <c r="F48" s="29" t="s">
        <v>84</v>
      </c>
      <c r="G48" s="29" t="s">
        <v>84</v>
      </c>
      <c r="H48" s="29" t="s">
        <v>84</v>
      </c>
      <c r="I48" s="29" t="s">
        <v>84</v>
      </c>
      <c r="J48" s="30" t="s">
        <v>84</v>
      </c>
      <c r="K48" s="1" t="s">
        <v>85</v>
      </c>
    </row>
    <row r="49" ht="15" customHeight="1">
      <c r="A49" s="1"/>
      <c r="B49" s="28" t="s">
        <v>86</v>
      </c>
      <c r="C49" s="29" t="s">
        <v>84</v>
      </c>
      <c r="D49" s="29" t="s">
        <v>84</v>
      </c>
      <c r="E49" s="29" t="s">
        <v>84</v>
      </c>
      <c r="F49" s="29" t="s">
        <v>84</v>
      </c>
      <c r="G49" s="29" t="s">
        <v>84</v>
      </c>
      <c r="H49" s="29" t="s">
        <v>84</v>
      </c>
      <c r="I49" s="29" t="s">
        <v>84</v>
      </c>
      <c r="J49" s="30" t="s">
        <v>84</v>
      </c>
      <c r="K49" s="1" t="s">
        <v>87</v>
      </c>
    </row>
    <row r="50" ht="15" customHeight="1">
      <c r="A50" s="1"/>
      <c r="B50" s="28" t="s">
        <v>88</v>
      </c>
      <c r="C50" s="29" t="str">
        <f t="shared" si="5"/>
        <v>Unavailable</v>
      </c>
      <c r="D50" s="29" t="str">
        <f t="shared" si="5"/>
        <v>Unavailable</v>
      </c>
      <c r="E50" s="29" t="str">
        <f t="shared" si="5"/>
        <v>Unavailable</v>
      </c>
      <c r="F50" s="29" t="str">
        <f t="shared" si="5"/>
        <v>Unavailable</v>
      </c>
      <c r="G50" s="29" t="str">
        <f t="shared" si="5"/>
        <v>Unavailable</v>
      </c>
      <c r="H50" s="29" t="str">
        <f t="shared" si="5"/>
        <v>Unavailable</v>
      </c>
      <c r="I50" s="29" t="str">
        <f t="shared" si="5"/>
        <v>Unavailable</v>
      </c>
      <c r="J50" s="30" t="str">
        <f t="shared" si="5"/>
        <v>Unavailable</v>
      </c>
      <c r="K50" s="1"/>
    </row>
    <row r="51" ht="15" customHeight="1">
      <c r="A51" s="1"/>
      <c r="B51" s="28" t="s">
        <v>89</v>
      </c>
      <c r="C51" s="29" t="str">
        <f t="shared" si="6"/>
        <v>n.a.</v>
      </c>
      <c r="D51" s="29" t="str">
        <f t="shared" si="6"/>
        <v>n.a.</v>
      </c>
      <c r="E51" s="29" t="str">
        <f t="shared" si="6"/>
        <v>n.a.</v>
      </c>
      <c r="F51" s="29" t="str">
        <f t="shared" si="6"/>
        <v>n.a.</v>
      </c>
      <c r="G51" s="29">
        <f t="shared" si="6"/>
        <v>-0.012844312879433994</v>
      </c>
      <c r="H51" s="29">
        <f t="shared" si="6"/>
        <v>0.020807091205971462</v>
      </c>
      <c r="I51" s="29" t="str">
        <f t="shared" si="6"/>
        <v>n.a.</v>
      </c>
      <c r="J51" s="30">
        <f t="shared" si="6"/>
        <v>0.010904317057188528</v>
      </c>
      <c r="K51" s="1"/>
    </row>
    <row r="52" ht="28.5" customHeight="1">
      <c r="A52" s="1"/>
      <c r="B52" s="54" t="s">
        <v>103</v>
      </c>
      <c r="C52" s="25">
        <f>'Segment - GM Financial'!C89</f>
        <v>4164</v>
      </c>
      <c r="D52" s="25">
        <f>'Segment - GM Financial'!D89</f>
        <v>4255</v>
      </c>
      <c r="E52" s="25">
        <f>'Segment - GM Financial'!E89</f>
        <v>4337</v>
      </c>
      <c r="F52" s="25">
        <f>'Segment - GM Financial'!F89</f>
        <v>4304</v>
      </c>
      <c r="G52" s="25">
        <f>'Segment - GM Financial'!G89</f>
        <v>4277</v>
      </c>
      <c r="H52" s="25">
        <f>'Segment - GM Financial'!H89</f>
        <v>4267</v>
      </c>
      <c r="I52" s="25">
        <f>'Segment - GM Financial'!I89</f>
        <v>17060</v>
      </c>
      <c r="J52" s="48">
        <f>'Segment - GM Financial'!J89</f>
        <v>4326.177925378311</v>
      </c>
      <c r="K52" s="1"/>
    </row>
    <row r="53" ht="15" customHeight="1">
      <c r="A53" s="1"/>
      <c r="B53" s="28" t="s">
        <v>80</v>
      </c>
      <c r="C53" s="29" t="s">
        <v>41</v>
      </c>
      <c r="D53" s="29" t="s">
        <v>41</v>
      </c>
      <c r="E53" s="29" t="s">
        <v>41</v>
      </c>
      <c r="F53" s="29" t="s">
        <v>41</v>
      </c>
      <c r="G53" s="29">
        <f t="shared" si="2"/>
        <v>0.027137367915465838</v>
      </c>
      <c r="H53" s="29">
        <f t="shared" si="2"/>
        <v>0.0028202115158637575</v>
      </c>
      <c r="I53" s="29" t="s">
        <v>41</v>
      </c>
      <c r="J53" s="30">
        <f t="shared" si="7"/>
        <v>-0.00249529043617458</v>
      </c>
      <c r="K53" s="1"/>
    </row>
    <row r="54" ht="15" customHeight="1">
      <c r="A54" s="1"/>
      <c r="B54" s="28" t="s">
        <v>81</v>
      </c>
      <c r="C54" s="29" t="s">
        <v>41</v>
      </c>
      <c r="D54" s="29">
        <f t="shared" si="3"/>
        <v>0.021853986551392923</v>
      </c>
      <c r="E54" s="29">
        <f t="shared" si="3"/>
        <v>0.019271445358401973</v>
      </c>
      <c r="F54" s="29">
        <f t="shared" si="3"/>
        <v>-0.007608946276227768</v>
      </c>
      <c r="G54" s="29">
        <f t="shared" si="3"/>
        <v>-0.006273234200743549</v>
      </c>
      <c r="H54" s="29">
        <f t="shared" si="3"/>
        <v>-0.0023380874444703936</v>
      </c>
      <c r="I54" s="29" t="s">
        <v>41</v>
      </c>
      <c r="J54" s="30">
        <f t="shared" si="8"/>
        <v>0.013868742765013042</v>
      </c>
      <c r="K54" s="1"/>
    </row>
    <row r="55" ht="15" customHeight="1">
      <c r="A55" s="1"/>
      <c r="B55" s="28" t="s">
        <v>82</v>
      </c>
      <c r="C55" s="29">
        <f t="shared" si="20" ref="C55:J55">_xlfn.IFERROR(C52/C66,"n.a.")</f>
        <v>0.09459121782785489</v>
      </c>
      <c r="D55" s="29">
        <f t="shared" si="20"/>
        <v>0.09029560936273158</v>
      </c>
      <c r="E55" s="29">
        <f t="shared" si="20"/>
        <v>0.08925337504115904</v>
      </c>
      <c r="F55" s="29">
        <f t="shared" si="20"/>
        <v>0.095038311215139</v>
      </c>
      <c r="G55" s="29">
        <f t="shared" si="20"/>
        <v>0.09803786732682346</v>
      </c>
      <c r="H55" s="29">
        <f t="shared" si="20"/>
        <v>0.08884770749177529</v>
      </c>
      <c r="I55" s="29">
        <f t="shared" si="20"/>
        <v>0.09220674633416027</v>
      </c>
      <c r="J55" s="30">
        <f t="shared" si="20"/>
        <v>0.0881763891483233</v>
      </c>
      <c r="K55" s="1"/>
    </row>
    <row r="56" ht="15" customHeight="1">
      <c r="A56" s="1"/>
      <c r="B56" s="28" t="s">
        <v>83</v>
      </c>
      <c r="C56" s="29" t="s">
        <v>84</v>
      </c>
      <c r="D56" s="29" t="s">
        <v>84</v>
      </c>
      <c r="E56" s="29" t="s">
        <v>84</v>
      </c>
      <c r="F56" s="29" t="s">
        <v>84</v>
      </c>
      <c r="G56" s="29" t="s">
        <v>84</v>
      </c>
      <c r="H56" s="29" t="s">
        <v>84</v>
      </c>
      <c r="I56" s="29" t="s">
        <v>84</v>
      </c>
      <c r="J56" s="30" t="s">
        <v>84</v>
      </c>
      <c r="K56" s="1" t="s">
        <v>85</v>
      </c>
    </row>
    <row r="57" ht="15" customHeight="1">
      <c r="A57" s="1"/>
      <c r="B57" s="28" t="s">
        <v>86</v>
      </c>
      <c r="C57" s="29" t="s">
        <v>84</v>
      </c>
      <c r="D57" s="29" t="s">
        <v>84</v>
      </c>
      <c r="E57" s="29" t="s">
        <v>84</v>
      </c>
      <c r="F57" s="29" t="s">
        <v>84</v>
      </c>
      <c r="G57" s="29" t="s">
        <v>84</v>
      </c>
      <c r="H57" s="29" t="s">
        <v>84</v>
      </c>
      <c r="I57" s="29" t="s">
        <v>84</v>
      </c>
      <c r="J57" s="30" t="s">
        <v>84</v>
      </c>
      <c r="K57" s="1" t="s">
        <v>87</v>
      </c>
    </row>
    <row r="58" ht="15" customHeight="1">
      <c r="A58" s="1"/>
      <c r="B58" s="28" t="s">
        <v>88</v>
      </c>
      <c r="C58" s="29" t="str">
        <f t="shared" si="5"/>
        <v>Unavailable</v>
      </c>
      <c r="D58" s="29" t="str">
        <f t="shared" si="5"/>
        <v>Unavailable</v>
      </c>
      <c r="E58" s="29" t="str">
        <f t="shared" si="5"/>
        <v>Unavailable</v>
      </c>
      <c r="F58" s="29" t="str">
        <f t="shared" si="5"/>
        <v>Unavailable</v>
      </c>
      <c r="G58" s="29" t="str">
        <f t="shared" si="5"/>
        <v>Unavailable</v>
      </c>
      <c r="H58" s="29" t="str">
        <f t="shared" si="5"/>
        <v>Unavailable</v>
      </c>
      <c r="I58" s="29" t="str">
        <f t="shared" si="5"/>
        <v>Unavailable</v>
      </c>
      <c r="J58" s="30" t="str">
        <f t="shared" si="5"/>
        <v>Unavailable</v>
      </c>
      <c r="K58" s="1"/>
    </row>
    <row r="59" ht="15" customHeight="1">
      <c r="A59" s="1"/>
      <c r="B59" s="28" t="s">
        <v>89</v>
      </c>
      <c r="C59" s="29" t="str">
        <f t="shared" si="6"/>
        <v>n.a.</v>
      </c>
      <c r="D59" s="29" t="str">
        <f t="shared" si="6"/>
        <v>n.a.</v>
      </c>
      <c r="E59" s="29" t="str">
        <f t="shared" si="6"/>
        <v>n.a.</v>
      </c>
      <c r="F59" s="29" t="str">
        <f t="shared" si="6"/>
        <v>n.a.</v>
      </c>
      <c r="G59" s="29">
        <f t="shared" si="6"/>
        <v>0.027137367915465838</v>
      </c>
      <c r="H59" s="29">
        <f t="shared" si="6"/>
        <v>0.0028202115158637575</v>
      </c>
      <c r="I59" s="29" t="str">
        <f t="shared" si="6"/>
        <v>n.a.</v>
      </c>
      <c r="J59" s="30">
        <f t="shared" si="6"/>
        <v>-0.00249529043617458</v>
      </c>
      <c r="K59" s="1"/>
    </row>
    <row r="60" ht="28.5" customHeight="1">
      <c r="A60" s="1"/>
      <c r="B60" s="24" t="s">
        <v>104</v>
      </c>
      <c r="C60" s="47">
        <v>-4</v>
      </c>
      <c r="D60" s="47">
        <v>0</v>
      </c>
      <c r="E60" s="47">
        <v>0</v>
      </c>
      <c r="F60" s="26">
        <f t="shared" si="16"/>
        <v>0</v>
      </c>
      <c r="G60" s="47">
        <v>0</v>
      </c>
      <c r="H60" s="47">
        <v>0</v>
      </c>
      <c r="I60" s="47">
        <v>-4</v>
      </c>
      <c r="J60" s="49">
        <v>0</v>
      </c>
      <c r="K60" s="1"/>
    </row>
    <row r="61" ht="15" customHeight="1">
      <c r="A61" s="1"/>
      <c r="B61" s="19" t="s">
        <v>105</v>
      </c>
      <c r="C61" s="47">
        <v>-1</v>
      </c>
      <c r="D61" s="47">
        <v>-2</v>
      </c>
      <c r="E61" s="47">
        <v>-2</v>
      </c>
      <c r="F61" s="26">
        <f t="shared" si="16"/>
        <v>-3</v>
      </c>
      <c r="G61" s="47">
        <v>-1</v>
      </c>
      <c r="H61" s="47">
        <v>-3</v>
      </c>
      <c r="I61" s="47">
        <v>-8</v>
      </c>
      <c r="J61" s="49">
        <v>-3</v>
      </c>
      <c r="K61" s="1"/>
    </row>
    <row r="62" ht="28.5" customHeight="1">
      <c r="A62" s="1"/>
      <c r="B62" s="55" t="s">
        <v>106</v>
      </c>
      <c r="C62" s="52">
        <f t="shared" si="21" ref="C62:J62">C52+C60+C61</f>
        <v>4159</v>
      </c>
      <c r="D62" s="52">
        <f t="shared" si="21"/>
        <v>4253</v>
      </c>
      <c r="E62" s="52">
        <f t="shared" si="21"/>
        <v>4335</v>
      </c>
      <c r="F62" s="52">
        <f t="shared" si="21"/>
        <v>4301</v>
      </c>
      <c r="G62" s="52">
        <f t="shared" si="21"/>
        <v>4276</v>
      </c>
      <c r="H62" s="52">
        <f t="shared" si="21"/>
        <v>4264</v>
      </c>
      <c r="I62" s="52">
        <f t="shared" si="21"/>
        <v>17048</v>
      </c>
      <c r="J62" s="53">
        <f t="shared" si="21"/>
        <v>4323.177925378311</v>
      </c>
      <c r="K62" s="1"/>
    </row>
    <row r="63" ht="15" customHeight="1">
      <c r="A63" s="1"/>
      <c r="B63" s="28" t="s">
        <v>80</v>
      </c>
      <c r="C63" s="29" t="s">
        <v>41</v>
      </c>
      <c r="D63" s="29" t="s">
        <v>41</v>
      </c>
      <c r="E63" s="29" t="s">
        <v>41</v>
      </c>
      <c r="F63" s="29" t="s">
        <v>41</v>
      </c>
      <c r="G63" s="29">
        <f t="shared" si="2"/>
        <v>0.028131762442894948</v>
      </c>
      <c r="H63" s="29">
        <f t="shared" si="2"/>
        <v>0.0025864095932282005</v>
      </c>
      <c r="I63" s="29" t="s">
        <v>41</v>
      </c>
      <c r="J63" s="30">
        <f t="shared" si="7"/>
        <v>-0.0027271221734000983</v>
      </c>
      <c r="K63" s="1"/>
    </row>
    <row r="64" ht="15" customHeight="1">
      <c r="A64" s="1"/>
      <c r="B64" s="28" t="s">
        <v>81</v>
      </c>
      <c r="C64" s="29" t="s">
        <v>41</v>
      </c>
      <c r="D64" s="29">
        <f t="shared" si="3"/>
        <v>0.022601586919932748</v>
      </c>
      <c r="E64" s="29">
        <f t="shared" si="3"/>
        <v>0.019280507876792807</v>
      </c>
      <c r="F64" s="29">
        <f t="shared" si="3"/>
        <v>-0.007843137254901933</v>
      </c>
      <c r="G64" s="29">
        <f t="shared" si="3"/>
        <v>-0.005812601720530108</v>
      </c>
      <c r="H64" s="29">
        <f t="shared" si="3"/>
        <v>-0.00280636108512633</v>
      </c>
      <c r="I64" s="29" t="s">
        <v>41</v>
      </c>
      <c r="J64" s="30">
        <f t="shared" si="8"/>
        <v>0.013878500323243559</v>
      </c>
      <c r="K64" s="1"/>
    </row>
    <row r="65" ht="15" customHeight="1">
      <c r="A65" s="1"/>
      <c r="B65" s="28" t="s">
        <v>82</v>
      </c>
      <c r="C65" s="29">
        <f t="shared" si="22" ref="C65:J65">_xlfn.IFERROR(C62/C66,"n.a.")</f>
        <v>0.09447763567388293</v>
      </c>
      <c r="D65" s="29">
        <f t="shared" si="22"/>
        <v>0.09025316724317213</v>
      </c>
      <c r="E65" s="29">
        <f t="shared" si="22"/>
        <v>0.08921221600263418</v>
      </c>
      <c r="F65" s="29">
        <f t="shared" si="22"/>
        <v>0.09497206703910614</v>
      </c>
      <c r="G65" s="29">
        <f t="shared" si="22"/>
        <v>0.0980149452161555</v>
      </c>
      <c r="H65" s="29">
        <f t="shared" si="22"/>
        <v>0.08878524132761421</v>
      </c>
      <c r="I65" s="29">
        <f t="shared" si="22"/>
        <v>0.09214188813040823</v>
      </c>
      <c r="J65" s="30">
        <f t="shared" si="22"/>
        <v>0.08811524298836229</v>
      </c>
      <c r="K65" s="1"/>
    </row>
    <row r="66" ht="15" customHeight="1">
      <c r="A66" s="1"/>
      <c r="B66" s="4" t="s">
        <v>107</v>
      </c>
      <c r="C66" s="52">
        <f t="shared" si="23" ref="C66:J66">C44+C62</f>
        <v>44021</v>
      </c>
      <c r="D66" s="52">
        <f t="shared" si="23"/>
        <v>47123</v>
      </c>
      <c r="E66" s="52">
        <f t="shared" si="23"/>
        <v>48592</v>
      </c>
      <c r="F66" s="52">
        <f t="shared" si="23"/>
        <v>45287</v>
      </c>
      <c r="G66" s="52">
        <f t="shared" si="23"/>
        <v>43626</v>
      </c>
      <c r="H66" s="52">
        <f t="shared" si="23"/>
        <v>48026</v>
      </c>
      <c r="I66" s="52">
        <f t="shared" si="23"/>
        <v>185019</v>
      </c>
      <c r="J66" s="53">
        <f t="shared" si="23"/>
        <v>49062.770285378305</v>
      </c>
      <c r="K66" s="1"/>
    </row>
    <row r="67" ht="15" customHeight="1">
      <c r="A67" s="1"/>
      <c r="B67" s="28" t="s">
        <v>80</v>
      </c>
      <c r="C67" s="29" t="s">
        <v>41</v>
      </c>
      <c r="D67" s="29" t="s">
        <v>41</v>
      </c>
      <c r="E67" s="29" t="s">
        <v>41</v>
      </c>
      <c r="F67" s="29" t="s">
        <v>41</v>
      </c>
      <c r="G67" s="29">
        <f t="shared" si="2"/>
        <v>-0.0089729901637855</v>
      </c>
      <c r="H67" s="29">
        <f t="shared" si="2"/>
        <v>0.019162616981092118</v>
      </c>
      <c r="I67" s="29" t="s">
        <v>41</v>
      </c>
      <c r="J67" s="30">
        <f t="shared" si="7"/>
        <v>0.009688226156122415</v>
      </c>
      <c r="K67" s="1"/>
    </row>
    <row r="68" ht="15" customHeight="1">
      <c r="A68" s="1"/>
      <c r="B68" s="28" t="s">
        <v>81</v>
      </c>
      <c r="C68" s="29" t="s">
        <v>41</v>
      </c>
      <c r="D68" s="29">
        <f t="shared" si="3"/>
        <v>0.07046636832420883</v>
      </c>
      <c r="E68" s="29">
        <f t="shared" si="3"/>
        <v>0.031173736816416664</v>
      </c>
      <c r="F68" s="29">
        <f t="shared" si="3"/>
        <v>-0.06801531116233128</v>
      </c>
      <c r="G68" s="29">
        <f t="shared" si="3"/>
        <v>-0.03667719213019194</v>
      </c>
      <c r="H68" s="29">
        <f t="shared" si="3"/>
        <v>0.10085728693898144</v>
      </c>
      <c r="I68" s="29" t="s">
        <v>41</v>
      </c>
      <c r="J68" s="30">
        <f t="shared" si="8"/>
        <v>0.02158768761459018</v>
      </c>
      <c r="K68" s="1"/>
    </row>
    <row r="69" ht="15" customHeight="1">
      <c r="A69" s="1"/>
      <c r="B69" s="28" t="s">
        <v>83</v>
      </c>
      <c r="C69" s="29" t="s">
        <v>84</v>
      </c>
      <c r="D69" s="29" t="s">
        <v>84</v>
      </c>
      <c r="E69" s="29" t="s">
        <v>84</v>
      </c>
      <c r="F69" s="29" t="s">
        <v>84</v>
      </c>
      <c r="G69" s="29" t="s">
        <v>84</v>
      </c>
      <c r="H69" s="29" t="s">
        <v>84</v>
      </c>
      <c r="I69" s="29" t="s">
        <v>84</v>
      </c>
      <c r="J69" s="30" t="s">
        <v>84</v>
      </c>
      <c r="K69" s="1" t="s">
        <v>85</v>
      </c>
    </row>
    <row r="70" ht="15" customHeight="1">
      <c r="A70" s="1"/>
      <c r="B70" s="28" t="s">
        <v>86</v>
      </c>
      <c r="C70" s="29" t="s">
        <v>84</v>
      </c>
      <c r="D70" s="29" t="s">
        <v>84</v>
      </c>
      <c r="E70" s="29" t="s">
        <v>84</v>
      </c>
      <c r="F70" s="29" t="s">
        <v>84</v>
      </c>
      <c r="G70" s="29" t="s">
        <v>84</v>
      </c>
      <c r="H70" s="29" t="s">
        <v>84</v>
      </c>
      <c r="I70" s="29" t="s">
        <v>84</v>
      </c>
      <c r="J70" s="30" t="s">
        <v>84</v>
      </c>
      <c r="K70" s="1" t="s">
        <v>87</v>
      </c>
    </row>
    <row r="71" ht="15" customHeight="1">
      <c r="A71" s="1"/>
      <c r="B71" s="28" t="s">
        <v>88</v>
      </c>
      <c r="C71" s="29" t="str">
        <f t="shared" si="24" ref="C71:J71">IF(AND(ISNUMBER(C67),ISNUMBER(C69),ISNUMBER(C70)),(1+C67)/((1+C69)*(1+C70))-1,"Unavailable")</f>
        <v>Unavailable</v>
      </c>
      <c r="D71" s="29" t="str">
        <f t="shared" si="24"/>
        <v>Unavailable</v>
      </c>
      <c r="E71" s="29" t="str">
        <f t="shared" si="24"/>
        <v>Unavailable</v>
      </c>
      <c r="F71" s="29" t="str">
        <f t="shared" si="24"/>
        <v>Unavailable</v>
      </c>
      <c r="G71" s="29" t="str">
        <f t="shared" si="24"/>
        <v>Unavailable</v>
      </c>
      <c r="H71" s="29" t="str">
        <f t="shared" si="24"/>
        <v>Unavailable</v>
      </c>
      <c r="I71" s="29" t="str">
        <f t="shared" si="24"/>
        <v>Unavailable</v>
      </c>
      <c r="J71" s="30" t="str">
        <f t="shared" si="24"/>
        <v>Unavailable</v>
      </c>
      <c r="K71" s="1"/>
    </row>
    <row r="72" ht="15" customHeight="1">
      <c r="A72" s="1"/>
      <c r="B72" s="28" t="s">
        <v>89</v>
      </c>
      <c r="C72" s="29" t="str">
        <f t="shared" si="25" ref="C72:J72">C67</f>
        <v>n.a.</v>
      </c>
      <c r="D72" s="29" t="str">
        <f t="shared" si="25"/>
        <v>n.a.</v>
      </c>
      <c r="E72" s="29" t="str">
        <f t="shared" si="25"/>
        <v>n.a.</v>
      </c>
      <c r="F72" s="29" t="str">
        <f t="shared" si="25"/>
        <v>n.a.</v>
      </c>
      <c r="G72" s="29">
        <f t="shared" si="25"/>
        <v>-0.0089729901637855</v>
      </c>
      <c r="H72" s="29">
        <f t="shared" si="25"/>
        <v>0.019162616981092118</v>
      </c>
      <c r="I72" s="29" t="str">
        <f t="shared" si="25"/>
        <v>n.a.</v>
      </c>
      <c r="J72" s="30">
        <f t="shared" si="25"/>
        <v>0.009688226156122415</v>
      </c>
      <c r="K72" s="1"/>
    </row>
    <row r="73" ht="15" customHeight="1">
      <c r="A73" s="1"/>
      <c r="B73" s="5" t="s">
        <v>108</v>
      </c>
      <c r="C73" s="17"/>
      <c r="D73" s="17"/>
      <c r="E73" s="17"/>
      <c r="F73" s="17"/>
      <c r="G73" s="17"/>
      <c r="H73" s="17"/>
      <c r="I73" s="17"/>
      <c r="J73" s="18"/>
      <c r="K73" s="1"/>
    </row>
    <row r="74" ht="15" customHeight="1">
      <c r="A74" s="1"/>
      <c r="B74" s="1"/>
      <c r="C74" s="17"/>
      <c r="D74" s="17"/>
      <c r="E74" s="17"/>
      <c r="F74" s="17"/>
      <c r="G74" s="17"/>
      <c r="H74" s="17"/>
      <c r="I74" s="17"/>
      <c r="J74" s="18"/>
      <c r="K74" s="1"/>
    </row>
    <row r="75" ht="15" customHeight="1">
      <c r="A75" s="1"/>
      <c r="B75" s="16" t="s">
        <v>109</v>
      </c>
      <c r="C75" s="17"/>
      <c r="D75" s="17"/>
      <c r="E75" s="17"/>
      <c r="F75" s="17"/>
      <c r="G75" s="17"/>
      <c r="H75" s="17"/>
      <c r="I75" s="17"/>
      <c r="J75" s="18"/>
      <c r="K75" s="1"/>
    </row>
    <row r="76" ht="28.5" customHeight="1">
      <c r="A76" s="1"/>
      <c r="B76" s="24" t="s">
        <v>110</v>
      </c>
      <c r="C76" s="25">
        <f>Inputs!C88</f>
        <v>44020</v>
      </c>
      <c r="D76" s="25">
        <f>Inputs!D88</f>
        <v>47122</v>
      </c>
      <c r="E76" s="25">
        <f>Inputs!E88</f>
        <v>48591</v>
      </c>
      <c r="F76" s="25">
        <f>Inputs!F88</f>
        <v>45287</v>
      </c>
      <c r="G76" s="25">
        <f>Inputs!G88</f>
        <v>43624</v>
      </c>
      <c r="H76" s="25">
        <f>Inputs!H88</f>
        <v>48026</v>
      </c>
      <c r="I76" s="26">
        <f>SUM(C76:F76)</f>
        <v>185020</v>
      </c>
      <c r="J76" s="27"/>
      <c r="K76" s="1"/>
    </row>
    <row r="77" ht="28.5" customHeight="1">
      <c r="A77" s="1"/>
      <c r="B77" s="24" t="s">
        <v>111</v>
      </c>
      <c r="C77" s="26">
        <f t="shared" si="26" ref="C77:I77">_xlfn.IFERROR(IF(ABS(C66-C76)&lt;=5,0,C66-C76),1)</f>
        <v>0</v>
      </c>
      <c r="D77" s="26">
        <f t="shared" si="26"/>
        <v>0</v>
      </c>
      <c r="E77" s="26">
        <f t="shared" si="26"/>
        <v>0</v>
      </c>
      <c r="F77" s="26">
        <f t="shared" si="26"/>
        <v>0</v>
      </c>
      <c r="G77" s="26">
        <f t="shared" si="26"/>
        <v>0</v>
      </c>
      <c r="H77" s="26">
        <f t="shared" si="26"/>
        <v>0</v>
      </c>
      <c r="I77" s="26">
        <f t="shared" si="26"/>
        <v>0</v>
      </c>
      <c r="J77" s="27"/>
      <c r="K77" s="1"/>
    </row>
    <row r="78" ht="28.5" customHeight="1">
      <c r="A78" s="1"/>
      <c r="B78" s="24" t="s">
        <v>112</v>
      </c>
      <c r="C78" s="26"/>
      <c r="D78" s="26"/>
      <c r="E78" s="26"/>
      <c r="F78" s="26"/>
      <c r="G78" s="26"/>
      <c r="H78" s="26"/>
      <c r="I78" s="26">
        <f>_xlfn.IFERROR(IF(ABS(I66-SUM(C66:F66))&lt;=5,0,I66-SUM(C66:F66)),1)</f>
        <v>0</v>
      </c>
      <c r="J78" s="27"/>
      <c r="K78" s="1" t="s">
        <v>113</v>
      </c>
    </row>
    <row r="79" ht="28.5" customHeight="1">
      <c r="A79" s="1"/>
      <c r="B79" s="24" t="s">
        <v>114</v>
      </c>
      <c r="C79" s="26">
        <f t="shared" si="27" ref="C79:J79">_xlfn.IFERROR(IF(ABS(C10+C18+C32+C41+C43+C62-C66)&lt;=0.5,0,C10+C18+C32+C41+C43+C62-C66),1)</f>
        <v>0</v>
      </c>
      <c r="D79" s="26">
        <f t="shared" si="27"/>
        <v>0</v>
      </c>
      <c r="E79" s="26">
        <f t="shared" si="27"/>
        <v>0</v>
      </c>
      <c r="F79" s="26">
        <f t="shared" si="27"/>
        <v>0</v>
      </c>
      <c r="G79" s="26">
        <f t="shared" si="27"/>
        <v>0</v>
      </c>
      <c r="H79" s="26">
        <f t="shared" si="27"/>
        <v>0</v>
      </c>
      <c r="I79" s="26">
        <f t="shared" si="27"/>
        <v>0</v>
      </c>
      <c r="J79" s="27">
        <f t="shared" si="27"/>
        <v>0</v>
      </c>
      <c r="K79" s="1" t="s">
        <v>115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FB85F8B8-99B8-D2C8-9BB8-7A2B5144A0F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</row>
    <row r="3" ht="15" customHeight="1">
      <c r="A3" s="1"/>
      <c r="B3" s="4" t="s">
        <v>116</v>
      </c>
      <c r="C3" s="1"/>
      <c r="D3" s="1"/>
      <c r="E3" s="1"/>
      <c r="F3" s="1"/>
      <c r="G3" s="1"/>
      <c r="H3" s="1"/>
      <c r="I3" s="1"/>
      <c r="J3" s="1"/>
      <c r="K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</row>
    <row r="5" ht="15" customHeight="1">
      <c r="A5" s="1"/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8" t="s">
        <v>12</v>
      </c>
      <c r="K5" s="6" t="s">
        <v>13</v>
      </c>
    </row>
    <row r="6" ht="15" customHeight="1">
      <c r="A6" s="1"/>
      <c r="B6" s="9" t="s">
        <v>14</v>
      </c>
      <c r="C6" s="10">
        <f>DATE(2025,3,31)</f>
        <v>45747</v>
      </c>
      <c r="D6" s="10">
        <f>DATE(2025,6,30)</f>
        <v>45838</v>
      </c>
      <c r="E6" s="10">
        <f>DATE(2025,9,30)</f>
        <v>45930</v>
      </c>
      <c r="F6" s="10">
        <f t="shared" si="0" ref="F6:I6">DATE(2025,12,31)</f>
        <v>46022</v>
      </c>
      <c r="G6" s="10">
        <f>DATE(2026,3,31)</f>
        <v>46112</v>
      </c>
      <c r="H6" s="10">
        <f>DATE(2026,6,30)</f>
        <v>46203</v>
      </c>
      <c r="I6" s="10">
        <f t="shared" si="0"/>
        <v>46022</v>
      </c>
      <c r="J6" s="11">
        <f>DATE(2026,9,30)</f>
        <v>46295</v>
      </c>
      <c r="K6" s="9"/>
    </row>
    <row r="7" ht="15" customHeight="1">
      <c r="A7" s="1"/>
      <c r="B7" s="12" t="s">
        <v>15</v>
      </c>
      <c r="C7" s="13">
        <f t="shared" si="1" ref="C7:J7">C6-EOMONTH(C6,-3)</f>
        <v>90</v>
      </c>
      <c r="D7" s="13">
        <f t="shared" si="1"/>
        <v>91</v>
      </c>
      <c r="E7" s="13">
        <f t="shared" si="1"/>
        <v>92</v>
      </c>
      <c r="F7" s="13">
        <f t="shared" si="1"/>
        <v>92</v>
      </c>
      <c r="G7" s="13">
        <f t="shared" si="1"/>
        <v>90</v>
      </c>
      <c r="H7" s="13">
        <f t="shared" si="1"/>
        <v>91</v>
      </c>
      <c r="I7" s="13">
        <f>I6-EOMONTH(I6,-12)</f>
        <v>365</v>
      </c>
      <c r="J7" s="14">
        <f t="shared" si="1"/>
        <v>92</v>
      </c>
      <c r="K7" s="12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5"/>
      <c r="K8" s="1"/>
    </row>
    <row r="9" ht="15" customHeight="1">
      <c r="A9" s="1"/>
      <c r="B9" s="16" t="s">
        <v>117</v>
      </c>
      <c r="C9" s="17"/>
      <c r="D9" s="17"/>
      <c r="E9" s="17"/>
      <c r="F9" s="17"/>
      <c r="G9" s="17"/>
      <c r="H9" s="17"/>
      <c r="I9" s="17"/>
      <c r="J9" s="18"/>
      <c r="K9" s="1" t="s">
        <v>118</v>
      </c>
    </row>
    <row r="10" ht="15" customHeight="1">
      <c r="A10" s="1"/>
      <c r="B10" s="19" t="s">
        <v>119</v>
      </c>
      <c r="C10" s="47">
        <v>4032</v>
      </c>
      <c r="D10" s="47">
        <v>4294</v>
      </c>
      <c r="E10" s="47">
        <v>4187</v>
      </c>
      <c r="F10" s="47">
        <v>4097</v>
      </c>
      <c r="G10" s="47">
        <v>3792</v>
      </c>
      <c r="H10" s="47">
        <v>4310</v>
      </c>
      <c r="I10" s="47">
        <v>16631</v>
      </c>
      <c r="J10" s="27">
        <f t="shared" si="16" ref="J10:J82">E10*(1+J11)</f>
        <v>4187</v>
      </c>
      <c r="K10" s="1" t="s">
        <v>120</v>
      </c>
    </row>
    <row r="11" ht="15" customHeight="1">
      <c r="A11" s="1"/>
      <c r="B11" s="28" t="s">
        <v>80</v>
      </c>
      <c r="C11" s="29" t="s">
        <v>41</v>
      </c>
      <c r="D11" s="29" t="s">
        <v>41</v>
      </c>
      <c r="E11" s="29" t="s">
        <v>41</v>
      </c>
      <c r="F11" s="29" t="s">
        <v>41</v>
      </c>
      <c r="G11" s="29">
        <f t="shared" si="2" ref="G11:H147">_xlfn.IFERROR(G10/C10-1,"n.a.")</f>
        <v>-0.059523809523809534</v>
      </c>
      <c r="H11" s="29">
        <f t="shared" si="2"/>
        <v>0.0037261294829995517</v>
      </c>
      <c r="I11" s="29" t="s">
        <v>41</v>
      </c>
      <c r="J11" s="56">
        <v>0</v>
      </c>
      <c r="K11" s="1"/>
    </row>
    <row r="12" ht="15" customHeight="1">
      <c r="A12" s="1"/>
      <c r="B12" s="28" t="s">
        <v>93</v>
      </c>
      <c r="C12" s="50" t="s">
        <v>41</v>
      </c>
      <c r="D12" s="50">
        <f t="shared" si="3" ref="D12:H148">_xlfn.IFERROR(D10-C10,"n.a.")</f>
        <v>262</v>
      </c>
      <c r="E12" s="50">
        <f t="shared" si="3"/>
        <v>-107</v>
      </c>
      <c r="F12" s="50">
        <f t="shared" si="3"/>
        <v>-90</v>
      </c>
      <c r="G12" s="50">
        <f t="shared" si="3"/>
        <v>-305</v>
      </c>
      <c r="H12" s="50">
        <f t="shared" si="3"/>
        <v>518</v>
      </c>
      <c r="I12" s="50" t="s">
        <v>41</v>
      </c>
      <c r="J12" s="51">
        <f t="shared" si="4" ref="J12:J148">_xlfn.IFERROR(J10-H10,"n.a.")</f>
        <v>-123</v>
      </c>
      <c r="K12" s="1"/>
    </row>
    <row r="13" ht="15" customHeight="1">
      <c r="A13" s="1"/>
      <c r="B13" s="19" t="s">
        <v>121</v>
      </c>
      <c r="C13" s="47">
        <v>17</v>
      </c>
      <c r="D13" s="47">
        <v>15</v>
      </c>
      <c r="E13" s="47">
        <v>12</v>
      </c>
      <c r="F13" s="47">
        <v>13</v>
      </c>
      <c r="G13" s="47">
        <v>11</v>
      </c>
      <c r="H13" s="47">
        <v>13</v>
      </c>
      <c r="I13" s="47">
        <v>57</v>
      </c>
      <c r="J13" s="27">
        <f>J25*E13/E22</f>
        <v>11.324455696202532</v>
      </c>
      <c r="K13" s="1"/>
    </row>
    <row r="14" ht="15" customHeight="1">
      <c r="A14" s="1"/>
      <c r="B14" s="28" t="s">
        <v>80</v>
      </c>
      <c r="C14" s="29" t="s">
        <v>41</v>
      </c>
      <c r="D14" s="29" t="s">
        <v>41</v>
      </c>
      <c r="E14" s="29" t="s">
        <v>41</v>
      </c>
      <c r="F14" s="29" t="s">
        <v>41</v>
      </c>
      <c r="G14" s="29">
        <f t="shared" si="2"/>
        <v>-0.3529411764705882</v>
      </c>
      <c r="H14" s="29">
        <f t="shared" si="2"/>
        <v>-0.1333333333333333</v>
      </c>
      <c r="I14" s="29" t="s">
        <v>41</v>
      </c>
      <c r="J14" s="30">
        <f t="shared" si="5" ref="J14:J147">_xlfn.IFERROR(J13/E13-1,"n.a.")</f>
        <v>-0.05629535864978896</v>
      </c>
      <c r="K14" s="1"/>
    </row>
    <row r="15" ht="15" customHeight="1">
      <c r="A15" s="1"/>
      <c r="B15" s="28" t="s">
        <v>93</v>
      </c>
      <c r="C15" s="50" t="s">
        <v>41</v>
      </c>
      <c r="D15" s="50">
        <f t="shared" si="3"/>
        <v>-2</v>
      </c>
      <c r="E15" s="50">
        <f t="shared" si="3"/>
        <v>-3</v>
      </c>
      <c r="F15" s="50">
        <f t="shared" si="3"/>
        <v>1</v>
      </c>
      <c r="G15" s="50">
        <f t="shared" si="3"/>
        <v>-2</v>
      </c>
      <c r="H15" s="50">
        <f t="shared" si="3"/>
        <v>2</v>
      </c>
      <c r="I15" s="50" t="s">
        <v>41</v>
      </c>
      <c r="J15" s="51">
        <f t="shared" si="4"/>
        <v>-1.6755443037974675</v>
      </c>
      <c r="K15" s="1"/>
    </row>
    <row r="16" ht="15" customHeight="1">
      <c r="A16" s="1"/>
      <c r="B16" s="19" t="s">
        <v>122</v>
      </c>
      <c r="C16" s="47">
        <v>344</v>
      </c>
      <c r="D16" s="47">
        <v>401</v>
      </c>
      <c r="E16" s="47">
        <v>369</v>
      </c>
      <c r="F16" s="47">
        <v>402</v>
      </c>
      <c r="G16" s="47">
        <v>324</v>
      </c>
      <c r="H16" s="47">
        <v>378</v>
      </c>
      <c r="I16" s="47">
        <v>1517</v>
      </c>
      <c r="J16" s="27">
        <f>J25*E16/E22</f>
        <v>348.22701265822786</v>
      </c>
      <c r="K16" s="1"/>
    </row>
    <row r="17" ht="15" customHeight="1">
      <c r="A17" s="1"/>
      <c r="B17" s="28" t="s">
        <v>80</v>
      </c>
      <c r="C17" s="29" t="s">
        <v>41</v>
      </c>
      <c r="D17" s="29" t="s">
        <v>41</v>
      </c>
      <c r="E17" s="29" t="s">
        <v>41</v>
      </c>
      <c r="F17" s="29" t="s">
        <v>41</v>
      </c>
      <c r="G17" s="29">
        <f t="shared" si="2"/>
        <v>-0.05813953488372092</v>
      </c>
      <c r="H17" s="29">
        <f t="shared" si="2"/>
        <v>-0.05735660847880297</v>
      </c>
      <c r="I17" s="29" t="s">
        <v>41</v>
      </c>
      <c r="J17" s="30">
        <f t="shared" si="5"/>
        <v>-0.05629535864978896</v>
      </c>
      <c r="K17" s="1"/>
    </row>
    <row r="18" ht="15" customHeight="1">
      <c r="A18" s="1"/>
      <c r="B18" s="28" t="s">
        <v>93</v>
      </c>
      <c r="C18" s="50" t="s">
        <v>41</v>
      </c>
      <c r="D18" s="50">
        <f t="shared" si="3"/>
        <v>57</v>
      </c>
      <c r="E18" s="50">
        <f t="shared" si="3"/>
        <v>-32</v>
      </c>
      <c r="F18" s="50">
        <f t="shared" si="3"/>
        <v>33</v>
      </c>
      <c r="G18" s="50">
        <f t="shared" si="3"/>
        <v>-78</v>
      </c>
      <c r="H18" s="50">
        <f t="shared" si="3"/>
        <v>54</v>
      </c>
      <c r="I18" s="50" t="s">
        <v>41</v>
      </c>
      <c r="J18" s="51">
        <f t="shared" si="4"/>
        <v>-29.772987341772136</v>
      </c>
      <c r="K18" s="1"/>
    </row>
    <row r="19" ht="28.5" customHeight="1">
      <c r="A19" s="1"/>
      <c r="B19" s="24" t="s">
        <v>123</v>
      </c>
      <c r="C19" s="47">
        <v>332</v>
      </c>
      <c r="D19" s="47">
        <v>330</v>
      </c>
      <c r="E19" s="47">
        <v>330</v>
      </c>
      <c r="F19" s="47">
        <v>288</v>
      </c>
      <c r="G19" s="47">
        <v>291</v>
      </c>
      <c r="H19" s="47">
        <v>324</v>
      </c>
      <c r="I19" s="47">
        <v>1280</v>
      </c>
      <c r="J19" s="27">
        <f>J25*E19/E22</f>
        <v>311.4225316455696</v>
      </c>
      <c r="K19" s="1"/>
    </row>
    <row r="20" ht="15" customHeight="1">
      <c r="A20" s="1"/>
      <c r="B20" s="28" t="s">
        <v>80</v>
      </c>
      <c r="C20" s="29" t="s">
        <v>41</v>
      </c>
      <c r="D20" s="29" t="s">
        <v>41</v>
      </c>
      <c r="E20" s="29" t="s">
        <v>41</v>
      </c>
      <c r="F20" s="29" t="s">
        <v>41</v>
      </c>
      <c r="G20" s="29">
        <f t="shared" si="2"/>
        <v>-0.12349397590361444</v>
      </c>
      <c r="H20" s="29">
        <f t="shared" si="2"/>
        <v>-0.018181818181818188</v>
      </c>
      <c r="I20" s="29" t="s">
        <v>41</v>
      </c>
      <c r="J20" s="30">
        <f t="shared" si="5"/>
        <v>-0.05629535864978907</v>
      </c>
      <c r="K20" s="1"/>
    </row>
    <row r="21" ht="15" customHeight="1">
      <c r="A21" s="1"/>
      <c r="B21" s="28" t="s">
        <v>93</v>
      </c>
      <c r="C21" s="50" t="s">
        <v>41</v>
      </c>
      <c r="D21" s="50">
        <f t="shared" si="3"/>
        <v>-2</v>
      </c>
      <c r="E21" s="50">
        <f t="shared" si="3"/>
        <v>0</v>
      </c>
      <c r="F21" s="50">
        <f t="shared" si="3"/>
        <v>-42</v>
      </c>
      <c r="G21" s="50">
        <f t="shared" si="3"/>
        <v>3</v>
      </c>
      <c r="H21" s="50">
        <f t="shared" si="3"/>
        <v>33</v>
      </c>
      <c r="I21" s="50" t="s">
        <v>41</v>
      </c>
      <c r="J21" s="51">
        <f t="shared" si="4"/>
        <v>-12.57746835443038</v>
      </c>
      <c r="K21" s="1"/>
    </row>
    <row r="22" ht="15" customHeight="1">
      <c r="A22" s="1"/>
      <c r="B22" s="4" t="s">
        <v>124</v>
      </c>
      <c r="C22" s="52">
        <f t="shared" si="6" ref="C22:J22">C13+C16+C19</f>
        <v>693</v>
      </c>
      <c r="D22" s="52">
        <f t="shared" si="6"/>
        <v>746</v>
      </c>
      <c r="E22" s="52">
        <f t="shared" si="6"/>
        <v>711</v>
      </c>
      <c r="F22" s="52">
        <f t="shared" si="6"/>
        <v>703</v>
      </c>
      <c r="G22" s="52">
        <f t="shared" si="6"/>
        <v>626</v>
      </c>
      <c r="H22" s="52">
        <f t="shared" si="6"/>
        <v>715</v>
      </c>
      <c r="I22" s="52">
        <f t="shared" si="6"/>
        <v>2854</v>
      </c>
      <c r="J22" s="53">
        <f t="shared" si="6"/>
        <v>670.9739999999999</v>
      </c>
      <c r="K22" s="1"/>
    </row>
    <row r="23" ht="15" customHeight="1">
      <c r="A23" s="1"/>
      <c r="B23" s="28" t="s">
        <v>80</v>
      </c>
      <c r="C23" s="29" t="s">
        <v>41</v>
      </c>
      <c r="D23" s="29" t="s">
        <v>41</v>
      </c>
      <c r="E23" s="29" t="s">
        <v>41</v>
      </c>
      <c r="F23" s="29" t="s">
        <v>41</v>
      </c>
      <c r="G23" s="29">
        <f t="shared" si="2"/>
        <v>-0.0966810966810967</v>
      </c>
      <c r="H23" s="29">
        <f t="shared" si="2"/>
        <v>-0.041554959785522816</v>
      </c>
      <c r="I23" s="29" t="s">
        <v>41</v>
      </c>
      <c r="J23" s="30">
        <f t="shared" si="5"/>
        <v>-0.05629535864978907</v>
      </c>
      <c r="K23" s="1"/>
    </row>
    <row r="24" ht="15" customHeight="1">
      <c r="A24" s="1"/>
      <c r="B24" s="28" t="s">
        <v>93</v>
      </c>
      <c r="C24" s="50" t="s">
        <v>41</v>
      </c>
      <c r="D24" s="50">
        <f t="shared" si="3"/>
        <v>53</v>
      </c>
      <c r="E24" s="50">
        <f t="shared" si="3"/>
        <v>-35</v>
      </c>
      <c r="F24" s="50">
        <f t="shared" si="3"/>
        <v>-8</v>
      </c>
      <c r="G24" s="50">
        <f t="shared" si="3"/>
        <v>-77</v>
      </c>
      <c r="H24" s="50">
        <f t="shared" si="3"/>
        <v>89</v>
      </c>
      <c r="I24" s="50" t="s">
        <v>41</v>
      </c>
      <c r="J24" s="51">
        <f t="shared" si="4"/>
        <v>-44.02600000000007</v>
      </c>
      <c r="K24" s="1"/>
    </row>
    <row r="25" ht="28.5" customHeight="1">
      <c r="A25" s="1"/>
      <c r="B25" s="24" t="s">
        <v>125</v>
      </c>
      <c r="C25" s="47">
        <v>693</v>
      </c>
      <c r="D25" s="47">
        <v>747</v>
      </c>
      <c r="E25" s="47">
        <v>710</v>
      </c>
      <c r="F25" s="47">
        <v>703</v>
      </c>
      <c r="G25" s="47">
        <v>626</v>
      </c>
      <c r="H25" s="47">
        <v>715</v>
      </c>
      <c r="I25" s="47">
        <v>2853</v>
      </c>
      <c r="J25" s="49">
        <v>670.974</v>
      </c>
      <c r="K25" s="1" t="s">
        <v>126</v>
      </c>
    </row>
    <row r="26" ht="28.5" customHeight="1">
      <c r="A26" s="1"/>
      <c r="B26" s="24" t="s">
        <v>127</v>
      </c>
      <c r="C26" s="26">
        <f t="shared" si="7" ref="C26:J26">_xlfn.IFERROR(IF(ABS(C22-C25)&lt;=2,0,C22-C25),1)</f>
        <v>0</v>
      </c>
      <c r="D26" s="26">
        <f t="shared" si="7"/>
        <v>0</v>
      </c>
      <c r="E26" s="26">
        <f t="shared" si="7"/>
        <v>0</v>
      </c>
      <c r="F26" s="26">
        <f t="shared" si="7"/>
        <v>0</v>
      </c>
      <c r="G26" s="26">
        <f t="shared" si="7"/>
        <v>0</v>
      </c>
      <c r="H26" s="26">
        <f t="shared" si="7"/>
        <v>0</v>
      </c>
      <c r="I26" s="26">
        <f t="shared" si="7"/>
        <v>0</v>
      </c>
      <c r="J26" s="27">
        <f t="shared" si="7"/>
        <v>0</v>
      </c>
      <c r="K26" s="1"/>
    </row>
    <row r="27" ht="15" customHeight="1">
      <c r="A27" s="1"/>
      <c r="B27" s="57" t="s">
        <v>128</v>
      </c>
      <c r="C27" s="29">
        <f t="shared" si="8" ref="C27:J27">_xlfn.IFERROR(C22/C10,"n.a.")</f>
        <v>0.171875</v>
      </c>
      <c r="D27" s="29">
        <f t="shared" si="8"/>
        <v>0.1737307871448533</v>
      </c>
      <c r="E27" s="29">
        <f t="shared" si="8"/>
        <v>0.16981132075471697</v>
      </c>
      <c r="F27" s="29">
        <f t="shared" si="8"/>
        <v>0.17158896753722236</v>
      </c>
      <c r="G27" s="29">
        <f t="shared" si="8"/>
        <v>0.16508438818565402</v>
      </c>
      <c r="H27" s="29">
        <f t="shared" si="8"/>
        <v>0.16589327146171692</v>
      </c>
      <c r="I27" s="29">
        <f t="shared" si="8"/>
        <v>0.17160723949251397</v>
      </c>
      <c r="J27" s="30">
        <f t="shared" si="8"/>
        <v>0.1602517315500358</v>
      </c>
      <c r="K27" s="1"/>
    </row>
    <row r="28" ht="15" customHeight="1">
      <c r="A28" s="1"/>
      <c r="B28" s="28" t="s">
        <v>129</v>
      </c>
      <c r="C28" s="58" t="s">
        <v>41</v>
      </c>
      <c r="D28" s="58" t="s">
        <v>41</v>
      </c>
      <c r="E28" s="58" t="s">
        <v>41</v>
      </c>
      <c r="F28" s="58" t="s">
        <v>41</v>
      </c>
      <c r="G28" s="58">
        <f t="shared" si="9" ref="G28:H150">_xlfn.IFERROR((G27-C27)*10000,"n.a.")</f>
        <v>-67.90611814345982</v>
      </c>
      <c r="H28" s="58">
        <f t="shared" si="9"/>
        <v>-78.3751568313637</v>
      </c>
      <c r="I28" s="58" t="s">
        <v>41</v>
      </c>
      <c r="J28" s="59">
        <f t="shared" si="12" ref="J28:J150">_xlfn.IFERROR((J27-E27)*10000,"n.a.")</f>
        <v>-95.59589204681168</v>
      </c>
      <c r="K28" s="1"/>
    </row>
    <row r="29" ht="15" customHeight="1">
      <c r="A29" s="1"/>
      <c r="B29" s="28" t="s">
        <v>130</v>
      </c>
      <c r="C29" s="58" t="s">
        <v>41</v>
      </c>
      <c r="D29" s="58">
        <f t="shared" si="10" ref="D29:H151">_xlfn.IFERROR((D27-C27)*10000,"n.a.")</f>
        <v>18.557871448532936</v>
      </c>
      <c r="E29" s="58">
        <f t="shared" si="10"/>
        <v>-39.19466390136323</v>
      </c>
      <c r="F29" s="58">
        <f t="shared" si="10"/>
        <v>17.776467825053878</v>
      </c>
      <c r="G29" s="58">
        <f t="shared" si="10"/>
        <v>-65.0457935156834</v>
      </c>
      <c r="H29" s="58">
        <f t="shared" si="10"/>
        <v>8.08883276062905</v>
      </c>
      <c r="I29" s="58" t="s">
        <v>41</v>
      </c>
      <c r="J29" s="59">
        <f t="shared" si="13" ref="J29:J151">_xlfn.IFERROR((J27-H27)*10000,"n.a.")</f>
        <v>-56.4153991168112</v>
      </c>
      <c r="K29" s="1"/>
    </row>
    <row r="30" ht="15" customHeight="1">
      <c r="A30" s="1"/>
      <c r="B30" s="57" t="s">
        <v>131</v>
      </c>
      <c r="C30" s="29">
        <f t="shared" si="11" ref="C30:J30">_xlfn.IFERROR(C13/C22,"n.a.")</f>
        <v>0.024531024531024532</v>
      </c>
      <c r="D30" s="29">
        <f t="shared" si="11"/>
        <v>0.020107238605898123</v>
      </c>
      <c r="E30" s="29">
        <f t="shared" si="11"/>
        <v>0.016877637130801686</v>
      </c>
      <c r="F30" s="29">
        <f t="shared" si="11"/>
        <v>0.01849217638691323</v>
      </c>
      <c r="G30" s="29">
        <f t="shared" si="11"/>
        <v>0.01757188498402556</v>
      </c>
      <c r="H30" s="29">
        <f t="shared" si="11"/>
        <v>0.01818181818181818</v>
      </c>
      <c r="I30" s="29">
        <f t="shared" si="11"/>
        <v>0.019971969166082692</v>
      </c>
      <c r="J30" s="30">
        <f t="shared" si="11"/>
        <v>0.01687763713080169</v>
      </c>
      <c r="K30" s="1"/>
    </row>
    <row r="31" ht="15" customHeight="1">
      <c r="A31" s="1"/>
      <c r="B31" s="28" t="s">
        <v>129</v>
      </c>
      <c r="C31" s="58" t="s">
        <v>41</v>
      </c>
      <c r="D31" s="58" t="s">
        <v>41</v>
      </c>
      <c r="E31" s="58" t="s">
        <v>41</v>
      </c>
      <c r="F31" s="58" t="s">
        <v>41</v>
      </c>
      <c r="G31" s="58">
        <f t="shared" si="9"/>
        <v>-69.59139546998973</v>
      </c>
      <c r="H31" s="58">
        <f t="shared" si="9"/>
        <v>-19.254204240799417</v>
      </c>
      <c r="I31" s="58" t="s">
        <v>41</v>
      </c>
      <c r="J31" s="59">
        <f t="shared" si="12"/>
        <v>0</v>
      </c>
      <c r="K31" s="1"/>
    </row>
    <row r="32" ht="15" customHeight="1">
      <c r="A32" s="1"/>
      <c r="B32" s="28" t="s">
        <v>130</v>
      </c>
      <c r="C32" s="58" t="s">
        <v>41</v>
      </c>
      <c r="D32" s="58">
        <f t="shared" si="10"/>
        <v>-44.23785925126409</v>
      </c>
      <c r="E32" s="58">
        <f t="shared" si="10"/>
        <v>-32.29601475096437</v>
      </c>
      <c r="F32" s="58">
        <f t="shared" si="10"/>
        <v>16.145392561115433</v>
      </c>
      <c r="G32" s="58">
        <f t="shared" si="10"/>
        <v>-9.202914028876712</v>
      </c>
      <c r="H32" s="58">
        <f t="shared" si="10"/>
        <v>6.099331977926226</v>
      </c>
      <c r="I32" s="58" t="s">
        <v>41</v>
      </c>
      <c r="J32" s="59">
        <f t="shared" si="13"/>
        <v>-13.041810510164911</v>
      </c>
      <c r="K32" s="1"/>
    </row>
    <row r="33" ht="15" customHeight="1">
      <c r="A33" s="1"/>
      <c r="B33" s="57" t="s">
        <v>132</v>
      </c>
      <c r="C33" s="29">
        <f t="shared" si="14" ref="C33:J33">_xlfn.IFERROR(C16/C22,"n.a.")</f>
        <v>0.4963924963924964</v>
      </c>
      <c r="D33" s="29">
        <f t="shared" si="14"/>
        <v>0.5375335120643432</v>
      </c>
      <c r="E33" s="29">
        <f t="shared" si="14"/>
        <v>0.5189873417721519</v>
      </c>
      <c r="F33" s="29">
        <f t="shared" si="14"/>
        <v>0.5718349928876245</v>
      </c>
      <c r="G33" s="29">
        <f t="shared" si="14"/>
        <v>0.5175718849840255</v>
      </c>
      <c r="H33" s="29">
        <f t="shared" si="14"/>
        <v>0.5286713286713287</v>
      </c>
      <c r="I33" s="29">
        <f t="shared" si="14"/>
        <v>0.5315346881569727</v>
      </c>
      <c r="J33" s="30">
        <f t="shared" si="14"/>
        <v>0.518987341772152</v>
      </c>
      <c r="K33" s="1"/>
    </row>
    <row r="34" ht="15" customHeight="1">
      <c r="A34" s="1"/>
      <c r="B34" s="28" t="s">
        <v>129</v>
      </c>
      <c r="C34" s="58" t="s">
        <v>41</v>
      </c>
      <c r="D34" s="58" t="s">
        <v>41</v>
      </c>
      <c r="E34" s="58" t="s">
        <v>41</v>
      </c>
      <c r="F34" s="58" t="s">
        <v>41</v>
      </c>
      <c r="G34" s="58">
        <f t="shared" si="9"/>
        <v>211.79388591529124</v>
      </c>
      <c r="H34" s="58">
        <f t="shared" si="9"/>
        <v>-88.62183393014477</v>
      </c>
      <c r="I34" s="58" t="s">
        <v>41</v>
      </c>
      <c r="J34" s="59">
        <f t="shared" si="12"/>
        <v>0</v>
      </c>
      <c r="K34" s="1"/>
    </row>
    <row r="35" ht="15" customHeight="1">
      <c r="A35" s="1"/>
      <c r="B35" s="28" t="s">
        <v>130</v>
      </c>
      <c r="C35" s="58" t="s">
        <v>41</v>
      </c>
      <c r="D35" s="58">
        <f t="shared" si="10"/>
        <v>411.41015671846804</v>
      </c>
      <c r="E35" s="58">
        <f t="shared" si="10"/>
        <v>-185.461702921913</v>
      </c>
      <c r="F35" s="58">
        <f t="shared" si="10"/>
        <v>528.4765111547263</v>
      </c>
      <c r="G35" s="58">
        <f t="shared" si="10"/>
        <v>-542.6310790359901</v>
      </c>
      <c r="H35" s="58">
        <f t="shared" si="10"/>
        <v>110.99443687303202</v>
      </c>
      <c r="I35" s="58" t="s">
        <v>41</v>
      </c>
      <c r="J35" s="59">
        <f t="shared" si="13"/>
        <v>-96.8398689917671</v>
      </c>
      <c r="K35" s="1"/>
    </row>
    <row r="36" ht="28.5" customHeight="1">
      <c r="A36" s="1"/>
      <c r="B36" s="60" t="s">
        <v>133</v>
      </c>
      <c r="C36" s="29">
        <f t="shared" si="15" ref="C36:J36">_xlfn.IFERROR(C19/C22,"n.a.")</f>
        <v>0.4790764790764791</v>
      </c>
      <c r="D36" s="29">
        <f t="shared" si="15"/>
        <v>0.44235924932975873</v>
      </c>
      <c r="E36" s="29">
        <f t="shared" si="15"/>
        <v>0.4641350210970464</v>
      </c>
      <c r="F36" s="29">
        <f t="shared" si="15"/>
        <v>0.4096728307254623</v>
      </c>
      <c r="G36" s="29">
        <f t="shared" si="15"/>
        <v>0.46485623003194887</v>
      </c>
      <c r="H36" s="29">
        <f t="shared" si="15"/>
        <v>0.45314685314685316</v>
      </c>
      <c r="I36" s="29">
        <f t="shared" si="15"/>
        <v>0.44849334267694463</v>
      </c>
      <c r="J36" s="30">
        <f t="shared" si="15"/>
        <v>0.46413502109704646</v>
      </c>
      <c r="K36" s="1"/>
    </row>
    <row r="37" ht="15" customHeight="1">
      <c r="A37" s="1"/>
      <c r="B37" s="28" t="s">
        <v>129</v>
      </c>
      <c r="C37" s="58" t="s">
        <v>41</v>
      </c>
      <c r="D37" s="58" t="s">
        <v>41</v>
      </c>
      <c r="E37" s="58" t="s">
        <v>41</v>
      </c>
      <c r="F37" s="58" t="s">
        <v>41</v>
      </c>
      <c r="G37" s="58">
        <f t="shared" si="9"/>
        <v>-142.20249044530232</v>
      </c>
      <c r="H37" s="58">
        <f t="shared" si="9"/>
        <v>107.87603817094427</v>
      </c>
      <c r="I37" s="58" t="s">
        <v>41</v>
      </c>
      <c r="J37" s="59">
        <f t="shared" si="12"/>
        <v>0</v>
      </c>
      <c r="K37" s="1"/>
    </row>
    <row r="38" ht="15" customHeight="1">
      <c r="A38" s="1"/>
      <c r="B38" s="28" t="s">
        <v>130</v>
      </c>
      <c r="C38" s="58" t="s">
        <v>41</v>
      </c>
      <c r="D38" s="58">
        <f t="shared" si="10"/>
        <v>-367.1722974672037</v>
      </c>
      <c r="E38" s="58">
        <f t="shared" si="10"/>
        <v>217.75771767287677</v>
      </c>
      <c r="F38" s="58">
        <f t="shared" si="10"/>
        <v>-544.6219037158412</v>
      </c>
      <c r="G38" s="58">
        <f t="shared" si="10"/>
        <v>551.8339930648658</v>
      </c>
      <c r="H38" s="58">
        <f t="shared" si="10"/>
        <v>-117.09376885095712</v>
      </c>
      <c r="I38" s="58" t="s">
        <v>41</v>
      </c>
      <c r="J38" s="59">
        <f t="shared" si="13"/>
        <v>109.88167950193306</v>
      </c>
      <c r="K38" s="1"/>
    </row>
    <row r="39" ht="41.25" customHeight="1">
      <c r="A39" s="1"/>
      <c r="B39" s="24" t="s">
        <v>134</v>
      </c>
      <c r="C39" s="47">
        <v>126</v>
      </c>
      <c r="D39" s="47">
        <v>131</v>
      </c>
      <c r="E39" s="47">
        <v>127</v>
      </c>
      <c r="F39" s="47">
        <v>124</v>
      </c>
      <c r="G39" s="47">
        <v>117</v>
      </c>
      <c r="H39" s="47">
        <v>133</v>
      </c>
      <c r="I39" s="47">
        <v>507</v>
      </c>
      <c r="J39" s="27">
        <f t="shared" si="16"/>
        <v>127</v>
      </c>
      <c r="K39" s="1" t="s">
        <v>135</v>
      </c>
    </row>
    <row r="40" ht="15" customHeight="1">
      <c r="A40" s="1"/>
      <c r="B40" s="28" t="s">
        <v>80</v>
      </c>
      <c r="C40" s="29" t="s">
        <v>41</v>
      </c>
      <c r="D40" s="29" t="s">
        <v>41</v>
      </c>
      <c r="E40" s="29" t="s">
        <v>41</v>
      </c>
      <c r="F40" s="29" t="s">
        <v>41</v>
      </c>
      <c r="G40" s="29">
        <f t="shared" si="2"/>
        <v>-0.0714285714285714</v>
      </c>
      <c r="H40" s="29">
        <f t="shared" si="2"/>
        <v>0.01526717557251911</v>
      </c>
      <c r="I40" s="29" t="s">
        <v>41</v>
      </c>
      <c r="J40" s="56">
        <v>0</v>
      </c>
      <c r="K40" s="1"/>
    </row>
    <row r="41" ht="15" customHeight="1">
      <c r="A41" s="1"/>
      <c r="B41" s="28" t="s">
        <v>93</v>
      </c>
      <c r="C41" s="50" t="s">
        <v>41</v>
      </c>
      <c r="D41" s="50">
        <f t="shared" si="3"/>
        <v>5</v>
      </c>
      <c r="E41" s="50">
        <f t="shared" si="3"/>
        <v>-4</v>
      </c>
      <c r="F41" s="50">
        <f t="shared" si="3"/>
        <v>-3</v>
      </c>
      <c r="G41" s="50">
        <f t="shared" si="3"/>
        <v>-7</v>
      </c>
      <c r="H41" s="50">
        <f t="shared" si="3"/>
        <v>16</v>
      </c>
      <c r="I41" s="50" t="s">
        <v>41</v>
      </c>
      <c r="J41" s="51">
        <f t="shared" si="4"/>
        <v>-6</v>
      </c>
      <c r="K41" s="1"/>
    </row>
    <row r="42" ht="28.5" customHeight="1">
      <c r="A42" s="1"/>
      <c r="B42" s="55" t="s">
        <v>136</v>
      </c>
      <c r="C42" s="52">
        <f t="shared" si="17" ref="C42:J42">C22+C39</f>
        <v>819</v>
      </c>
      <c r="D42" s="52">
        <f t="shared" si="17"/>
        <v>877</v>
      </c>
      <c r="E42" s="52">
        <f t="shared" si="17"/>
        <v>838</v>
      </c>
      <c r="F42" s="52">
        <f t="shared" si="17"/>
        <v>827</v>
      </c>
      <c r="G42" s="52">
        <f t="shared" si="17"/>
        <v>743</v>
      </c>
      <c r="H42" s="52">
        <f t="shared" si="17"/>
        <v>848</v>
      </c>
      <c r="I42" s="52">
        <f t="shared" si="17"/>
        <v>3361</v>
      </c>
      <c r="J42" s="53">
        <f t="shared" si="17"/>
        <v>797.9739999999999</v>
      </c>
      <c r="K42" s="1"/>
    </row>
    <row r="43" ht="15" customHeight="1">
      <c r="A43" s="1"/>
      <c r="B43" s="28" t="s">
        <v>80</v>
      </c>
      <c r="C43" s="29" t="s">
        <v>41</v>
      </c>
      <c r="D43" s="29" t="s">
        <v>41</v>
      </c>
      <c r="E43" s="29" t="s">
        <v>41</v>
      </c>
      <c r="F43" s="29" t="s">
        <v>41</v>
      </c>
      <c r="G43" s="29">
        <f t="shared" si="2"/>
        <v>-0.0927960927960928</v>
      </c>
      <c r="H43" s="29">
        <f t="shared" si="2"/>
        <v>-0.033067274800456126</v>
      </c>
      <c r="I43" s="29" t="s">
        <v>41</v>
      </c>
      <c r="J43" s="30">
        <f t="shared" si="5"/>
        <v>-0.04776372315035804</v>
      </c>
      <c r="K43" s="1"/>
    </row>
    <row r="44" ht="15" customHeight="1">
      <c r="A44" s="1"/>
      <c r="B44" s="28" t="s">
        <v>93</v>
      </c>
      <c r="C44" s="50" t="s">
        <v>41</v>
      </c>
      <c r="D44" s="50">
        <f t="shared" si="3"/>
        <v>58</v>
      </c>
      <c r="E44" s="50">
        <f t="shared" si="3"/>
        <v>-39</v>
      </c>
      <c r="F44" s="50">
        <f t="shared" si="3"/>
        <v>-11</v>
      </c>
      <c r="G44" s="50">
        <f t="shared" si="3"/>
        <v>-84</v>
      </c>
      <c r="H44" s="50">
        <f t="shared" si="3"/>
        <v>105</v>
      </c>
      <c r="I44" s="50" t="s">
        <v>41</v>
      </c>
      <c r="J44" s="51">
        <f t="shared" si="4"/>
        <v>-50.02600000000007</v>
      </c>
      <c r="K44" s="1"/>
    </row>
    <row r="45" ht="15" customHeight="1">
      <c r="A45" s="1"/>
      <c r="B45" s="1"/>
      <c r="C45" s="17"/>
      <c r="D45" s="17"/>
      <c r="E45" s="17"/>
      <c r="F45" s="17"/>
      <c r="G45" s="17"/>
      <c r="H45" s="17"/>
      <c r="I45" s="17"/>
      <c r="J45" s="18"/>
      <c r="K45" s="1"/>
    </row>
    <row r="46" ht="15" customHeight="1">
      <c r="A46" s="1"/>
      <c r="B46" s="16" t="s">
        <v>137</v>
      </c>
      <c r="C46" s="17"/>
      <c r="D46" s="17"/>
      <c r="E46" s="17"/>
      <c r="F46" s="17"/>
      <c r="G46" s="17"/>
      <c r="H46" s="17"/>
      <c r="I46" s="17"/>
      <c r="J46" s="18"/>
      <c r="K46" s="1" t="s">
        <v>138</v>
      </c>
    </row>
    <row r="47" ht="15" customHeight="1">
      <c r="A47" s="1"/>
      <c r="B47" s="19" t="s">
        <v>139</v>
      </c>
      <c r="C47" s="47">
        <v>596.775</v>
      </c>
      <c r="D47" s="26">
        <f t="shared" si="18" ref="D47:H47">C52</f>
        <v>549.312</v>
      </c>
      <c r="E47" s="26">
        <f t="shared" si="18"/>
        <v>525.918</v>
      </c>
      <c r="F47" s="26">
        <f t="shared" si="18"/>
        <v>527.063</v>
      </c>
      <c r="G47" s="26">
        <f t="shared" si="18"/>
        <v>486.494</v>
      </c>
      <c r="H47" s="26">
        <f t="shared" si="18"/>
        <v>516.287</v>
      </c>
      <c r="I47" s="26">
        <f>C47</f>
        <v>596.775</v>
      </c>
      <c r="J47" s="27">
        <f>H52</f>
        <v>510.812</v>
      </c>
      <c r="K47" s="1"/>
    </row>
    <row r="48" ht="28.5" customHeight="1">
      <c r="A48" s="1"/>
      <c r="B48" s="24" t="s">
        <v>140</v>
      </c>
      <c r="C48" s="26">
        <f t="shared" si="19" ref="C48:J48">C52-C47+C22</f>
        <v>645.537</v>
      </c>
      <c r="D48" s="26">
        <f t="shared" si="19"/>
        <v>722.606</v>
      </c>
      <c r="E48" s="26">
        <f t="shared" si="19"/>
        <v>712.145</v>
      </c>
      <c r="F48" s="26">
        <f t="shared" si="19"/>
        <v>662.431</v>
      </c>
      <c r="G48" s="26">
        <f t="shared" si="19"/>
        <v>655.793</v>
      </c>
      <c r="H48" s="26">
        <f t="shared" si="19"/>
        <v>709.525</v>
      </c>
      <c r="I48" s="26">
        <f t="shared" si="19"/>
        <v>2743.719</v>
      </c>
      <c r="J48" s="27">
        <f t="shared" si="19"/>
        <v>728.3129999999999</v>
      </c>
      <c r="K48" s="1"/>
    </row>
    <row r="49" ht="15" customHeight="1">
      <c r="A49" s="1"/>
      <c r="B49" s="28" t="s">
        <v>80</v>
      </c>
      <c r="C49" s="29" t="s">
        <v>41</v>
      </c>
      <c r="D49" s="29" t="s">
        <v>41</v>
      </c>
      <c r="E49" s="29" t="s">
        <v>41</v>
      </c>
      <c r="F49" s="29" t="s">
        <v>41</v>
      </c>
      <c r="G49" s="29">
        <f t="shared" si="2"/>
        <v>0.015887547886488163</v>
      </c>
      <c r="H49" s="29">
        <f t="shared" si="2"/>
        <v>-0.018102534437854145</v>
      </c>
      <c r="I49" s="29" t="s">
        <v>41</v>
      </c>
      <c r="J49" s="30">
        <f t="shared" si="5"/>
        <v>0.022703241615120273</v>
      </c>
      <c r="K49" s="1"/>
    </row>
    <row r="50" ht="15" customHeight="1">
      <c r="A50" s="1"/>
      <c r="B50" s="28" t="s">
        <v>93</v>
      </c>
      <c r="C50" s="50" t="s">
        <v>41</v>
      </c>
      <c r="D50" s="50">
        <f t="shared" si="3"/>
        <v>77.06899999999996</v>
      </c>
      <c r="E50" s="50">
        <f t="shared" si="3"/>
        <v>-10.461000000000013</v>
      </c>
      <c r="F50" s="50">
        <f t="shared" si="3"/>
        <v>-49.71399999999994</v>
      </c>
      <c r="G50" s="50">
        <f t="shared" si="3"/>
        <v>-6.638000000000034</v>
      </c>
      <c r="H50" s="50">
        <f t="shared" si="3"/>
        <v>53.73199999999997</v>
      </c>
      <c r="I50" s="50" t="s">
        <v>41</v>
      </c>
      <c r="J50" s="51">
        <f t="shared" si="4"/>
        <v>18.787999999999897</v>
      </c>
      <c r="K50" s="1"/>
    </row>
    <row r="51" ht="15" customHeight="1">
      <c r="A51" s="1"/>
      <c r="B51" s="19" t="s">
        <v>141</v>
      </c>
      <c r="C51" s="26">
        <f t="shared" si="20" ref="C51:J51">-C22</f>
        <v>-693</v>
      </c>
      <c r="D51" s="26">
        <f t="shared" si="20"/>
        <v>-746</v>
      </c>
      <c r="E51" s="26">
        <f t="shared" si="20"/>
        <v>-711</v>
      </c>
      <c r="F51" s="26">
        <f t="shared" si="20"/>
        <v>-703</v>
      </c>
      <c r="G51" s="26">
        <f t="shared" si="20"/>
        <v>-626</v>
      </c>
      <c r="H51" s="26">
        <f t="shared" si="20"/>
        <v>-715</v>
      </c>
      <c r="I51" s="26">
        <f t="shared" si="20"/>
        <v>-2854</v>
      </c>
      <c r="J51" s="27">
        <f t="shared" si="20"/>
        <v>-670.9739999999999</v>
      </c>
      <c r="K51" s="1"/>
    </row>
    <row r="52" ht="15" customHeight="1">
      <c r="A52" s="1"/>
      <c r="B52" s="4" t="s">
        <v>142</v>
      </c>
      <c r="C52" s="61">
        <v>549.312</v>
      </c>
      <c r="D52" s="61">
        <v>525.918</v>
      </c>
      <c r="E52" s="61">
        <v>527.063</v>
      </c>
      <c r="F52" s="61">
        <v>486.494</v>
      </c>
      <c r="G52" s="61">
        <v>516.287</v>
      </c>
      <c r="H52" s="61">
        <v>510.812</v>
      </c>
      <c r="I52" s="52">
        <f>F52</f>
        <v>486.494</v>
      </c>
      <c r="J52" s="62">
        <v>568.151</v>
      </c>
      <c r="K52" s="1" t="s">
        <v>143</v>
      </c>
    </row>
    <row r="53" ht="15" customHeight="1">
      <c r="A53" s="1"/>
      <c r="B53" s="28" t="s">
        <v>80</v>
      </c>
      <c r="C53" s="29" t="s">
        <v>41</v>
      </c>
      <c r="D53" s="29" t="s">
        <v>41</v>
      </c>
      <c r="E53" s="29" t="s">
        <v>41</v>
      </c>
      <c r="F53" s="29" t="s">
        <v>41</v>
      </c>
      <c r="G53" s="29">
        <f t="shared" si="2"/>
        <v>-0.06012066002563199</v>
      </c>
      <c r="H53" s="29">
        <f t="shared" si="2"/>
        <v>-0.02872310892572605</v>
      </c>
      <c r="I53" s="29" t="s">
        <v>41</v>
      </c>
      <c r="J53" s="30">
        <f t="shared" si="5"/>
        <v>0.07795652512128526</v>
      </c>
      <c r="K53" s="1"/>
    </row>
    <row r="54" ht="15" customHeight="1">
      <c r="A54" s="1"/>
      <c r="B54" s="28" t="s">
        <v>93</v>
      </c>
      <c r="C54" s="50" t="s">
        <v>41</v>
      </c>
      <c r="D54" s="50">
        <f t="shared" si="3"/>
        <v>-23.394000000000005</v>
      </c>
      <c r="E54" s="50">
        <f t="shared" si="3"/>
        <v>1.1449999999999818</v>
      </c>
      <c r="F54" s="50">
        <f t="shared" si="3"/>
        <v>-40.56899999999996</v>
      </c>
      <c r="G54" s="50">
        <f t="shared" si="3"/>
        <v>29.793000000000006</v>
      </c>
      <c r="H54" s="50">
        <f t="shared" si="3"/>
        <v>-5.475000000000023</v>
      </c>
      <c r="I54" s="50" t="s">
        <v>41</v>
      </c>
      <c r="J54" s="51">
        <f t="shared" si="4"/>
        <v>57.33899999999994</v>
      </c>
      <c r="K54" s="1"/>
    </row>
    <row r="55" ht="15" customHeight="1">
      <c r="A55" s="1"/>
      <c r="B55" s="19" t="s">
        <v>144</v>
      </c>
      <c r="C55" s="26">
        <f t="shared" si="21" ref="C55:J55">C52-C47</f>
        <v>-47.462999999999965</v>
      </c>
      <c r="D55" s="26">
        <f t="shared" si="21"/>
        <v>-23.394000000000005</v>
      </c>
      <c r="E55" s="26">
        <f t="shared" si="21"/>
        <v>1.1449999999999818</v>
      </c>
      <c r="F55" s="26">
        <f t="shared" si="21"/>
        <v>-40.56899999999996</v>
      </c>
      <c r="G55" s="26">
        <f t="shared" si="21"/>
        <v>29.793000000000006</v>
      </c>
      <c r="H55" s="26">
        <f t="shared" si="21"/>
        <v>-5.475000000000023</v>
      </c>
      <c r="I55" s="26">
        <f t="shared" si="21"/>
        <v>-110.28099999999995</v>
      </c>
      <c r="J55" s="27">
        <f t="shared" si="21"/>
        <v>57.33899999999994</v>
      </c>
      <c r="K55" s="1"/>
    </row>
    <row r="56" ht="15" customHeight="1">
      <c r="A56" s="1"/>
      <c r="B56" s="19" t="s">
        <v>145</v>
      </c>
      <c r="C56" s="26">
        <f t="shared" si="22" ref="C56:J56">AVERAGE(C47,C52)</f>
        <v>573.0435</v>
      </c>
      <c r="D56" s="26">
        <f t="shared" si="22"/>
        <v>537.615</v>
      </c>
      <c r="E56" s="26">
        <f t="shared" si="22"/>
        <v>526.4905</v>
      </c>
      <c r="F56" s="26">
        <f t="shared" si="22"/>
        <v>506.7785</v>
      </c>
      <c r="G56" s="26">
        <f t="shared" si="22"/>
        <v>501.39050000000003</v>
      </c>
      <c r="H56" s="26">
        <f t="shared" si="22"/>
        <v>513.5495000000001</v>
      </c>
      <c r="I56" s="26">
        <f t="shared" si="22"/>
        <v>541.6345</v>
      </c>
      <c r="J56" s="27">
        <f t="shared" si="22"/>
        <v>539.4815</v>
      </c>
      <c r="K56" s="1"/>
    </row>
    <row r="57" ht="28.5" customHeight="1">
      <c r="A57" s="1"/>
      <c r="B57" s="24" t="s">
        <v>146</v>
      </c>
      <c r="C57" s="26">
        <f t="shared" si="23" ref="C57:J57">_xlfn.IFERROR(C52/(C22/C$7),"n.a.")</f>
        <v>71.33922077922078</v>
      </c>
      <c r="D57" s="26">
        <f t="shared" si="23"/>
        <v>64.1535361930295</v>
      </c>
      <c r="E57" s="26">
        <f t="shared" si="23"/>
        <v>68.19943178621659</v>
      </c>
      <c r="F57" s="26">
        <f t="shared" si="23"/>
        <v>63.66635561877668</v>
      </c>
      <c r="G57" s="26">
        <f t="shared" si="23"/>
        <v>74.22656549520767</v>
      </c>
      <c r="H57" s="26">
        <f t="shared" si="23"/>
        <v>65.01243636363637</v>
      </c>
      <c r="I57" s="26">
        <f t="shared" si="23"/>
        <v>62.218048353188514</v>
      </c>
      <c r="J57" s="27">
        <f t="shared" si="23"/>
        <v>77.90151630316525</v>
      </c>
      <c r="K57" s="1"/>
    </row>
    <row r="58" ht="15" customHeight="1">
      <c r="A58" s="1"/>
      <c r="B58" s="28" t="s">
        <v>80</v>
      </c>
      <c r="C58" s="29" t="s">
        <v>41</v>
      </c>
      <c r="D58" s="29" t="s">
        <v>41</v>
      </c>
      <c r="E58" s="29" t="s">
        <v>41</v>
      </c>
      <c r="F58" s="29" t="s">
        <v>41</v>
      </c>
      <c r="G58" s="29">
        <f t="shared" si="2"/>
        <v>0.040473454636161144</v>
      </c>
      <c r="H58" s="29">
        <f t="shared" si="2"/>
        <v>0.013388196841130462</v>
      </c>
      <c r="I58" s="29" t="s">
        <v>41</v>
      </c>
      <c r="J58" s="30">
        <f t="shared" si="5"/>
        <v>0.14226048902227784</v>
      </c>
      <c r="K58" s="1"/>
    </row>
    <row r="59" ht="15" customHeight="1">
      <c r="A59" s="1"/>
      <c r="B59" s="28" t="s">
        <v>147</v>
      </c>
      <c r="C59" s="50" t="s">
        <v>41</v>
      </c>
      <c r="D59" s="50">
        <f t="shared" si="3"/>
        <v>-7.185684586191286</v>
      </c>
      <c r="E59" s="50">
        <f t="shared" si="3"/>
        <v>4.0458955931870975</v>
      </c>
      <c r="F59" s="50">
        <f t="shared" si="3"/>
        <v>-4.533076167439916</v>
      </c>
      <c r="G59" s="50">
        <f t="shared" si="3"/>
        <v>10.560209876430989</v>
      </c>
      <c r="H59" s="50">
        <f t="shared" si="3"/>
        <v>-9.214129131571298</v>
      </c>
      <c r="I59" s="50" t="s">
        <v>41</v>
      </c>
      <c r="J59" s="51">
        <f t="shared" si="4"/>
        <v>12.889079939528884</v>
      </c>
      <c r="K59" s="1"/>
    </row>
    <row r="60" ht="15" customHeight="1">
      <c r="A60" s="1"/>
      <c r="B60" s="1"/>
      <c r="C60" s="17"/>
      <c r="D60" s="17"/>
      <c r="E60" s="17"/>
      <c r="F60" s="17"/>
      <c r="G60" s="17"/>
      <c r="H60" s="17"/>
      <c r="I60" s="17"/>
      <c r="J60" s="18"/>
      <c r="K60" s="1"/>
    </row>
    <row r="61" ht="15" customHeight="1">
      <c r="A61" s="1"/>
      <c r="B61" s="16" t="s">
        <v>148</v>
      </c>
      <c r="C61" s="17"/>
      <c r="D61" s="17"/>
      <c r="E61" s="17"/>
      <c r="F61" s="17"/>
      <c r="G61" s="17"/>
      <c r="H61" s="17"/>
      <c r="I61" s="17"/>
      <c r="J61" s="18"/>
      <c r="K61" s="1"/>
    </row>
    <row r="62" ht="15" customHeight="1">
      <c r="A62" s="1"/>
      <c r="B62" s="19" t="s">
        <v>149</v>
      </c>
      <c r="C62" s="47">
        <v>172</v>
      </c>
      <c r="D62" s="47">
        <v>178</v>
      </c>
      <c r="E62" s="47">
        <v>148</v>
      </c>
      <c r="F62" s="47">
        <v>170</v>
      </c>
      <c r="G62" s="47">
        <v>184</v>
      </c>
      <c r="H62" s="47">
        <v>207</v>
      </c>
      <c r="I62" s="47">
        <v>667</v>
      </c>
      <c r="J62" s="27" t="s">
        <v>41</v>
      </c>
      <c r="K62" s="1" t="s">
        <v>150</v>
      </c>
    </row>
    <row r="63" ht="15" customHeight="1">
      <c r="A63" s="1"/>
      <c r="B63" s="28" t="s">
        <v>80</v>
      </c>
      <c r="C63" s="29" t="s">
        <v>41</v>
      </c>
      <c r="D63" s="29" t="s">
        <v>41</v>
      </c>
      <c r="E63" s="29" t="s">
        <v>41</v>
      </c>
      <c r="F63" s="29" t="s">
        <v>41</v>
      </c>
      <c r="G63" s="29">
        <f t="shared" si="2"/>
        <v>0.06976744186046502</v>
      </c>
      <c r="H63" s="29">
        <f t="shared" si="2"/>
        <v>0.1629213483146068</v>
      </c>
      <c r="I63" s="29" t="s">
        <v>41</v>
      </c>
      <c r="J63" s="30" t="str">
        <f t="shared" si="5"/>
        <v>n.a.</v>
      </c>
      <c r="K63" s="1"/>
    </row>
    <row r="64" ht="15" customHeight="1">
      <c r="A64" s="1"/>
      <c r="B64" s="28" t="s">
        <v>93</v>
      </c>
      <c r="C64" s="50" t="s">
        <v>41</v>
      </c>
      <c r="D64" s="50">
        <f t="shared" si="3"/>
        <v>6</v>
      </c>
      <c r="E64" s="50">
        <f t="shared" si="3"/>
        <v>-30</v>
      </c>
      <c r="F64" s="50">
        <f t="shared" si="3"/>
        <v>22</v>
      </c>
      <c r="G64" s="50">
        <f t="shared" si="3"/>
        <v>14</v>
      </c>
      <c r="H64" s="50">
        <f t="shared" si="3"/>
        <v>23</v>
      </c>
      <c r="I64" s="50" t="s">
        <v>41</v>
      </c>
      <c r="J64" s="51" t="str">
        <f t="shared" si="4"/>
        <v>n.a.</v>
      </c>
      <c r="K64" s="1"/>
    </row>
    <row r="65" ht="28.5" customHeight="1">
      <c r="A65" s="1"/>
      <c r="B65" s="60" t="s">
        <v>151</v>
      </c>
      <c r="C65" s="29">
        <f t="shared" si="24" ref="C65:J65">_xlfn.IFERROR(C62/C42,"n.a.")</f>
        <v>0.21001221001221002</v>
      </c>
      <c r="D65" s="29">
        <f t="shared" si="24"/>
        <v>0.20296465222348917</v>
      </c>
      <c r="E65" s="29">
        <f t="shared" si="24"/>
        <v>0.1766109785202864</v>
      </c>
      <c r="F65" s="29">
        <f t="shared" si="24"/>
        <v>0.20556227327690446</v>
      </c>
      <c r="G65" s="29">
        <f t="shared" si="24"/>
        <v>0.24764468371467024</v>
      </c>
      <c r="H65" s="29">
        <f t="shared" si="24"/>
        <v>0.24410377358490565</v>
      </c>
      <c r="I65" s="29">
        <f t="shared" si="24"/>
        <v>0.19845284141624517</v>
      </c>
      <c r="J65" s="30" t="str">
        <f t="shared" si="24"/>
        <v>n.a.</v>
      </c>
      <c r="K65" s="1"/>
    </row>
    <row r="66" ht="15" customHeight="1">
      <c r="A66" s="1"/>
      <c r="B66" s="28" t="s">
        <v>129</v>
      </c>
      <c r="C66" s="58" t="s">
        <v>41</v>
      </c>
      <c r="D66" s="58" t="s">
        <v>41</v>
      </c>
      <c r="E66" s="58" t="s">
        <v>41</v>
      </c>
      <c r="F66" s="58" t="s">
        <v>41</v>
      </c>
      <c r="G66" s="58">
        <f t="shared" si="9"/>
        <v>376.32473702460226</v>
      </c>
      <c r="H66" s="58">
        <f t="shared" si="9"/>
        <v>411.3912136141648</v>
      </c>
      <c r="I66" s="58" t="s">
        <v>41</v>
      </c>
      <c r="J66" s="59" t="str">
        <f t="shared" si="12"/>
        <v>n.a.</v>
      </c>
      <c r="K66" s="1"/>
    </row>
    <row r="67" ht="15" customHeight="1">
      <c r="A67" s="1"/>
      <c r="B67" s="28" t="s">
        <v>130</v>
      </c>
      <c r="C67" s="58" t="s">
        <v>41</v>
      </c>
      <c r="D67" s="58">
        <f t="shared" si="10"/>
        <v>-70.47557788720849</v>
      </c>
      <c r="E67" s="58">
        <f t="shared" si="10"/>
        <v>-263.5367370320277</v>
      </c>
      <c r="F67" s="58">
        <f t="shared" si="10"/>
        <v>289.5129475661806</v>
      </c>
      <c r="G67" s="58">
        <f t="shared" si="10"/>
        <v>420.8241043776578</v>
      </c>
      <c r="H67" s="58">
        <f t="shared" si="10"/>
        <v>-35.40910129764596</v>
      </c>
      <c r="I67" s="58" t="s">
        <v>41</v>
      </c>
      <c r="J67" s="59" t="str">
        <f t="shared" si="13"/>
        <v>n.a.</v>
      </c>
      <c r="K67" s="1"/>
    </row>
    <row r="68" ht="15" customHeight="1">
      <c r="A68" s="1"/>
      <c r="B68" s="4" t="s">
        <v>152</v>
      </c>
      <c r="C68" s="61">
        <v>827</v>
      </c>
      <c r="D68" s="61">
        <v>849</v>
      </c>
      <c r="E68" s="61">
        <v>840</v>
      </c>
      <c r="F68" s="61">
        <v>780</v>
      </c>
      <c r="G68" s="61">
        <v>793</v>
      </c>
      <c r="H68" s="61">
        <v>848</v>
      </c>
      <c r="I68" s="61">
        <v>3296</v>
      </c>
      <c r="J68" s="53">
        <f t="shared" si="16"/>
        <v>851.76</v>
      </c>
      <c r="K68" s="1" t="s">
        <v>153</v>
      </c>
    </row>
    <row r="69" ht="15" customHeight="1">
      <c r="A69" s="1"/>
      <c r="B69" s="28" t="s">
        <v>80</v>
      </c>
      <c r="C69" s="29" t="s">
        <v>41</v>
      </c>
      <c r="D69" s="29" t="s">
        <v>41</v>
      </c>
      <c r="E69" s="29" t="s">
        <v>41</v>
      </c>
      <c r="F69" s="29" t="s">
        <v>41</v>
      </c>
      <c r="G69" s="29">
        <f t="shared" si="2"/>
        <v>-0.04111245465538094</v>
      </c>
      <c r="H69" s="29">
        <f t="shared" si="2"/>
        <v>-0.0011778563015312216</v>
      </c>
      <c r="I69" s="29" t="s">
        <v>41</v>
      </c>
      <c r="J69" s="56">
        <v>0.014</v>
      </c>
      <c r="K69" s="1"/>
    </row>
    <row r="70" ht="15" customHeight="1">
      <c r="A70" s="1"/>
      <c r="B70" s="28" t="s">
        <v>93</v>
      </c>
      <c r="C70" s="50" t="s">
        <v>41</v>
      </c>
      <c r="D70" s="50">
        <f t="shared" si="3"/>
        <v>22</v>
      </c>
      <c r="E70" s="50">
        <f t="shared" si="3"/>
        <v>-9</v>
      </c>
      <c r="F70" s="50">
        <f t="shared" si="3"/>
        <v>-60</v>
      </c>
      <c r="G70" s="50">
        <f t="shared" si="3"/>
        <v>13</v>
      </c>
      <c r="H70" s="50">
        <f t="shared" si="3"/>
        <v>55</v>
      </c>
      <c r="I70" s="50" t="s">
        <v>41</v>
      </c>
      <c r="J70" s="51">
        <f t="shared" si="4"/>
        <v>3.759999999999991</v>
      </c>
      <c r="K70" s="1"/>
    </row>
    <row r="71" ht="41.25" customHeight="1">
      <c r="A71" s="1"/>
      <c r="B71" s="24" t="s">
        <v>154</v>
      </c>
      <c r="C71" s="26">
        <f t="shared" si="25" ref="C71:J71">C68-C48</f>
        <v>181.46299999999997</v>
      </c>
      <c r="D71" s="26">
        <f t="shared" si="25"/>
        <v>126.394</v>
      </c>
      <c r="E71" s="26">
        <f t="shared" si="25"/>
        <v>127.85500000000002</v>
      </c>
      <c r="F71" s="26">
        <f t="shared" si="25"/>
        <v>117.56899999999996</v>
      </c>
      <c r="G71" s="26">
        <f t="shared" si="25"/>
        <v>137.207</v>
      </c>
      <c r="H71" s="26">
        <f t="shared" si="25"/>
        <v>138.47500000000002</v>
      </c>
      <c r="I71" s="26">
        <f t="shared" si="25"/>
        <v>552.281</v>
      </c>
      <c r="J71" s="27">
        <f t="shared" si="25"/>
        <v>123.44700000000012</v>
      </c>
      <c r="K71" s="1"/>
    </row>
    <row r="72" ht="15" customHeight="1">
      <c r="A72" s="1"/>
      <c r="B72" s="1"/>
      <c r="C72" s="17"/>
      <c r="D72" s="17"/>
      <c r="E72" s="17"/>
      <c r="F72" s="17"/>
      <c r="G72" s="17"/>
      <c r="H72" s="17"/>
      <c r="I72" s="17"/>
      <c r="J72" s="18"/>
      <c r="K72" s="1"/>
    </row>
    <row r="73" ht="15" customHeight="1">
      <c r="A73" s="1"/>
      <c r="B73" s="16" t="s">
        <v>155</v>
      </c>
      <c r="C73" s="17"/>
      <c r="D73" s="17"/>
      <c r="E73" s="17"/>
      <c r="F73" s="17"/>
      <c r="G73" s="17"/>
      <c r="H73" s="17"/>
      <c r="I73" s="17"/>
      <c r="J73" s="18"/>
      <c r="K73" s="1" t="s">
        <v>156</v>
      </c>
    </row>
    <row r="74" ht="15" customHeight="1">
      <c r="A74" s="1"/>
      <c r="B74" s="19" t="s">
        <v>157</v>
      </c>
      <c r="C74" s="47">
        <v>36125</v>
      </c>
      <c r="D74" s="47">
        <v>37893</v>
      </c>
      <c r="E74" s="47">
        <v>38752</v>
      </c>
      <c r="F74" s="26">
        <f>F109-F85-F93</f>
        <v>35308</v>
      </c>
      <c r="G74" s="47">
        <v>34802</v>
      </c>
      <c r="H74" s="47">
        <v>38062</v>
      </c>
      <c r="I74" s="47">
        <v>148076</v>
      </c>
      <c r="J74" s="27">
        <f>J68*J82</f>
        <v>39098.05536</v>
      </c>
      <c r="K74" s="1" t="s">
        <v>158</v>
      </c>
    </row>
    <row r="75" ht="15" customHeight="1">
      <c r="A75" s="1"/>
      <c r="B75" s="28" t="s">
        <v>80</v>
      </c>
      <c r="C75" s="29" t="s">
        <v>41</v>
      </c>
      <c r="D75" s="29" t="s">
        <v>41</v>
      </c>
      <c r="E75" s="29" t="s">
        <v>41</v>
      </c>
      <c r="F75" s="29" t="s">
        <v>41</v>
      </c>
      <c r="G75" s="29">
        <f t="shared" si="2"/>
        <v>-0.03662283737024219</v>
      </c>
      <c r="H75" s="29">
        <f t="shared" si="2"/>
        <v>0.004459926635526301</v>
      </c>
      <c r="I75" s="29" t="s">
        <v>41</v>
      </c>
      <c r="J75" s="30">
        <f t="shared" si="5"/>
        <v>0.008929999999999882</v>
      </c>
      <c r="K75" s="1"/>
    </row>
    <row r="76" ht="15" customHeight="1">
      <c r="A76" s="1"/>
      <c r="B76" s="28" t="s">
        <v>81</v>
      </c>
      <c r="C76" s="29" t="s">
        <v>41</v>
      </c>
      <c r="D76" s="29">
        <f t="shared" si="26" ref="D76:H103">_xlfn.IFERROR(D74/C74-1,"n.a.")</f>
        <v>0.048941176470588266</v>
      </c>
      <c r="E76" s="29">
        <f t="shared" si="26"/>
        <v>0.022669094555722635</v>
      </c>
      <c r="F76" s="29">
        <f t="shared" si="26"/>
        <v>-0.08887283236994215</v>
      </c>
      <c r="G76" s="29">
        <f t="shared" si="26"/>
        <v>-0.01433102979494727</v>
      </c>
      <c r="H76" s="29">
        <f t="shared" si="26"/>
        <v>0.09367277742658464</v>
      </c>
      <c r="I76" s="29" t="s">
        <v>41</v>
      </c>
      <c r="J76" s="30">
        <f t="shared" si="31" ref="J76:J103">_xlfn.IFERROR(J74/H74-1,"n.a.")</f>
        <v>0.027220202826966577</v>
      </c>
      <c r="K76" s="1"/>
    </row>
    <row r="77" ht="15" customHeight="1">
      <c r="A77" s="1"/>
      <c r="B77" s="28" t="s">
        <v>82</v>
      </c>
      <c r="C77" s="29">
        <f t="shared" si="27" ref="C77:J77">_xlfn.IFERROR(C74/C101,"n.a.")</f>
        <v>0.9662191077351022</v>
      </c>
      <c r="D77" s="29">
        <f t="shared" si="27"/>
        <v>0.9596565871448108</v>
      </c>
      <c r="E77" s="29">
        <f t="shared" si="27"/>
        <v>0.9556125468534228</v>
      </c>
      <c r="F77" s="29">
        <f t="shared" si="27"/>
        <v>0.9570379204727184</v>
      </c>
      <c r="G77" s="29">
        <f t="shared" si="27"/>
        <v>0.9560726353671603</v>
      </c>
      <c r="H77" s="29">
        <f t="shared" si="27"/>
        <v>0.9536480256564441</v>
      </c>
      <c r="I77" s="29">
        <f t="shared" si="27"/>
        <v>0.959557274959985</v>
      </c>
      <c r="J77" s="30">
        <f t="shared" si="27"/>
        <v>0.9552873943337044</v>
      </c>
      <c r="K77" s="1"/>
    </row>
    <row r="78" ht="15" customHeight="1">
      <c r="A78" s="1"/>
      <c r="B78" s="28" t="s">
        <v>83</v>
      </c>
      <c r="C78" s="29" t="s">
        <v>84</v>
      </c>
      <c r="D78" s="29" t="s">
        <v>84</v>
      </c>
      <c r="E78" s="29" t="s">
        <v>84</v>
      </c>
      <c r="F78" s="29" t="s">
        <v>84</v>
      </c>
      <c r="G78" s="29" t="s">
        <v>84</v>
      </c>
      <c r="H78" s="29" t="s">
        <v>84</v>
      </c>
      <c r="I78" s="29" t="s">
        <v>84</v>
      </c>
      <c r="J78" s="30" t="s">
        <v>84</v>
      </c>
      <c r="K78" s="1" t="s">
        <v>85</v>
      </c>
    </row>
    <row r="79" ht="15" customHeight="1">
      <c r="A79" s="1"/>
      <c r="B79" s="28" t="s">
        <v>86</v>
      </c>
      <c r="C79" s="29" t="s">
        <v>84</v>
      </c>
      <c r="D79" s="29" t="s">
        <v>84</v>
      </c>
      <c r="E79" s="29" t="s">
        <v>84</v>
      </c>
      <c r="F79" s="29" t="s">
        <v>84</v>
      </c>
      <c r="G79" s="29" t="s">
        <v>84</v>
      </c>
      <c r="H79" s="29" t="s">
        <v>84</v>
      </c>
      <c r="I79" s="29" t="s">
        <v>84</v>
      </c>
      <c r="J79" s="30" t="s">
        <v>84</v>
      </c>
      <c r="K79" s="1" t="s">
        <v>87</v>
      </c>
    </row>
    <row r="80" ht="15" customHeight="1">
      <c r="A80" s="1"/>
      <c r="B80" s="28" t="s">
        <v>88</v>
      </c>
      <c r="C80" s="29" t="str">
        <f t="shared" si="28" ref="C80:J107">IF(AND(ISNUMBER(C75),ISNUMBER(C78),ISNUMBER(C79)),(1+C75)/((1+C78)*(1+C79))-1,"Unavailable")</f>
        <v>Unavailable</v>
      </c>
      <c r="D80" s="29" t="str">
        <f t="shared" si="28"/>
        <v>Unavailable</v>
      </c>
      <c r="E80" s="29" t="str">
        <f t="shared" si="28"/>
        <v>Unavailable</v>
      </c>
      <c r="F80" s="29" t="str">
        <f t="shared" si="28"/>
        <v>Unavailable</v>
      </c>
      <c r="G80" s="29" t="str">
        <f t="shared" si="28"/>
        <v>Unavailable</v>
      </c>
      <c r="H80" s="29" t="str">
        <f t="shared" si="28"/>
        <v>Unavailable</v>
      </c>
      <c r="I80" s="29" t="str">
        <f t="shared" si="28"/>
        <v>Unavailable</v>
      </c>
      <c r="J80" s="30" t="str">
        <f t="shared" si="28"/>
        <v>Unavailable</v>
      </c>
      <c r="K80" s="1"/>
    </row>
    <row r="81" ht="15" customHeight="1">
      <c r="A81" s="1"/>
      <c r="B81" s="28" t="s">
        <v>89</v>
      </c>
      <c r="C81" s="29" t="str">
        <f t="shared" si="29" ref="C81:J108">C75</f>
        <v>n.a.</v>
      </c>
      <c r="D81" s="29" t="str">
        <f t="shared" si="29"/>
        <v>n.a.</v>
      </c>
      <c r="E81" s="29" t="str">
        <f t="shared" si="29"/>
        <v>n.a.</v>
      </c>
      <c r="F81" s="29" t="str">
        <f t="shared" si="29"/>
        <v>n.a.</v>
      </c>
      <c r="G81" s="29">
        <f t="shared" si="29"/>
        <v>-0.03662283737024219</v>
      </c>
      <c r="H81" s="29">
        <f t="shared" si="29"/>
        <v>0.004459926635526301</v>
      </c>
      <c r="I81" s="29" t="str">
        <f t="shared" si="29"/>
        <v>n.a.</v>
      </c>
      <c r="J81" s="30">
        <f t="shared" si="29"/>
        <v>0.008929999999999882</v>
      </c>
      <c r="K81" s="1"/>
    </row>
    <row r="82" ht="28.5" customHeight="1">
      <c r="A82" s="1"/>
      <c r="B82" s="46" t="s">
        <v>159</v>
      </c>
      <c r="C82" s="63">
        <f t="shared" si="30" ref="C82:I82">_xlfn.IFERROR(C74/C68,"n.a.")</f>
        <v>43.6819830713422</v>
      </c>
      <c r="D82" s="63">
        <f t="shared" si="30"/>
        <v>44.63250883392226</v>
      </c>
      <c r="E82" s="63">
        <f t="shared" si="30"/>
        <v>46.13333333333333</v>
      </c>
      <c r="F82" s="63">
        <f t="shared" si="30"/>
        <v>45.266666666666666</v>
      </c>
      <c r="G82" s="63">
        <f t="shared" si="30"/>
        <v>43.886506935687265</v>
      </c>
      <c r="H82" s="63">
        <f t="shared" si="30"/>
        <v>44.884433962264154</v>
      </c>
      <c r="I82" s="63">
        <f t="shared" si="30"/>
        <v>44.925970873786405</v>
      </c>
      <c r="J82" s="64">
        <f t="shared" si="16"/>
        <v>45.90266666666667</v>
      </c>
      <c r="K82" s="1"/>
    </row>
    <row r="83" ht="15" customHeight="1">
      <c r="A83" s="1"/>
      <c r="B83" s="28" t="s">
        <v>80</v>
      </c>
      <c r="C83" s="29" t="s">
        <v>41</v>
      </c>
      <c r="D83" s="29" t="s">
        <v>41</v>
      </c>
      <c r="E83" s="29" t="s">
        <v>41</v>
      </c>
      <c r="F83" s="29" t="s">
        <v>41</v>
      </c>
      <c r="G83" s="29">
        <f t="shared" si="2"/>
        <v>0.004682110333934064</v>
      </c>
      <c r="H83" s="29">
        <f t="shared" si="2"/>
        <v>0.0056444312659929</v>
      </c>
      <c r="I83" s="29" t="s">
        <v>41</v>
      </c>
      <c r="J83" s="56">
        <v>-0.005</v>
      </c>
      <c r="K83" s="1" t="s">
        <v>160</v>
      </c>
    </row>
    <row r="84" ht="15" customHeight="1">
      <c r="A84" s="1"/>
      <c r="B84" s="28" t="s">
        <v>93</v>
      </c>
      <c r="C84" s="65" t="s">
        <v>41</v>
      </c>
      <c r="D84" s="65">
        <f t="shared" si="3"/>
        <v>0.9505257625800567</v>
      </c>
      <c r="E84" s="65">
        <f t="shared" si="3"/>
        <v>1.500824499411074</v>
      </c>
      <c r="F84" s="65">
        <f t="shared" si="3"/>
        <v>-0.8666666666666671</v>
      </c>
      <c r="G84" s="65">
        <f t="shared" si="3"/>
        <v>-1.3801597309794005</v>
      </c>
      <c r="H84" s="65">
        <f t="shared" si="3"/>
        <v>0.9979270265768889</v>
      </c>
      <c r="I84" s="65" t="s">
        <v>41</v>
      </c>
      <c r="J84" s="66">
        <f t="shared" si="4"/>
        <v>1.0182327044025143</v>
      </c>
      <c r="K84" s="1"/>
    </row>
    <row r="85" ht="15" customHeight="1">
      <c r="A85" s="1"/>
      <c r="B85" s="19" t="s">
        <v>161</v>
      </c>
      <c r="C85" s="47">
        <v>317</v>
      </c>
      <c r="D85" s="47">
        <v>515</v>
      </c>
      <c r="E85" s="47">
        <v>453</v>
      </c>
      <c r="F85" s="26">
        <f t="shared" si="33" ref="F85:F93">I85-C85-D85-E85</f>
        <v>415</v>
      </c>
      <c r="G85" s="47">
        <v>416</v>
      </c>
      <c r="H85" s="47">
        <v>621</v>
      </c>
      <c r="I85" s="47">
        <v>1700</v>
      </c>
      <c r="J85" s="49">
        <v>560</v>
      </c>
      <c r="K85" s="1" t="s">
        <v>162</v>
      </c>
    </row>
    <row r="86" ht="15" customHeight="1">
      <c r="A86" s="1"/>
      <c r="B86" s="28" t="s">
        <v>80</v>
      </c>
      <c r="C86" s="29" t="s">
        <v>41</v>
      </c>
      <c r="D86" s="29" t="s">
        <v>41</v>
      </c>
      <c r="E86" s="29" t="s">
        <v>41</v>
      </c>
      <c r="F86" s="29" t="s">
        <v>41</v>
      </c>
      <c r="G86" s="29">
        <f t="shared" si="2"/>
        <v>0.3123028391167193</v>
      </c>
      <c r="H86" s="29">
        <f t="shared" si="2"/>
        <v>0.2058252427184466</v>
      </c>
      <c r="I86" s="29" t="s">
        <v>41</v>
      </c>
      <c r="J86" s="30">
        <f t="shared" si="5"/>
        <v>0.23620309050772637</v>
      </c>
      <c r="K86" s="1"/>
    </row>
    <row r="87" ht="15" customHeight="1">
      <c r="A87" s="1"/>
      <c r="B87" s="28" t="s">
        <v>81</v>
      </c>
      <c r="C87" s="29" t="s">
        <v>41</v>
      </c>
      <c r="D87" s="29">
        <f t="shared" si="26"/>
        <v>0.6246056782334384</v>
      </c>
      <c r="E87" s="29">
        <f t="shared" si="26"/>
        <v>-0.12038834951456312</v>
      </c>
      <c r="F87" s="29">
        <f t="shared" si="26"/>
        <v>-0.08388520971302427</v>
      </c>
      <c r="G87" s="29">
        <f t="shared" si="26"/>
        <v>0.002409638554216942</v>
      </c>
      <c r="H87" s="29">
        <f t="shared" si="26"/>
        <v>0.49278846153846145</v>
      </c>
      <c r="I87" s="29" t="s">
        <v>41</v>
      </c>
      <c r="J87" s="30">
        <f t="shared" si="31"/>
        <v>-0.09822866344605474</v>
      </c>
      <c r="K87" s="1"/>
    </row>
    <row r="88" ht="15" customHeight="1">
      <c r="A88" s="1"/>
      <c r="B88" s="28" t="s">
        <v>82</v>
      </c>
      <c r="C88" s="29">
        <f t="shared" si="32" ref="C88:J88">_xlfn.IFERROR(C85/C101,"n.a.")</f>
        <v>0.008478656253343318</v>
      </c>
      <c r="D88" s="29">
        <f t="shared" si="32"/>
        <v>0.013042597376285266</v>
      </c>
      <c r="E88" s="29">
        <f t="shared" si="32"/>
        <v>0.011170842375221937</v>
      </c>
      <c r="F88" s="29">
        <f t="shared" si="32"/>
        <v>0.011248746374651017</v>
      </c>
      <c r="G88" s="29">
        <f t="shared" si="32"/>
        <v>0.011428257465454245</v>
      </c>
      <c r="H88" s="29">
        <f t="shared" si="32"/>
        <v>0.015559230306674684</v>
      </c>
      <c r="I88" s="29">
        <f t="shared" si="32"/>
        <v>0.011016284660795635</v>
      </c>
      <c r="J88" s="30">
        <f t="shared" si="32"/>
        <v>0.013682545996243493</v>
      </c>
      <c r="K88" s="1"/>
    </row>
    <row r="89" ht="15" customHeight="1">
      <c r="A89" s="1"/>
      <c r="B89" s="28" t="s">
        <v>83</v>
      </c>
      <c r="C89" s="29" t="s">
        <v>84</v>
      </c>
      <c r="D89" s="29" t="s">
        <v>84</v>
      </c>
      <c r="E89" s="29" t="s">
        <v>84</v>
      </c>
      <c r="F89" s="29" t="s">
        <v>84</v>
      </c>
      <c r="G89" s="29" t="s">
        <v>84</v>
      </c>
      <c r="H89" s="29" t="s">
        <v>84</v>
      </c>
      <c r="I89" s="29" t="s">
        <v>84</v>
      </c>
      <c r="J89" s="30" t="s">
        <v>84</v>
      </c>
      <c r="K89" s="1" t="s">
        <v>85</v>
      </c>
    </row>
    <row r="90" ht="15" customHeight="1">
      <c r="A90" s="1"/>
      <c r="B90" s="28" t="s">
        <v>86</v>
      </c>
      <c r="C90" s="29" t="s">
        <v>84</v>
      </c>
      <c r="D90" s="29" t="s">
        <v>84</v>
      </c>
      <c r="E90" s="29" t="s">
        <v>84</v>
      </c>
      <c r="F90" s="29" t="s">
        <v>84</v>
      </c>
      <c r="G90" s="29" t="s">
        <v>84</v>
      </c>
      <c r="H90" s="29" t="s">
        <v>84</v>
      </c>
      <c r="I90" s="29" t="s">
        <v>84</v>
      </c>
      <c r="J90" s="30" t="s">
        <v>84</v>
      </c>
      <c r="K90" s="1" t="s">
        <v>87</v>
      </c>
    </row>
    <row r="91" ht="15" customHeight="1">
      <c r="A91" s="1"/>
      <c r="B91" s="28" t="s">
        <v>88</v>
      </c>
      <c r="C91" s="29" t="str">
        <f t="shared" si="28"/>
        <v>Unavailable</v>
      </c>
      <c r="D91" s="29" t="str">
        <f t="shared" si="28"/>
        <v>Unavailable</v>
      </c>
      <c r="E91" s="29" t="str">
        <f t="shared" si="28"/>
        <v>Unavailable</v>
      </c>
      <c r="F91" s="29" t="str">
        <f t="shared" si="28"/>
        <v>Unavailable</v>
      </c>
      <c r="G91" s="29" t="str">
        <f t="shared" si="28"/>
        <v>Unavailable</v>
      </c>
      <c r="H91" s="29" t="str">
        <f t="shared" si="28"/>
        <v>Unavailable</v>
      </c>
      <c r="I91" s="29" t="str">
        <f t="shared" si="28"/>
        <v>Unavailable</v>
      </c>
      <c r="J91" s="30" t="str">
        <f t="shared" si="28"/>
        <v>Unavailable</v>
      </c>
      <c r="K91" s="1"/>
    </row>
    <row r="92" ht="15" customHeight="1">
      <c r="A92" s="1"/>
      <c r="B92" s="28" t="s">
        <v>89</v>
      </c>
      <c r="C92" s="29" t="str">
        <f t="shared" si="29"/>
        <v>n.a.</v>
      </c>
      <c r="D92" s="29" t="str">
        <f t="shared" si="29"/>
        <v>n.a.</v>
      </c>
      <c r="E92" s="29" t="str">
        <f t="shared" si="29"/>
        <v>n.a.</v>
      </c>
      <c r="F92" s="29" t="str">
        <f t="shared" si="29"/>
        <v>n.a.</v>
      </c>
      <c r="G92" s="29">
        <f t="shared" si="29"/>
        <v>0.3123028391167193</v>
      </c>
      <c r="H92" s="29">
        <f t="shared" si="29"/>
        <v>0.2058252427184466</v>
      </c>
      <c r="I92" s="29" t="str">
        <f t="shared" si="29"/>
        <v>n.a.</v>
      </c>
      <c r="J92" s="30">
        <f t="shared" si="29"/>
        <v>0.23620309050772637</v>
      </c>
      <c r="K92" s="1"/>
    </row>
    <row r="93" ht="28.5" customHeight="1">
      <c r="A93" s="1"/>
      <c r="B93" s="24" t="s">
        <v>163</v>
      </c>
      <c r="C93" s="47">
        <v>946</v>
      </c>
      <c r="D93" s="47">
        <v>1078</v>
      </c>
      <c r="E93" s="47">
        <v>1347</v>
      </c>
      <c r="F93" s="26">
        <f t="shared" si="33"/>
        <v>1170</v>
      </c>
      <c r="G93" s="47">
        <v>1183</v>
      </c>
      <c r="H93" s="47">
        <v>1229</v>
      </c>
      <c r="I93" s="47">
        <v>4541</v>
      </c>
      <c r="J93" s="49">
        <v>1270</v>
      </c>
      <c r="K93" s="1" t="s">
        <v>164</v>
      </c>
    </row>
    <row r="94" ht="15" customHeight="1">
      <c r="A94" s="1"/>
      <c r="B94" s="28" t="s">
        <v>80</v>
      </c>
      <c r="C94" s="29" t="s">
        <v>41</v>
      </c>
      <c r="D94" s="29" t="s">
        <v>41</v>
      </c>
      <c r="E94" s="29" t="s">
        <v>41</v>
      </c>
      <c r="F94" s="29" t="s">
        <v>41</v>
      </c>
      <c r="G94" s="29">
        <f t="shared" si="2"/>
        <v>0.2505285412262157</v>
      </c>
      <c r="H94" s="29">
        <f t="shared" si="2"/>
        <v>0.14007421150278287</v>
      </c>
      <c r="I94" s="29" t="s">
        <v>41</v>
      </c>
      <c r="J94" s="30">
        <f t="shared" si="5"/>
        <v>-0.05716406829992571</v>
      </c>
      <c r="K94" s="1"/>
    </row>
    <row r="95" ht="15" customHeight="1">
      <c r="A95" s="1"/>
      <c r="B95" s="28" t="s">
        <v>81</v>
      </c>
      <c r="C95" s="29" t="s">
        <v>41</v>
      </c>
      <c r="D95" s="29">
        <f t="shared" si="26"/>
        <v>0.13953488372093026</v>
      </c>
      <c r="E95" s="29">
        <f t="shared" si="26"/>
        <v>0.24953617810760664</v>
      </c>
      <c r="F95" s="29">
        <f t="shared" si="26"/>
        <v>-0.13140311804008908</v>
      </c>
      <c r="G95" s="29">
        <f t="shared" si="26"/>
        <v>0.011111111111111072</v>
      </c>
      <c r="H95" s="29">
        <f t="shared" si="26"/>
        <v>0.03888419273034649</v>
      </c>
      <c r="I95" s="29" t="s">
        <v>41</v>
      </c>
      <c r="J95" s="30">
        <f t="shared" si="31"/>
        <v>0.03336045565500401</v>
      </c>
      <c r="K95" s="1"/>
    </row>
    <row r="96" ht="15" customHeight="1">
      <c r="A96" s="1"/>
      <c r="B96" s="28" t="s">
        <v>82</v>
      </c>
      <c r="C96" s="29">
        <f t="shared" si="34" ref="C96:J96">_xlfn.IFERROR(C93/C101,"n.a.")</f>
        <v>0.02530223601155451</v>
      </c>
      <c r="D96" s="29">
        <f t="shared" si="34"/>
        <v>0.027300815478903916</v>
      </c>
      <c r="E96" s="29">
        <f t="shared" si="34"/>
        <v>0.0332166107713553</v>
      </c>
      <c r="F96" s="29">
        <f t="shared" si="34"/>
        <v>0.03171333315263058</v>
      </c>
      <c r="G96" s="29">
        <f t="shared" si="34"/>
        <v>0.032499107167385514</v>
      </c>
      <c r="H96" s="29">
        <f t="shared" si="34"/>
        <v>0.030792744036881137</v>
      </c>
      <c r="I96" s="29">
        <f t="shared" si="34"/>
        <v>0.0294264403792194</v>
      </c>
      <c r="J96" s="30">
        <f t="shared" si="34"/>
        <v>0.031030059670052207</v>
      </c>
      <c r="K96" s="1"/>
    </row>
    <row r="97" ht="15" customHeight="1">
      <c r="A97" s="1"/>
      <c r="B97" s="28" t="s">
        <v>83</v>
      </c>
      <c r="C97" s="29" t="s">
        <v>84</v>
      </c>
      <c r="D97" s="29" t="s">
        <v>84</v>
      </c>
      <c r="E97" s="29" t="s">
        <v>84</v>
      </c>
      <c r="F97" s="29" t="s">
        <v>84</v>
      </c>
      <c r="G97" s="29" t="s">
        <v>84</v>
      </c>
      <c r="H97" s="29" t="s">
        <v>84</v>
      </c>
      <c r="I97" s="29" t="s">
        <v>84</v>
      </c>
      <c r="J97" s="30" t="s">
        <v>84</v>
      </c>
      <c r="K97" s="1" t="s">
        <v>85</v>
      </c>
    </row>
    <row r="98" ht="15" customHeight="1">
      <c r="A98" s="1"/>
      <c r="B98" s="28" t="s">
        <v>86</v>
      </c>
      <c r="C98" s="29" t="s">
        <v>84</v>
      </c>
      <c r="D98" s="29" t="s">
        <v>84</v>
      </c>
      <c r="E98" s="29" t="s">
        <v>84</v>
      </c>
      <c r="F98" s="29" t="s">
        <v>84</v>
      </c>
      <c r="G98" s="29" t="s">
        <v>84</v>
      </c>
      <c r="H98" s="29" t="s">
        <v>84</v>
      </c>
      <c r="I98" s="29" t="s">
        <v>84</v>
      </c>
      <c r="J98" s="30" t="s">
        <v>84</v>
      </c>
      <c r="K98" s="1" t="s">
        <v>87</v>
      </c>
    </row>
    <row r="99" ht="15" customHeight="1">
      <c r="A99" s="1"/>
      <c r="B99" s="28" t="s">
        <v>88</v>
      </c>
      <c r="C99" s="29" t="str">
        <f t="shared" si="28"/>
        <v>Unavailable</v>
      </c>
      <c r="D99" s="29" t="str">
        <f t="shared" si="28"/>
        <v>Unavailable</v>
      </c>
      <c r="E99" s="29" t="str">
        <f t="shared" si="28"/>
        <v>Unavailable</v>
      </c>
      <c r="F99" s="29" t="str">
        <f t="shared" si="28"/>
        <v>Unavailable</v>
      </c>
      <c r="G99" s="29" t="str">
        <f t="shared" si="28"/>
        <v>Unavailable</v>
      </c>
      <c r="H99" s="29" t="str">
        <f t="shared" si="28"/>
        <v>Unavailable</v>
      </c>
      <c r="I99" s="29" t="str">
        <f t="shared" si="28"/>
        <v>Unavailable</v>
      </c>
      <c r="J99" s="30" t="str">
        <f t="shared" si="28"/>
        <v>Unavailable</v>
      </c>
      <c r="K99" s="1"/>
    </row>
    <row r="100" ht="15" customHeight="1">
      <c r="A100" s="1"/>
      <c r="B100" s="28" t="s">
        <v>89</v>
      </c>
      <c r="C100" s="29" t="str">
        <f t="shared" si="29"/>
        <v>n.a.</v>
      </c>
      <c r="D100" s="29" t="str">
        <f t="shared" si="29"/>
        <v>n.a.</v>
      </c>
      <c r="E100" s="29" t="str">
        <f t="shared" si="29"/>
        <v>n.a.</v>
      </c>
      <c r="F100" s="29" t="str">
        <f t="shared" si="29"/>
        <v>n.a.</v>
      </c>
      <c r="G100" s="29">
        <f t="shared" si="29"/>
        <v>0.2505285412262157</v>
      </c>
      <c r="H100" s="29">
        <f t="shared" si="29"/>
        <v>0.14007421150278287</v>
      </c>
      <c r="I100" s="29" t="str">
        <f t="shared" si="29"/>
        <v>n.a.</v>
      </c>
      <c r="J100" s="30">
        <f t="shared" si="29"/>
        <v>-0.05716406829992571</v>
      </c>
      <c r="K100" s="1"/>
    </row>
    <row r="101" ht="15" customHeight="1">
      <c r="A101" s="1"/>
      <c r="B101" s="4" t="s">
        <v>165</v>
      </c>
      <c r="C101" s="52">
        <f t="shared" si="35" ref="C101:J101">C74+C85+C93</f>
        <v>37388</v>
      </c>
      <c r="D101" s="52">
        <f t="shared" si="35"/>
        <v>39486</v>
      </c>
      <c r="E101" s="52">
        <f t="shared" si="35"/>
        <v>40552</v>
      </c>
      <c r="F101" s="52">
        <f t="shared" si="35"/>
        <v>36893</v>
      </c>
      <c r="G101" s="52">
        <f t="shared" si="35"/>
        <v>36401</v>
      </c>
      <c r="H101" s="52">
        <f t="shared" si="35"/>
        <v>39912</v>
      </c>
      <c r="I101" s="52">
        <f t="shared" si="35"/>
        <v>154317</v>
      </c>
      <c r="J101" s="53">
        <f t="shared" si="35"/>
        <v>40928.05536</v>
      </c>
      <c r="K101" s="1"/>
    </row>
    <row r="102" ht="15" customHeight="1">
      <c r="A102" s="1"/>
      <c r="B102" s="28" t="s">
        <v>80</v>
      </c>
      <c r="C102" s="29" t="s">
        <v>41</v>
      </c>
      <c r="D102" s="29" t="s">
        <v>41</v>
      </c>
      <c r="E102" s="29" t="s">
        <v>41</v>
      </c>
      <c r="F102" s="29" t="s">
        <v>41</v>
      </c>
      <c r="G102" s="29">
        <f t="shared" si="2"/>
        <v>-0.02639884454905317</v>
      </c>
      <c r="H102" s="29">
        <f t="shared" si="2"/>
        <v>0.010788633946208881</v>
      </c>
      <c r="I102" s="29" t="s">
        <v>41</v>
      </c>
      <c r="J102" s="30">
        <f t="shared" si="5"/>
        <v>0.009273410929177217</v>
      </c>
      <c r="K102" s="1"/>
    </row>
    <row r="103" ht="15" customHeight="1">
      <c r="A103" s="1"/>
      <c r="B103" s="28" t="s">
        <v>81</v>
      </c>
      <c r="C103" s="29" t="s">
        <v>41</v>
      </c>
      <c r="D103" s="29">
        <f t="shared" si="26"/>
        <v>0.05611426126029739</v>
      </c>
      <c r="E103" s="29">
        <f t="shared" si="26"/>
        <v>0.026996910297320653</v>
      </c>
      <c r="F103" s="29">
        <f t="shared" si="26"/>
        <v>-0.09022982836851445</v>
      </c>
      <c r="G103" s="29">
        <f t="shared" si="26"/>
        <v>-0.013335863171875406</v>
      </c>
      <c r="H103" s="29">
        <f t="shared" si="26"/>
        <v>0.09645339413752363</v>
      </c>
      <c r="I103" s="29" t="s">
        <v>41</v>
      </c>
      <c r="J103" s="30">
        <f t="shared" si="31"/>
        <v>0.025457390258568857</v>
      </c>
      <c r="K103" s="1"/>
    </row>
    <row r="104" ht="15" customHeight="1">
      <c r="A104" s="1"/>
      <c r="B104" s="28" t="s">
        <v>82</v>
      </c>
      <c r="C104" s="67">
        <f>_xlfn.IFERROR(C101/'Revenue summary'!C66,"n.a.")</f>
        <v>0.8493219145407873</v>
      </c>
      <c r="D104" s="67">
        <f>_xlfn.IFERROR(D101/'Revenue summary'!D66,"n.a.")</f>
        <v>0.8379347664622371</v>
      </c>
      <c r="E104" s="67">
        <f>_xlfn.IFERROR(E101/'Revenue summary'!E66,"n.a.")</f>
        <v>0.8345406651300625</v>
      </c>
      <c r="F104" s="67">
        <f>_xlfn.IFERROR(F101/'Revenue summary'!F66,"n.a.")</f>
        <v>0.8146487954600659</v>
      </c>
      <c r="G104" s="67">
        <f>_xlfn.IFERROR(G101/'Revenue summary'!G66,"n.a.")</f>
        <v>0.834387750424059</v>
      </c>
      <c r="H104" s="67">
        <f>_xlfn.IFERROR(H101/'Revenue summary'!H66,"n.a.")</f>
        <v>0.8310498479990005</v>
      </c>
      <c r="I104" s="67">
        <f>_xlfn.IFERROR(I101/'Revenue summary'!I66,"n.a.")</f>
        <v>0.8340602857003875</v>
      </c>
      <c r="J104" s="68">
        <f>_xlfn.IFERROR(J101/'Revenue summary'!J66,"n.a.")</f>
        <v>0.8341978066452025</v>
      </c>
      <c r="K104" s="1"/>
    </row>
    <row r="105" ht="15" customHeight="1">
      <c r="A105" s="1"/>
      <c r="B105" s="28" t="s">
        <v>83</v>
      </c>
      <c r="C105" s="29" t="s">
        <v>84</v>
      </c>
      <c r="D105" s="29" t="s">
        <v>84</v>
      </c>
      <c r="E105" s="29" t="s">
        <v>84</v>
      </c>
      <c r="F105" s="29" t="s">
        <v>84</v>
      </c>
      <c r="G105" s="29" t="s">
        <v>84</v>
      </c>
      <c r="H105" s="29" t="s">
        <v>84</v>
      </c>
      <c r="I105" s="29" t="s">
        <v>84</v>
      </c>
      <c r="J105" s="30" t="s">
        <v>84</v>
      </c>
      <c r="K105" s="1" t="s">
        <v>85</v>
      </c>
    </row>
    <row r="106" ht="15" customHeight="1">
      <c r="A106" s="1"/>
      <c r="B106" s="28" t="s">
        <v>86</v>
      </c>
      <c r="C106" s="29" t="s">
        <v>84</v>
      </c>
      <c r="D106" s="29" t="s">
        <v>84</v>
      </c>
      <c r="E106" s="29" t="s">
        <v>84</v>
      </c>
      <c r="F106" s="29" t="s">
        <v>84</v>
      </c>
      <c r="G106" s="29" t="s">
        <v>84</v>
      </c>
      <c r="H106" s="29" t="s">
        <v>84</v>
      </c>
      <c r="I106" s="29" t="s">
        <v>84</v>
      </c>
      <c r="J106" s="30" t="s">
        <v>84</v>
      </c>
      <c r="K106" s="1" t="s">
        <v>87</v>
      </c>
    </row>
    <row r="107" ht="15" customHeight="1">
      <c r="A107" s="1"/>
      <c r="B107" s="28" t="s">
        <v>88</v>
      </c>
      <c r="C107" s="29" t="str">
        <f t="shared" si="28"/>
        <v>Unavailable</v>
      </c>
      <c r="D107" s="29" t="str">
        <f t="shared" si="28"/>
        <v>Unavailable</v>
      </c>
      <c r="E107" s="29" t="str">
        <f t="shared" si="28"/>
        <v>Unavailable</v>
      </c>
      <c r="F107" s="29" t="str">
        <f t="shared" si="28"/>
        <v>Unavailable</v>
      </c>
      <c r="G107" s="29" t="str">
        <f t="shared" si="28"/>
        <v>Unavailable</v>
      </c>
      <c r="H107" s="29" t="str">
        <f t="shared" si="28"/>
        <v>Unavailable</v>
      </c>
      <c r="I107" s="29" t="str">
        <f t="shared" si="28"/>
        <v>Unavailable</v>
      </c>
      <c r="J107" s="30" t="str">
        <f t="shared" si="28"/>
        <v>Unavailable</v>
      </c>
      <c r="K107" s="1"/>
    </row>
    <row r="108" ht="15" customHeight="1">
      <c r="A108" s="1"/>
      <c r="B108" s="28" t="s">
        <v>89</v>
      </c>
      <c r="C108" s="29" t="str">
        <f t="shared" si="29"/>
        <v>n.a.</v>
      </c>
      <c r="D108" s="29" t="str">
        <f t="shared" si="29"/>
        <v>n.a.</v>
      </c>
      <c r="E108" s="29" t="str">
        <f t="shared" si="29"/>
        <v>n.a.</v>
      </c>
      <c r="F108" s="29" t="str">
        <f t="shared" si="29"/>
        <v>n.a.</v>
      </c>
      <c r="G108" s="29">
        <f t="shared" si="29"/>
        <v>-0.02639884454905317</v>
      </c>
      <c r="H108" s="29">
        <f t="shared" si="29"/>
        <v>0.010788633946208881</v>
      </c>
      <c r="I108" s="29" t="str">
        <f t="shared" si="29"/>
        <v>n.a.</v>
      </c>
      <c r="J108" s="30">
        <f t="shared" si="29"/>
        <v>0.009273410929177217</v>
      </c>
      <c r="K108" s="1"/>
    </row>
    <row r="109" ht="28.5" customHeight="1">
      <c r="A109" s="1"/>
      <c r="B109" s="24" t="s">
        <v>166</v>
      </c>
      <c r="C109" s="47">
        <v>37388</v>
      </c>
      <c r="D109" s="47">
        <v>39486</v>
      </c>
      <c r="E109" s="47">
        <v>40551</v>
      </c>
      <c r="F109" s="47">
        <v>36893</v>
      </c>
      <c r="G109" s="47">
        <v>36401</v>
      </c>
      <c r="H109" s="47">
        <v>39912</v>
      </c>
      <c r="I109" s="47">
        <v>154317</v>
      </c>
      <c r="J109" s="27" t="s">
        <v>41</v>
      </c>
      <c r="K109" s="1"/>
    </row>
    <row r="110" ht="41.25" customHeight="1">
      <c r="A110" s="1"/>
      <c r="B110" s="24" t="s">
        <v>167</v>
      </c>
      <c r="C110" s="26">
        <f t="shared" si="36" ref="C110:I110">_xlfn.IFERROR(IF(ABS(C101-C109)&lt;=5,0,C101-C109),1)</f>
        <v>0</v>
      </c>
      <c r="D110" s="26">
        <f t="shared" si="36"/>
        <v>0</v>
      </c>
      <c r="E110" s="26">
        <f t="shared" si="36"/>
        <v>0</v>
      </c>
      <c r="F110" s="26">
        <f t="shared" si="36"/>
        <v>0</v>
      </c>
      <c r="G110" s="26">
        <f t="shared" si="36"/>
        <v>0</v>
      </c>
      <c r="H110" s="26">
        <f t="shared" si="36"/>
        <v>0</v>
      </c>
      <c r="I110" s="26">
        <f t="shared" si="36"/>
        <v>0</v>
      </c>
      <c r="J110" s="27"/>
      <c r="K110" s="1"/>
    </row>
    <row r="111" ht="15" customHeight="1">
      <c r="A111" s="1"/>
      <c r="B111" s="16" t="s">
        <v>168</v>
      </c>
      <c r="C111" s="17"/>
      <c r="D111" s="17"/>
      <c r="E111" s="17"/>
      <c r="F111" s="17"/>
      <c r="G111" s="17"/>
      <c r="H111" s="17"/>
      <c r="I111" s="17"/>
      <c r="J111" s="18"/>
      <c r="K111" s="1"/>
    </row>
    <row r="112" ht="15" customHeight="1">
      <c r="A112" s="1"/>
      <c r="B112" s="19" t="s">
        <v>169</v>
      </c>
      <c r="C112" s="26" t="s">
        <v>41</v>
      </c>
      <c r="D112" s="26" t="s">
        <v>41</v>
      </c>
      <c r="E112" s="47">
        <v>-2.2</v>
      </c>
      <c r="F112" s="26" t="s">
        <v>41</v>
      </c>
      <c r="G112" s="47">
        <v>-1.4</v>
      </c>
      <c r="H112" s="47">
        <v>0</v>
      </c>
      <c r="I112" s="26" t="s">
        <v>41</v>
      </c>
      <c r="J112" s="27" t="s">
        <v>41</v>
      </c>
      <c r="K112" s="1"/>
    </row>
    <row r="113" ht="15" customHeight="1">
      <c r="A113" s="1"/>
      <c r="B113" s="19" t="s">
        <v>170</v>
      </c>
      <c r="C113" s="26" t="s">
        <v>41</v>
      </c>
      <c r="D113" s="26" t="s">
        <v>41</v>
      </c>
      <c r="E113" s="47">
        <v>1</v>
      </c>
      <c r="F113" s="26" t="s">
        <v>41</v>
      </c>
      <c r="G113" s="47">
        <v>-0.1</v>
      </c>
      <c r="H113" s="47">
        <v>-0.5</v>
      </c>
      <c r="I113" s="26" t="s">
        <v>41</v>
      </c>
      <c r="J113" s="27" t="s">
        <v>41</v>
      </c>
      <c r="K113" s="1"/>
    </row>
    <row r="114" ht="15" customHeight="1">
      <c r="A114" s="1"/>
      <c r="B114" s="19" t="s">
        <v>171</v>
      </c>
      <c r="C114" s="26" t="s">
        <v>41</v>
      </c>
      <c r="D114" s="26" t="s">
        <v>41</v>
      </c>
      <c r="E114" s="47">
        <v>0.1</v>
      </c>
      <c r="F114" s="26" t="s">
        <v>41</v>
      </c>
      <c r="G114" s="47">
        <v>0</v>
      </c>
      <c r="H114" s="47">
        <v>0.6</v>
      </c>
      <c r="I114" s="26" t="s">
        <v>41</v>
      </c>
      <c r="J114" s="27" t="s">
        <v>41</v>
      </c>
      <c r="K114" s="1"/>
    </row>
    <row r="115" ht="28.5" customHeight="1">
      <c r="A115" s="1"/>
      <c r="B115" s="24" t="s">
        <v>172</v>
      </c>
      <c r="C115" s="26" t="s">
        <v>41</v>
      </c>
      <c r="D115" s="26" t="s">
        <v>41</v>
      </c>
      <c r="E115" s="47">
        <v>0.5</v>
      </c>
      <c r="F115" s="26" t="s">
        <v>41</v>
      </c>
      <c r="G115" s="47">
        <v>0.6</v>
      </c>
      <c r="H115" s="47">
        <v>0.4</v>
      </c>
      <c r="I115" s="26" t="s">
        <v>41</v>
      </c>
      <c r="J115" s="27" t="s">
        <v>41</v>
      </c>
      <c r="K115" s="1"/>
    </row>
    <row r="116" ht="15" customHeight="1">
      <c r="A116" s="1"/>
      <c r="B116" s="4" t="s">
        <v>173</v>
      </c>
      <c r="C116" s="52" t="str">
        <f t="shared" si="37" ref="C116:J116">IF(ISNUMBER(C112),C112+C113+C114+C115,"n.a.")</f>
        <v>n.a.</v>
      </c>
      <c r="D116" s="52" t="str">
        <f t="shared" si="37"/>
        <v>n.a.</v>
      </c>
      <c r="E116" s="52">
        <f t="shared" si="37"/>
        <v>-0.6000000000000001</v>
      </c>
      <c r="F116" s="52" t="str">
        <f t="shared" si="37"/>
        <v>n.a.</v>
      </c>
      <c r="G116" s="52">
        <f t="shared" si="37"/>
        <v>-0.9</v>
      </c>
      <c r="H116" s="52">
        <f t="shared" si="37"/>
        <v>0.5</v>
      </c>
      <c r="I116" s="52" t="str">
        <f t="shared" si="37"/>
        <v>n.a.</v>
      </c>
      <c r="J116" s="53" t="str">
        <f t="shared" si="37"/>
        <v>n.a.</v>
      </c>
      <c r="K116" s="1"/>
    </row>
    <row r="117" ht="15" customHeight="1">
      <c r="A117" s="1"/>
      <c r="B117" s="1"/>
      <c r="C117" s="17"/>
      <c r="D117" s="17"/>
      <c r="E117" s="17"/>
      <c r="F117" s="17"/>
      <c r="G117" s="17"/>
      <c r="H117" s="17"/>
      <c r="I117" s="17"/>
      <c r="J117" s="18"/>
      <c r="K117" s="1"/>
    </row>
    <row r="118" ht="15" customHeight="1">
      <c r="A118" s="1"/>
      <c r="B118" s="16" t="s">
        <v>174</v>
      </c>
      <c r="C118" s="17"/>
      <c r="D118" s="17"/>
      <c r="E118" s="17"/>
      <c r="F118" s="17"/>
      <c r="G118" s="17"/>
      <c r="H118" s="17"/>
      <c r="I118" s="17"/>
      <c r="J118" s="18"/>
      <c r="K118" s="1" t="s">
        <v>175</v>
      </c>
    </row>
    <row r="119" ht="15" customHeight="1">
      <c r="A119" s="1"/>
      <c r="B119" s="4" t="s">
        <v>176</v>
      </c>
      <c r="C119" s="61">
        <v>3286</v>
      </c>
      <c r="D119" s="61">
        <v>2415</v>
      </c>
      <c r="E119" s="61">
        <v>2506</v>
      </c>
      <c r="F119" s="61">
        <v>2244</v>
      </c>
      <c r="G119" s="61">
        <v>3661</v>
      </c>
      <c r="H119" s="61">
        <v>3446</v>
      </c>
      <c r="I119" s="61">
        <v>10452</v>
      </c>
      <c r="J119" s="53">
        <f>J167</f>
        <v>3453.888</v>
      </c>
      <c r="K119" s="1"/>
    </row>
    <row r="120" ht="15" customHeight="1">
      <c r="A120" s="1"/>
      <c r="B120" s="28" t="s">
        <v>80</v>
      </c>
      <c r="C120" s="29" t="s">
        <v>41</v>
      </c>
      <c r="D120" s="29" t="s">
        <v>41</v>
      </c>
      <c r="E120" s="29" t="s">
        <v>41</v>
      </c>
      <c r="F120" s="29" t="s">
        <v>41</v>
      </c>
      <c r="G120" s="29">
        <f t="shared" si="2"/>
        <v>0.11412051125989042</v>
      </c>
      <c r="H120" s="29">
        <f t="shared" si="2"/>
        <v>0.4269151138716356</v>
      </c>
      <c r="I120" s="29" t="s">
        <v>41</v>
      </c>
      <c r="J120" s="30">
        <f t="shared" si="5"/>
        <v>0.3782474062250598</v>
      </c>
      <c r="K120" s="1"/>
    </row>
    <row r="121" ht="15" customHeight="1">
      <c r="A121" s="1"/>
      <c r="B121" s="28" t="s">
        <v>93</v>
      </c>
      <c r="C121" s="50" t="s">
        <v>41</v>
      </c>
      <c r="D121" s="50">
        <f t="shared" si="3"/>
        <v>-871</v>
      </c>
      <c r="E121" s="50">
        <f t="shared" si="3"/>
        <v>91</v>
      </c>
      <c r="F121" s="50">
        <f t="shared" si="3"/>
        <v>-262</v>
      </c>
      <c r="G121" s="50">
        <f t="shared" si="3"/>
        <v>1417</v>
      </c>
      <c r="H121" s="50">
        <f t="shared" si="3"/>
        <v>-215</v>
      </c>
      <c r="I121" s="50" t="s">
        <v>41</v>
      </c>
      <c r="J121" s="51">
        <f t="shared" si="4"/>
        <v>7.88799999999992</v>
      </c>
      <c r="K121" s="1"/>
    </row>
    <row r="122" ht="15" customHeight="1">
      <c r="A122" s="1"/>
      <c r="B122" s="57" t="s">
        <v>177</v>
      </c>
      <c r="C122" s="29">
        <f t="shared" si="38" ref="C122:J122">_xlfn.IFERROR(C119/C101,"n.a.")</f>
        <v>0.08788916229806355</v>
      </c>
      <c r="D122" s="29">
        <f t="shared" si="38"/>
        <v>0.06116091779364838</v>
      </c>
      <c r="E122" s="29">
        <f t="shared" si="38"/>
        <v>0.06179719865851253</v>
      </c>
      <c r="F122" s="29">
        <f t="shared" si="38"/>
        <v>0.0608245466619684</v>
      </c>
      <c r="G122" s="29">
        <f t="shared" si="38"/>
        <v>0.10057416005054806</v>
      </c>
      <c r="H122" s="29">
        <f t="shared" si="38"/>
        <v>0.08633994788534777</v>
      </c>
      <c r="I122" s="29">
        <f t="shared" si="38"/>
        <v>0.06773071016155058</v>
      </c>
      <c r="J122" s="30">
        <f t="shared" si="38"/>
        <v>0.08438925254620258</v>
      </c>
      <c r="K122" s="1"/>
    </row>
    <row r="123" ht="15" customHeight="1">
      <c r="A123" s="1"/>
      <c r="B123" s="28" t="s">
        <v>129</v>
      </c>
      <c r="C123" s="58" t="s">
        <v>41</v>
      </c>
      <c r="D123" s="58" t="s">
        <v>41</v>
      </c>
      <c r="E123" s="58" t="s">
        <v>41</v>
      </c>
      <c r="F123" s="58" t="s">
        <v>41</v>
      </c>
      <c r="G123" s="58">
        <f t="shared" si="9"/>
        <v>126.84997752484509</v>
      </c>
      <c r="H123" s="58">
        <f t="shared" si="9"/>
        <v>251.79030091699389</v>
      </c>
      <c r="I123" s="58" t="s">
        <v>41</v>
      </c>
      <c r="J123" s="59">
        <f t="shared" si="12"/>
        <v>225.92053887690054</v>
      </c>
      <c r="K123" s="1"/>
    </row>
    <row r="124" ht="15" customHeight="1">
      <c r="A124" s="1"/>
      <c r="B124" s="28" t="s">
        <v>130</v>
      </c>
      <c r="C124" s="58" t="s">
        <v>41</v>
      </c>
      <c r="D124" s="58">
        <f t="shared" si="10"/>
        <v>-267.28244504415176</v>
      </c>
      <c r="E124" s="58">
        <f t="shared" si="10"/>
        <v>6.362808648641486</v>
      </c>
      <c r="F124" s="58">
        <f t="shared" si="10"/>
        <v>-9.7265199654413</v>
      </c>
      <c r="G124" s="58">
        <f t="shared" si="10"/>
        <v>397.49613388579667</v>
      </c>
      <c r="H124" s="58">
        <f t="shared" si="10"/>
        <v>-142.34212165200293</v>
      </c>
      <c r="I124" s="58" t="s">
        <v>41</v>
      </c>
      <c r="J124" s="59">
        <f t="shared" si="13"/>
        <v>-19.506953391451866</v>
      </c>
      <c r="K124" s="1"/>
    </row>
    <row r="125" ht="28.5" customHeight="1">
      <c r="A125" s="1"/>
      <c r="B125" s="24" t="s">
        <v>178</v>
      </c>
      <c r="C125" s="63">
        <f t="shared" si="39" ref="C125:J125">_xlfn.IFERROR(C119/C68,"n.a.")</f>
        <v>3.9733978234582827</v>
      </c>
      <c r="D125" s="63">
        <f t="shared" si="39"/>
        <v>2.8445229681978796</v>
      </c>
      <c r="E125" s="63">
        <f t="shared" si="39"/>
        <v>2.9833333333333334</v>
      </c>
      <c r="F125" s="63">
        <f t="shared" si="39"/>
        <v>2.876923076923077</v>
      </c>
      <c r="G125" s="63">
        <f t="shared" si="39"/>
        <v>4.6166456494325345</v>
      </c>
      <c r="H125" s="63">
        <f t="shared" si="39"/>
        <v>4.063679245283019</v>
      </c>
      <c r="I125" s="63">
        <f t="shared" si="39"/>
        <v>3.171116504854369</v>
      </c>
      <c r="J125" s="64">
        <f t="shared" si="39"/>
        <v>4.055001408847563</v>
      </c>
      <c r="K125" s="1"/>
    </row>
    <row r="126" ht="15" customHeight="1">
      <c r="A126" s="1"/>
      <c r="B126" s="28" t="s">
        <v>80</v>
      </c>
      <c r="C126" s="29" t="s">
        <v>41</v>
      </c>
      <c r="D126" s="29" t="s">
        <v>41</v>
      </c>
      <c r="E126" s="29" t="s">
        <v>41</v>
      </c>
      <c r="F126" s="29" t="s">
        <v>41</v>
      </c>
      <c r="G126" s="29">
        <f t="shared" si="2"/>
        <v>0.16188860379814551</v>
      </c>
      <c r="H126" s="29">
        <f t="shared" si="2"/>
        <v>0.4285977967889374</v>
      </c>
      <c r="I126" s="29" t="s">
        <v>41</v>
      </c>
      <c r="J126" s="30">
        <f t="shared" si="5"/>
        <v>0.3592183493343786</v>
      </c>
      <c r="K126" s="1"/>
    </row>
    <row r="127" ht="15" customHeight="1">
      <c r="A127" s="1"/>
      <c r="B127" s="28" t="s">
        <v>93</v>
      </c>
      <c r="C127" s="65" t="s">
        <v>41</v>
      </c>
      <c r="D127" s="65">
        <f t="shared" si="3"/>
        <v>-1.128874855260403</v>
      </c>
      <c r="E127" s="65">
        <f t="shared" si="3"/>
        <v>0.13881036513545375</v>
      </c>
      <c r="F127" s="65">
        <f t="shared" si="3"/>
        <v>-0.10641025641025648</v>
      </c>
      <c r="G127" s="65">
        <f t="shared" si="3"/>
        <v>1.7397225725094576</v>
      </c>
      <c r="H127" s="65">
        <f t="shared" si="3"/>
        <v>-0.5529664041495153</v>
      </c>
      <c r="I127" s="65" t="s">
        <v>41</v>
      </c>
      <c r="J127" s="66">
        <f t="shared" si="4"/>
        <v>-0.008677836435456499</v>
      </c>
      <c r="K127" s="1"/>
    </row>
    <row r="128" ht="15" customHeight="1">
      <c r="A128" s="1"/>
      <c r="B128" s="16" t="s">
        <v>179</v>
      </c>
      <c r="C128" s="17"/>
      <c r="D128" s="17"/>
      <c r="E128" s="17"/>
      <c r="F128" s="17"/>
      <c r="G128" s="17"/>
      <c r="H128" s="17"/>
      <c r="I128" s="17"/>
      <c r="J128" s="18"/>
      <c r="K128" s="1"/>
    </row>
    <row r="129" ht="15" customHeight="1">
      <c r="A129" s="1"/>
      <c r="B129" s="19" t="s">
        <v>169</v>
      </c>
      <c r="C129" s="26" t="s">
        <v>41</v>
      </c>
      <c r="D129" s="26" t="s">
        <v>41</v>
      </c>
      <c r="E129" s="47">
        <v>-0.6</v>
      </c>
      <c r="F129" s="26" t="s">
        <v>41</v>
      </c>
      <c r="G129" s="47">
        <v>-0.4</v>
      </c>
      <c r="H129" s="47">
        <v>0</v>
      </c>
      <c r="I129" s="26" t="s">
        <v>41</v>
      </c>
      <c r="J129" s="27" t="s">
        <v>41</v>
      </c>
      <c r="K129" s="1"/>
    </row>
    <row r="130" ht="15" customHeight="1">
      <c r="A130" s="1"/>
      <c r="B130" s="19" t="s">
        <v>170</v>
      </c>
      <c r="C130" s="26" t="s">
        <v>41</v>
      </c>
      <c r="D130" s="26" t="s">
        <v>41</v>
      </c>
      <c r="E130" s="47">
        <v>0.1</v>
      </c>
      <c r="F130" s="26" t="s">
        <v>41</v>
      </c>
      <c r="G130" s="47">
        <v>0.1</v>
      </c>
      <c r="H130" s="47">
        <v>0.2</v>
      </c>
      <c r="I130" s="26" t="s">
        <v>41</v>
      </c>
      <c r="J130" s="27" t="s">
        <v>41</v>
      </c>
      <c r="K130" s="1"/>
    </row>
    <row r="131" ht="15" customHeight="1">
      <c r="A131" s="1"/>
      <c r="B131" s="19" t="s">
        <v>171</v>
      </c>
      <c r="C131" s="26" t="s">
        <v>41</v>
      </c>
      <c r="D131" s="26" t="s">
        <v>41</v>
      </c>
      <c r="E131" s="47">
        <v>0.1</v>
      </c>
      <c r="F131" s="26" t="s">
        <v>41</v>
      </c>
      <c r="G131" s="47">
        <v>0</v>
      </c>
      <c r="H131" s="47">
        <v>0.6</v>
      </c>
      <c r="I131" s="26" t="s">
        <v>41</v>
      </c>
      <c r="J131" s="27" t="s">
        <v>41</v>
      </c>
      <c r="K131" s="1"/>
    </row>
    <row r="132" ht="15" customHeight="1">
      <c r="A132" s="1"/>
      <c r="B132" s="19" t="s">
        <v>180</v>
      </c>
      <c r="C132" s="26" t="s">
        <v>41</v>
      </c>
      <c r="D132" s="26" t="s">
        <v>41</v>
      </c>
      <c r="E132" s="47">
        <v>-1.5</v>
      </c>
      <c r="F132" s="26" t="s">
        <v>41</v>
      </c>
      <c r="G132" s="47">
        <v>0.4</v>
      </c>
      <c r="H132" s="47">
        <v>0.4</v>
      </c>
      <c r="I132" s="26" t="s">
        <v>41</v>
      </c>
      <c r="J132" s="27" t="s">
        <v>41</v>
      </c>
      <c r="K132" s="1"/>
    </row>
    <row r="133" ht="15" customHeight="1">
      <c r="A133" s="1"/>
      <c r="B133" s="19" t="s">
        <v>181</v>
      </c>
      <c r="C133" s="26" t="s">
        <v>41</v>
      </c>
      <c r="D133" s="26" t="s">
        <v>41</v>
      </c>
      <c r="E133" s="47">
        <v>0.4</v>
      </c>
      <c r="F133" s="26" t="s">
        <v>41</v>
      </c>
      <c r="G133" s="47">
        <v>0.3</v>
      </c>
      <c r="H133" s="47">
        <v>-0.2</v>
      </c>
      <c r="I133" s="26" t="s">
        <v>41</v>
      </c>
      <c r="J133" s="27" t="s">
        <v>41</v>
      </c>
      <c r="K133" s="1"/>
    </row>
    <row r="134" ht="15" customHeight="1">
      <c r="A134" s="1"/>
      <c r="B134" s="4" t="s">
        <v>182</v>
      </c>
      <c r="C134" s="52" t="str">
        <f t="shared" si="40" ref="C134:J134">IF(ISNUMBER(C129),C129+C130+C131+C132+C133,"n.a.")</f>
        <v>n.a.</v>
      </c>
      <c r="D134" s="52" t="str">
        <f t="shared" si="40"/>
        <v>n.a.</v>
      </c>
      <c r="E134" s="52">
        <f t="shared" si="40"/>
        <v>-1.5</v>
      </c>
      <c r="F134" s="52" t="str">
        <f t="shared" si="40"/>
        <v>n.a.</v>
      </c>
      <c r="G134" s="52">
        <f t="shared" si="40"/>
        <v>0.39999999999999997</v>
      </c>
      <c r="H134" s="52">
        <f t="shared" si="40"/>
        <v>1.0000000000000002</v>
      </c>
      <c r="I134" s="52" t="str">
        <f t="shared" si="40"/>
        <v>n.a.</v>
      </c>
      <c r="J134" s="53" t="str">
        <f t="shared" si="40"/>
        <v>n.a.</v>
      </c>
      <c r="K134" s="1"/>
    </row>
    <row r="135" ht="15" customHeight="1">
      <c r="A135" s="1"/>
      <c r="B135" s="1"/>
      <c r="C135" s="17"/>
      <c r="D135" s="17"/>
      <c r="E135" s="17"/>
      <c r="F135" s="17"/>
      <c r="G135" s="17"/>
      <c r="H135" s="17"/>
      <c r="I135" s="17"/>
      <c r="J135" s="18"/>
      <c r="K135" s="1"/>
    </row>
    <row r="136" ht="15" customHeight="1">
      <c r="A136" s="1"/>
      <c r="B136" s="16" t="s">
        <v>183</v>
      </c>
      <c r="C136" s="17"/>
      <c r="D136" s="17"/>
      <c r="E136" s="17"/>
      <c r="F136" s="17"/>
      <c r="G136" s="17"/>
      <c r="H136" s="17"/>
      <c r="I136" s="17"/>
      <c r="J136" s="18"/>
      <c r="K136" s="1"/>
    </row>
    <row r="137" ht="15" customHeight="1">
      <c r="A137" s="1"/>
      <c r="B137" s="19" t="s">
        <v>184</v>
      </c>
      <c r="C137" s="47">
        <v>932</v>
      </c>
      <c r="D137" s="47">
        <v>1358</v>
      </c>
      <c r="E137" s="47">
        <v>1675</v>
      </c>
      <c r="F137" s="26" t="s">
        <v>41</v>
      </c>
      <c r="G137" s="47">
        <v>1075</v>
      </c>
      <c r="H137" s="47">
        <v>1176</v>
      </c>
      <c r="I137" s="26" t="s">
        <v>41</v>
      </c>
      <c r="J137" s="49">
        <v>1150</v>
      </c>
      <c r="K137" s="1" t="s">
        <v>185</v>
      </c>
    </row>
    <row r="138" ht="15" customHeight="1">
      <c r="A138" s="1"/>
      <c r="B138" s="28" t="s">
        <v>80</v>
      </c>
      <c r="C138" s="29" t="s">
        <v>41</v>
      </c>
      <c r="D138" s="29" t="s">
        <v>41</v>
      </c>
      <c r="E138" s="29" t="s">
        <v>41</v>
      </c>
      <c r="F138" s="29" t="s">
        <v>41</v>
      </c>
      <c r="G138" s="29">
        <f t="shared" si="2"/>
        <v>0.15343347639484972</v>
      </c>
      <c r="H138" s="29">
        <f t="shared" si="2"/>
        <v>-0.134020618556701</v>
      </c>
      <c r="I138" s="29" t="s">
        <v>41</v>
      </c>
      <c r="J138" s="30">
        <f t="shared" si="5"/>
        <v>-0.31343283582089554</v>
      </c>
      <c r="K138" s="1"/>
    </row>
    <row r="139" ht="15" customHeight="1">
      <c r="A139" s="1"/>
      <c r="B139" s="28" t="s">
        <v>93</v>
      </c>
      <c r="C139" s="50" t="s">
        <v>41</v>
      </c>
      <c r="D139" s="50">
        <f t="shared" si="3"/>
        <v>426</v>
      </c>
      <c r="E139" s="50">
        <f t="shared" si="3"/>
        <v>317</v>
      </c>
      <c r="F139" s="50" t="str">
        <f t="shared" si="3"/>
        <v>n.a.</v>
      </c>
      <c r="G139" s="50" t="str">
        <f t="shared" si="3"/>
        <v>n.a.</v>
      </c>
      <c r="H139" s="50">
        <f t="shared" si="3"/>
        <v>101</v>
      </c>
      <c r="I139" s="50" t="s">
        <v>41</v>
      </c>
      <c r="J139" s="51">
        <f t="shared" si="4"/>
        <v>-26</v>
      </c>
      <c r="K139" s="1"/>
    </row>
    <row r="140" ht="15" customHeight="1">
      <c r="A140" s="1"/>
      <c r="B140" s="19" t="s">
        <v>186</v>
      </c>
      <c r="C140" s="47">
        <v>-151</v>
      </c>
      <c r="D140" s="47">
        <v>-186</v>
      </c>
      <c r="E140" s="47">
        <v>-81</v>
      </c>
      <c r="F140" s="26" t="s">
        <v>41</v>
      </c>
      <c r="G140" s="47">
        <v>-132</v>
      </c>
      <c r="H140" s="47">
        <v>-196</v>
      </c>
      <c r="I140" s="26" t="s">
        <v>41</v>
      </c>
      <c r="J140" s="49">
        <v>-160</v>
      </c>
      <c r="K140" s="1"/>
    </row>
    <row r="141" ht="15" customHeight="1">
      <c r="A141" s="1"/>
      <c r="B141" s="28" t="s">
        <v>80</v>
      </c>
      <c r="C141" s="29" t="s">
        <v>41</v>
      </c>
      <c r="D141" s="29" t="s">
        <v>41</v>
      </c>
      <c r="E141" s="29" t="s">
        <v>41</v>
      </c>
      <c r="F141" s="29" t="s">
        <v>41</v>
      </c>
      <c r="G141" s="29">
        <f t="shared" si="2"/>
        <v>-0.1258278145695364</v>
      </c>
      <c r="H141" s="29">
        <f t="shared" si="2"/>
        <v>0.053763440860215006</v>
      </c>
      <c r="I141" s="29" t="s">
        <v>41</v>
      </c>
      <c r="J141" s="30">
        <f t="shared" si="5"/>
        <v>0.9753086419753085</v>
      </c>
      <c r="K141" s="1"/>
    </row>
    <row r="142" ht="15" customHeight="1">
      <c r="A142" s="1"/>
      <c r="B142" s="28" t="s">
        <v>93</v>
      </c>
      <c r="C142" s="50" t="s">
        <v>41</v>
      </c>
      <c r="D142" s="50">
        <f t="shared" si="3"/>
        <v>-35</v>
      </c>
      <c r="E142" s="50">
        <f t="shared" si="3"/>
        <v>105</v>
      </c>
      <c r="F142" s="50" t="str">
        <f t="shared" si="3"/>
        <v>n.a.</v>
      </c>
      <c r="G142" s="50" t="str">
        <f t="shared" si="3"/>
        <v>n.a.</v>
      </c>
      <c r="H142" s="50">
        <f t="shared" si="3"/>
        <v>-64</v>
      </c>
      <c r="I142" s="50" t="s">
        <v>41</v>
      </c>
      <c r="J142" s="51">
        <f t="shared" si="4"/>
        <v>36</v>
      </c>
      <c r="K142" s="1"/>
    </row>
    <row r="143" ht="28.5" customHeight="1">
      <c r="A143" s="1"/>
      <c r="B143" s="24" t="s">
        <v>187</v>
      </c>
      <c r="C143" s="47">
        <v>573</v>
      </c>
      <c r="D143" s="47">
        <v>797</v>
      </c>
      <c r="E143" s="47">
        <v>1411</v>
      </c>
      <c r="F143" s="26" t="s">
        <v>41</v>
      </c>
      <c r="G143" s="47">
        <v>314</v>
      </c>
      <c r="H143" s="47">
        <v>601</v>
      </c>
      <c r="I143" s="26" t="s">
        <v>41</v>
      </c>
      <c r="J143" s="49">
        <v>1250</v>
      </c>
      <c r="K143" s="1" t="s">
        <v>188</v>
      </c>
    </row>
    <row r="144" ht="15" customHeight="1">
      <c r="A144" s="1"/>
      <c r="B144" s="28" t="s">
        <v>80</v>
      </c>
      <c r="C144" s="29" t="s">
        <v>41</v>
      </c>
      <c r="D144" s="29" t="s">
        <v>41</v>
      </c>
      <c r="E144" s="29" t="s">
        <v>41</v>
      </c>
      <c r="F144" s="29" t="s">
        <v>41</v>
      </c>
      <c r="G144" s="29">
        <f t="shared" si="2"/>
        <v>-0.45200698080279234</v>
      </c>
      <c r="H144" s="29">
        <f t="shared" si="2"/>
        <v>-0.24592220828105393</v>
      </c>
      <c r="I144" s="29" t="s">
        <v>41</v>
      </c>
      <c r="J144" s="30">
        <f t="shared" si="5"/>
        <v>-0.11410347271438692</v>
      </c>
      <c r="K144" s="1"/>
    </row>
    <row r="145" ht="15" customHeight="1">
      <c r="A145" s="1"/>
      <c r="B145" s="28" t="s">
        <v>93</v>
      </c>
      <c r="C145" s="50" t="s">
        <v>41</v>
      </c>
      <c r="D145" s="50">
        <f t="shared" si="3"/>
        <v>224</v>
      </c>
      <c r="E145" s="50">
        <f t="shared" si="3"/>
        <v>614</v>
      </c>
      <c r="F145" s="50" t="str">
        <f t="shared" si="3"/>
        <v>n.a.</v>
      </c>
      <c r="G145" s="50" t="str">
        <f t="shared" si="3"/>
        <v>n.a.</v>
      </c>
      <c r="H145" s="50">
        <f t="shared" si="3"/>
        <v>287</v>
      </c>
      <c r="I145" s="50" t="s">
        <v>41</v>
      </c>
      <c r="J145" s="51">
        <f t="shared" si="4"/>
        <v>649</v>
      </c>
      <c r="K145" s="1"/>
    </row>
    <row r="146" ht="15" customHeight="1">
      <c r="A146" s="1"/>
      <c r="B146" s="4" t="s">
        <v>189</v>
      </c>
      <c r="C146" s="52">
        <f t="shared" si="41" ref="C146:J146">IF(ISNUMBER(C137),C137+C140+C143,"n.a.")</f>
        <v>1354</v>
      </c>
      <c r="D146" s="52">
        <f t="shared" si="41"/>
        <v>1969</v>
      </c>
      <c r="E146" s="52">
        <f t="shared" si="41"/>
        <v>3005</v>
      </c>
      <c r="F146" s="52" t="str">
        <f t="shared" si="41"/>
        <v>n.a.</v>
      </c>
      <c r="G146" s="52">
        <f t="shared" si="41"/>
        <v>1257</v>
      </c>
      <c r="H146" s="52">
        <f t="shared" si="41"/>
        <v>1581</v>
      </c>
      <c r="I146" s="52" t="str">
        <f t="shared" si="41"/>
        <v>n.a.</v>
      </c>
      <c r="J146" s="53">
        <f t="shared" si="41"/>
        <v>2240</v>
      </c>
      <c r="K146" s="1"/>
    </row>
    <row r="147" ht="15" customHeight="1">
      <c r="A147" s="1"/>
      <c r="B147" s="28" t="s">
        <v>80</v>
      </c>
      <c r="C147" s="29" t="s">
        <v>41</v>
      </c>
      <c r="D147" s="29" t="s">
        <v>41</v>
      </c>
      <c r="E147" s="29" t="s">
        <v>41</v>
      </c>
      <c r="F147" s="29" t="s">
        <v>41</v>
      </c>
      <c r="G147" s="29">
        <f t="shared" si="2"/>
        <v>-0.07163958641063517</v>
      </c>
      <c r="H147" s="29">
        <f t="shared" si="2"/>
        <v>-0.19705434230573893</v>
      </c>
      <c r="I147" s="29" t="s">
        <v>41</v>
      </c>
      <c r="J147" s="30">
        <f t="shared" si="5"/>
        <v>-0.2545757071547421</v>
      </c>
      <c r="K147" s="1"/>
    </row>
    <row r="148" ht="15" customHeight="1">
      <c r="A148" s="1"/>
      <c r="B148" s="28" t="s">
        <v>93</v>
      </c>
      <c r="C148" s="50" t="s">
        <v>41</v>
      </c>
      <c r="D148" s="50">
        <f t="shared" si="3"/>
        <v>615</v>
      </c>
      <c r="E148" s="50">
        <f t="shared" si="3"/>
        <v>1036</v>
      </c>
      <c r="F148" s="50" t="str">
        <f t="shared" si="3"/>
        <v>n.a.</v>
      </c>
      <c r="G148" s="50" t="str">
        <f t="shared" si="3"/>
        <v>n.a.</v>
      </c>
      <c r="H148" s="50">
        <f t="shared" si="3"/>
        <v>324</v>
      </c>
      <c r="I148" s="50" t="s">
        <v>41</v>
      </c>
      <c r="J148" s="51">
        <f t="shared" si="4"/>
        <v>659</v>
      </c>
      <c r="K148" s="1"/>
    </row>
    <row r="149" ht="28.5" customHeight="1">
      <c r="A149" s="1"/>
      <c r="B149" s="60" t="s">
        <v>190</v>
      </c>
      <c r="C149" s="29">
        <f t="shared" si="42" ref="C149:J149">_xlfn.IFERROR(C146/C101,"n.a.")</f>
        <v>0.03621482828715096</v>
      </c>
      <c r="D149" s="29">
        <f t="shared" si="42"/>
        <v>0.04986577521146736</v>
      </c>
      <c r="E149" s="29">
        <f t="shared" si="42"/>
        <v>0.07410238705859144</v>
      </c>
      <c r="F149" s="29" t="str">
        <f t="shared" si="42"/>
        <v>n.a.</v>
      </c>
      <c r="G149" s="29">
        <f t="shared" si="42"/>
        <v>0.0345320183511442</v>
      </c>
      <c r="H149" s="29">
        <f t="shared" si="42"/>
        <v>0.03961214672279014</v>
      </c>
      <c r="I149" s="29" t="str">
        <f t="shared" si="42"/>
        <v>n.a.</v>
      </c>
      <c r="J149" s="30">
        <f t="shared" si="42"/>
        <v>0.05473018398497397</v>
      </c>
      <c r="K149" s="1"/>
    </row>
    <row r="150" ht="15" customHeight="1">
      <c r="A150" s="1"/>
      <c r="B150" s="28" t="s">
        <v>129</v>
      </c>
      <c r="C150" s="58" t="s">
        <v>41</v>
      </c>
      <c r="D150" s="58" t="s">
        <v>41</v>
      </c>
      <c r="E150" s="58" t="s">
        <v>41</v>
      </c>
      <c r="F150" s="58" t="s">
        <v>41</v>
      </c>
      <c r="G150" s="58">
        <f t="shared" si="9"/>
        <v>-16.828099360067586</v>
      </c>
      <c r="H150" s="58">
        <f t="shared" si="9"/>
        <v>-102.53628488677218</v>
      </c>
      <c r="I150" s="58" t="s">
        <v>41</v>
      </c>
      <c r="J150" s="59">
        <f t="shared" si="12"/>
        <v>-193.7220307361747</v>
      </c>
      <c r="K150" s="1"/>
    </row>
    <row r="151" ht="15" customHeight="1">
      <c r="A151" s="1"/>
      <c r="B151" s="28" t="s">
        <v>130</v>
      </c>
      <c r="C151" s="58" t="s">
        <v>41</v>
      </c>
      <c r="D151" s="58">
        <f t="shared" si="10"/>
        <v>136.50946924316398</v>
      </c>
      <c r="E151" s="58">
        <f t="shared" si="10"/>
        <v>242.36611847124084</v>
      </c>
      <c r="F151" s="58" t="str">
        <f t="shared" si="10"/>
        <v>n.a.</v>
      </c>
      <c r="G151" s="58" t="str">
        <f t="shared" si="10"/>
        <v>n.a.</v>
      </c>
      <c r="H151" s="58">
        <f t="shared" si="10"/>
        <v>50.801283716459395</v>
      </c>
      <c r="I151" s="58" t="s">
        <v>41</v>
      </c>
      <c r="J151" s="59">
        <f t="shared" si="13"/>
        <v>151.1803726218383</v>
      </c>
      <c r="K151" s="1"/>
    </row>
    <row r="152" ht="15" customHeight="1">
      <c r="A152" s="1"/>
      <c r="B152" s="1"/>
      <c r="C152" s="17"/>
      <c r="D152" s="17"/>
      <c r="E152" s="17"/>
      <c r="F152" s="17"/>
      <c r="G152" s="17"/>
      <c r="H152" s="17"/>
      <c r="I152" s="17"/>
      <c r="J152" s="18"/>
      <c r="K152" s="1"/>
    </row>
    <row r="153" ht="15" customHeight="1">
      <c r="A153" s="1"/>
      <c r="B153" s="16" t="s">
        <v>191</v>
      </c>
      <c r="C153" s="17"/>
      <c r="D153" s="17"/>
      <c r="E153" s="17"/>
      <c r="F153" s="17"/>
      <c r="G153" s="17"/>
      <c r="H153" s="17"/>
      <c r="I153" s="17"/>
      <c r="J153" s="18"/>
      <c r="K153" s="1"/>
    </row>
    <row r="154" ht="15" customHeight="1">
      <c r="A154" s="1"/>
      <c r="B154" s="19" t="s">
        <v>192</v>
      </c>
      <c r="C154" s="26"/>
      <c r="D154" s="26"/>
      <c r="E154" s="26"/>
      <c r="F154" s="26"/>
      <c r="G154" s="26"/>
      <c r="H154" s="26"/>
      <c r="I154" s="26"/>
      <c r="J154" s="27">
        <f>E119</f>
        <v>2506</v>
      </c>
      <c r="K154" s="1"/>
    </row>
    <row r="155" ht="28.5" customHeight="1">
      <c r="A155" s="1"/>
      <c r="B155" s="24" t="s">
        <v>193</v>
      </c>
      <c r="C155" s="63"/>
      <c r="D155" s="63"/>
      <c r="E155" s="63"/>
      <c r="F155" s="63"/>
      <c r="G155" s="63"/>
      <c r="H155" s="63"/>
      <c r="I155" s="63"/>
      <c r="J155" s="69">
        <v>11.3</v>
      </c>
      <c r="K155" s="1" t="s">
        <v>194</v>
      </c>
    </row>
    <row r="156" ht="28.5" customHeight="1">
      <c r="A156" s="1"/>
      <c r="B156" s="24" t="s">
        <v>195</v>
      </c>
      <c r="C156" s="26"/>
      <c r="D156" s="26"/>
      <c r="E156" s="26"/>
      <c r="F156" s="26"/>
      <c r="G156" s="26"/>
      <c r="H156" s="26"/>
      <c r="I156" s="26"/>
      <c r="J156" s="27">
        <f>(J68-E68)*J155</f>
        <v>132.8879999999999</v>
      </c>
      <c r="K156" s="1"/>
    </row>
    <row r="157" ht="28.5" customHeight="1">
      <c r="A157" s="1"/>
      <c r="B157" s="24" t="s">
        <v>196</v>
      </c>
      <c r="C157" s="26"/>
      <c r="D157" s="26"/>
      <c r="E157" s="26"/>
      <c r="F157" s="26"/>
      <c r="G157" s="26"/>
      <c r="H157" s="26"/>
      <c r="I157" s="26"/>
      <c r="J157" s="49">
        <v>225</v>
      </c>
      <c r="K157" s="1" t="s">
        <v>197</v>
      </c>
    </row>
    <row r="158" ht="15" customHeight="1">
      <c r="A158" s="1"/>
      <c r="B158" s="19" t="s">
        <v>171</v>
      </c>
      <c r="C158" s="26"/>
      <c r="D158" s="26"/>
      <c r="E158" s="26"/>
      <c r="F158" s="26"/>
      <c r="G158" s="26"/>
      <c r="H158" s="26"/>
      <c r="I158" s="26"/>
      <c r="J158" s="49">
        <v>175</v>
      </c>
      <c r="K158" s="1" t="s">
        <v>198</v>
      </c>
    </row>
    <row r="159" ht="28.5" customHeight="1">
      <c r="A159" s="1"/>
      <c r="B159" s="24" t="s">
        <v>199</v>
      </c>
      <c r="C159" s="26"/>
      <c r="D159" s="26"/>
      <c r="E159" s="26"/>
      <c r="F159" s="26"/>
      <c r="G159" s="26"/>
      <c r="H159" s="26"/>
      <c r="I159" s="26"/>
      <c r="J159" s="27">
        <f>E146-J146</f>
        <v>765</v>
      </c>
      <c r="K159" s="1" t="s">
        <v>200</v>
      </c>
    </row>
    <row r="160" ht="28.5" customHeight="1">
      <c r="A160" s="1"/>
      <c r="B160" s="24" t="s">
        <v>201</v>
      </c>
      <c r="C160" s="26"/>
      <c r="D160" s="26"/>
      <c r="E160" s="26"/>
      <c r="F160" s="26"/>
      <c r="G160" s="26"/>
      <c r="H160" s="26"/>
      <c r="I160" s="26"/>
      <c r="J160" s="49">
        <v>200</v>
      </c>
      <c r="K160" s="1" t="s">
        <v>202</v>
      </c>
    </row>
    <row r="161" ht="28.5" customHeight="1">
      <c r="A161" s="1"/>
      <c r="B161" s="24" t="s">
        <v>203</v>
      </c>
      <c r="C161" s="26"/>
      <c r="D161" s="26"/>
      <c r="E161" s="26"/>
      <c r="F161" s="26"/>
      <c r="G161" s="26"/>
      <c r="H161" s="26"/>
      <c r="I161" s="26"/>
      <c r="J161" s="49">
        <v>300</v>
      </c>
      <c r="K161" s="1" t="s">
        <v>204</v>
      </c>
    </row>
    <row r="162" ht="28.5" customHeight="1">
      <c r="A162" s="1"/>
      <c r="B162" s="24" t="s">
        <v>205</v>
      </c>
      <c r="C162" s="26"/>
      <c r="D162" s="26"/>
      <c r="E162" s="26"/>
      <c r="F162" s="26"/>
      <c r="G162" s="26"/>
      <c r="H162" s="26"/>
      <c r="I162" s="26"/>
      <c r="J162" s="49">
        <v>50</v>
      </c>
      <c r="K162" s="1" t="s">
        <v>206</v>
      </c>
    </row>
    <row r="163" ht="28.5" customHeight="1">
      <c r="A163" s="1"/>
      <c r="B163" s="24" t="s">
        <v>207</v>
      </c>
      <c r="C163" s="26"/>
      <c r="D163" s="26"/>
      <c r="E163" s="26"/>
      <c r="F163" s="26"/>
      <c r="G163" s="26"/>
      <c r="H163" s="26"/>
      <c r="I163" s="26"/>
      <c r="J163" s="49">
        <v>-500</v>
      </c>
      <c r="K163" s="1" t="s">
        <v>208</v>
      </c>
    </row>
    <row r="164" ht="28.5" customHeight="1">
      <c r="A164" s="1"/>
      <c r="B164" s="24" t="s">
        <v>209</v>
      </c>
      <c r="C164" s="26"/>
      <c r="D164" s="26"/>
      <c r="E164" s="26"/>
      <c r="F164" s="26"/>
      <c r="G164" s="26"/>
      <c r="H164" s="26"/>
      <c r="I164" s="26"/>
      <c r="J164" s="49">
        <v>-300</v>
      </c>
      <c r="K164" s="1" t="s">
        <v>210</v>
      </c>
    </row>
    <row r="165" ht="28.5" customHeight="1">
      <c r="A165" s="1"/>
      <c r="B165" s="24" t="s">
        <v>211</v>
      </c>
      <c r="C165" s="26"/>
      <c r="D165" s="26"/>
      <c r="E165" s="26"/>
      <c r="F165" s="26"/>
      <c r="G165" s="26"/>
      <c r="H165" s="26"/>
      <c r="I165" s="26"/>
      <c r="J165" s="49">
        <v>-200</v>
      </c>
      <c r="K165" s="1" t="s">
        <v>212</v>
      </c>
    </row>
    <row r="166" ht="28.5" customHeight="1">
      <c r="A166" s="1"/>
      <c r="B166" s="24" t="s">
        <v>213</v>
      </c>
      <c r="C166" s="26"/>
      <c r="D166" s="26"/>
      <c r="E166" s="26"/>
      <c r="F166" s="26"/>
      <c r="G166" s="26"/>
      <c r="H166" s="26"/>
      <c r="I166" s="26"/>
      <c r="J166" s="49">
        <v>100</v>
      </c>
      <c r="K166" s="1"/>
    </row>
    <row r="167" ht="15" customHeight="1">
      <c r="A167" s="1"/>
      <c r="B167" s="4" t="s">
        <v>214</v>
      </c>
      <c r="C167" s="52"/>
      <c r="D167" s="52"/>
      <c r="E167" s="52"/>
      <c r="F167" s="52"/>
      <c r="G167" s="52"/>
      <c r="H167" s="52"/>
      <c r="I167" s="52"/>
      <c r="J167" s="53">
        <f>J154+J156+J157+J158+J159+J160+J161+J162+J163+J164+J165+J166</f>
        <v>3453.888</v>
      </c>
      <c r="K167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90C9D1C7-9F2B-3F74-B7FA-DB15F504445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</row>
    <row r="3" ht="15" customHeight="1">
      <c r="A3" s="1"/>
      <c r="B3" s="4" t="s">
        <v>215</v>
      </c>
      <c r="C3" s="1"/>
      <c r="D3" s="1"/>
      <c r="E3" s="1"/>
      <c r="F3" s="1"/>
      <c r="G3" s="1"/>
      <c r="H3" s="1"/>
      <c r="I3" s="1"/>
      <c r="J3" s="1"/>
      <c r="K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</row>
    <row r="5" ht="15" customHeight="1">
      <c r="A5" s="1"/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8" t="s">
        <v>12</v>
      </c>
      <c r="K5" s="6" t="s">
        <v>13</v>
      </c>
    </row>
    <row r="6" ht="15" customHeight="1">
      <c r="A6" s="1"/>
      <c r="B6" s="9" t="s">
        <v>14</v>
      </c>
      <c r="C6" s="10">
        <f>DATE(2025,3,31)</f>
        <v>45747</v>
      </c>
      <c r="D6" s="10">
        <f>DATE(2025,6,30)</f>
        <v>45838</v>
      </c>
      <c r="E6" s="10">
        <f>DATE(2025,9,30)</f>
        <v>45930</v>
      </c>
      <c r="F6" s="10">
        <f t="shared" si="0" ref="F6:I6">DATE(2025,12,31)</f>
        <v>46022</v>
      </c>
      <c r="G6" s="10">
        <f>DATE(2026,3,31)</f>
        <v>46112</v>
      </c>
      <c r="H6" s="10">
        <f>DATE(2026,6,30)</f>
        <v>46203</v>
      </c>
      <c r="I6" s="10">
        <f t="shared" si="0"/>
        <v>46022</v>
      </c>
      <c r="J6" s="11">
        <f>DATE(2026,9,30)</f>
        <v>46295</v>
      </c>
      <c r="K6" s="9"/>
    </row>
    <row r="7" ht="15" customHeight="1">
      <c r="A7" s="1"/>
      <c r="B7" s="12" t="s">
        <v>15</v>
      </c>
      <c r="C7" s="13">
        <f t="shared" si="1" ref="C7:J7">C6-EOMONTH(C6,-3)</f>
        <v>90</v>
      </c>
      <c r="D7" s="13">
        <f t="shared" si="1"/>
        <v>91</v>
      </c>
      <c r="E7" s="13">
        <f t="shared" si="1"/>
        <v>92</v>
      </c>
      <c r="F7" s="13">
        <f t="shared" si="1"/>
        <v>92</v>
      </c>
      <c r="G7" s="13">
        <f t="shared" si="1"/>
        <v>90</v>
      </c>
      <c r="H7" s="13">
        <f t="shared" si="1"/>
        <v>91</v>
      </c>
      <c r="I7" s="13">
        <f>I6-EOMONTH(I6,-12)</f>
        <v>365</v>
      </c>
      <c r="J7" s="14">
        <f t="shared" si="1"/>
        <v>92</v>
      </c>
      <c r="K7" s="12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5"/>
      <c r="K8" s="1"/>
    </row>
    <row r="9" ht="15" customHeight="1">
      <c r="A9" s="1"/>
      <c r="B9" s="16" t="s">
        <v>216</v>
      </c>
      <c r="C9" s="17"/>
      <c r="D9" s="17"/>
      <c r="E9" s="17"/>
      <c r="F9" s="17"/>
      <c r="G9" s="17"/>
      <c r="H9" s="17"/>
      <c r="I9" s="17"/>
      <c r="J9" s="18"/>
      <c r="K9" s="1" t="s">
        <v>217</v>
      </c>
    </row>
    <row r="10" ht="15" customHeight="1">
      <c r="A10" s="1"/>
      <c r="B10" s="19" t="s">
        <v>218</v>
      </c>
      <c r="C10" s="47">
        <v>119</v>
      </c>
      <c r="D10" s="47">
        <v>132</v>
      </c>
      <c r="E10" s="47">
        <v>130</v>
      </c>
      <c r="F10" s="47">
        <v>131</v>
      </c>
      <c r="G10" s="47">
        <v>116</v>
      </c>
      <c r="H10" s="47">
        <v>94</v>
      </c>
      <c r="I10" s="47">
        <v>512</v>
      </c>
      <c r="J10" s="27">
        <f>J19*E10/E16</f>
        <v>99.23240938166312</v>
      </c>
      <c r="K10" s="1"/>
    </row>
    <row r="11" ht="15" customHeight="1">
      <c r="A11" s="1"/>
      <c r="B11" s="28" t="s">
        <v>80</v>
      </c>
      <c r="C11" s="29" t="s">
        <v>41</v>
      </c>
      <c r="D11" s="29" t="s">
        <v>41</v>
      </c>
      <c r="E11" s="29" t="s">
        <v>41</v>
      </c>
      <c r="F11" s="29" t="s">
        <v>41</v>
      </c>
      <c r="G11" s="29">
        <f t="shared" si="2" ref="G11:H84">_xlfn.IFERROR(G10/C10-1,"n.a.")</f>
        <v>-0.025210084033613467</v>
      </c>
      <c r="H11" s="29">
        <f t="shared" si="2"/>
        <v>-0.28787878787878785</v>
      </c>
      <c r="I11" s="29" t="s">
        <v>41</v>
      </c>
      <c r="J11" s="30">
        <f t="shared" si="4" ref="J11:J84">_xlfn.IFERROR(J10/E10-1,"n.a.")</f>
        <v>-0.2366737739872068</v>
      </c>
      <c r="K11" s="1"/>
    </row>
    <row r="12" ht="15" customHeight="1">
      <c r="A12" s="1"/>
      <c r="B12" s="28" t="s">
        <v>93</v>
      </c>
      <c r="C12" s="50" t="s">
        <v>41</v>
      </c>
      <c r="D12" s="50">
        <f t="shared" si="3" ref="D12:H85">_xlfn.IFERROR(D10-C10,"n.a.")</f>
        <v>13</v>
      </c>
      <c r="E12" s="50">
        <f t="shared" si="3"/>
        <v>-2</v>
      </c>
      <c r="F12" s="50">
        <f t="shared" si="3"/>
        <v>1</v>
      </c>
      <c r="G12" s="50">
        <f t="shared" si="3"/>
        <v>-15</v>
      </c>
      <c r="H12" s="50">
        <f t="shared" si="3"/>
        <v>-22</v>
      </c>
      <c r="I12" s="50" t="s">
        <v>41</v>
      </c>
      <c r="J12" s="51">
        <f t="shared" si="5" ref="J12:J85">_xlfn.IFERROR(J10-H10,"n.a.")</f>
        <v>5.232409381663118</v>
      </c>
      <c r="K12" s="1"/>
    </row>
    <row r="13" ht="28.5" customHeight="1">
      <c r="A13" s="1"/>
      <c r="B13" s="24" t="s">
        <v>219</v>
      </c>
      <c r="C13" s="47">
        <v>324</v>
      </c>
      <c r="D13" s="47">
        <v>315</v>
      </c>
      <c r="E13" s="47">
        <v>339</v>
      </c>
      <c r="F13" s="47">
        <v>390</v>
      </c>
      <c r="G13" s="47">
        <v>233</v>
      </c>
      <c r="H13" s="47">
        <v>263</v>
      </c>
      <c r="I13" s="47">
        <v>1368</v>
      </c>
      <c r="J13" s="27">
        <f>J19*E13/E16</f>
        <v>258.7675906183369</v>
      </c>
      <c r="K13" s="1"/>
    </row>
    <row r="14" ht="15" customHeight="1">
      <c r="A14" s="1"/>
      <c r="B14" s="28" t="s">
        <v>80</v>
      </c>
      <c r="C14" s="29" t="s">
        <v>41</v>
      </c>
      <c r="D14" s="29" t="s">
        <v>41</v>
      </c>
      <c r="E14" s="29" t="s">
        <v>41</v>
      </c>
      <c r="F14" s="29" t="s">
        <v>41</v>
      </c>
      <c r="G14" s="29">
        <f t="shared" si="2"/>
        <v>-0.2808641975308642</v>
      </c>
      <c r="H14" s="29">
        <f t="shared" si="2"/>
        <v>-0.16507936507936505</v>
      </c>
      <c r="I14" s="29" t="s">
        <v>41</v>
      </c>
      <c r="J14" s="30">
        <f t="shared" si="4"/>
        <v>-0.2366737739872068</v>
      </c>
      <c r="K14" s="1"/>
    </row>
    <row r="15" ht="15" customHeight="1">
      <c r="A15" s="1"/>
      <c r="B15" s="28" t="s">
        <v>93</v>
      </c>
      <c r="C15" s="50" t="s">
        <v>41</v>
      </c>
      <c r="D15" s="50">
        <f t="shared" si="3"/>
        <v>-9</v>
      </c>
      <c r="E15" s="50">
        <f t="shared" si="3"/>
        <v>24</v>
      </c>
      <c r="F15" s="50">
        <f t="shared" si="3"/>
        <v>51</v>
      </c>
      <c r="G15" s="50">
        <f t="shared" si="3"/>
        <v>-157</v>
      </c>
      <c r="H15" s="50">
        <f t="shared" si="3"/>
        <v>30</v>
      </c>
      <c r="I15" s="50" t="s">
        <v>41</v>
      </c>
      <c r="J15" s="51">
        <f t="shared" si="5"/>
        <v>-4.232409381663103</v>
      </c>
      <c r="K15" s="1"/>
    </row>
    <row r="16" ht="15" customHeight="1">
      <c r="A16" s="1"/>
      <c r="B16" s="4" t="s">
        <v>220</v>
      </c>
      <c r="C16" s="52">
        <f t="shared" si="6" ref="C16:J16">C10+C13</f>
        <v>443</v>
      </c>
      <c r="D16" s="52">
        <f t="shared" si="6"/>
        <v>447</v>
      </c>
      <c r="E16" s="52">
        <f t="shared" si="6"/>
        <v>469</v>
      </c>
      <c r="F16" s="52">
        <f t="shared" si="6"/>
        <v>521</v>
      </c>
      <c r="G16" s="52">
        <f t="shared" si="6"/>
        <v>349</v>
      </c>
      <c r="H16" s="52">
        <f t="shared" si="6"/>
        <v>357</v>
      </c>
      <c r="I16" s="52">
        <f t="shared" si="6"/>
        <v>1880</v>
      </c>
      <c r="J16" s="53">
        <f t="shared" si="6"/>
        <v>358</v>
      </c>
      <c r="K16" s="1"/>
    </row>
    <row r="17" ht="15" customHeight="1">
      <c r="A17" s="1"/>
      <c r="B17" s="28" t="s">
        <v>80</v>
      </c>
      <c r="C17" s="29" t="s">
        <v>41</v>
      </c>
      <c r="D17" s="29" t="s">
        <v>41</v>
      </c>
      <c r="E17" s="29" t="s">
        <v>41</v>
      </c>
      <c r="F17" s="29" t="s">
        <v>41</v>
      </c>
      <c r="G17" s="29">
        <f t="shared" si="2"/>
        <v>-0.21218961625282162</v>
      </c>
      <c r="H17" s="29">
        <f t="shared" si="2"/>
        <v>-0.20134228187919467</v>
      </c>
      <c r="I17" s="29" t="s">
        <v>41</v>
      </c>
      <c r="J17" s="30">
        <f t="shared" si="4"/>
        <v>-0.2366737739872068</v>
      </c>
      <c r="K17" s="1"/>
    </row>
    <row r="18" ht="15" customHeight="1">
      <c r="A18" s="1"/>
      <c r="B18" s="28" t="s">
        <v>93</v>
      </c>
      <c r="C18" s="50" t="s">
        <v>41</v>
      </c>
      <c r="D18" s="50">
        <f t="shared" si="3"/>
        <v>4</v>
      </c>
      <c r="E18" s="50">
        <f t="shared" si="3"/>
        <v>22</v>
      </c>
      <c r="F18" s="50">
        <f t="shared" si="3"/>
        <v>52</v>
      </c>
      <c r="G18" s="50">
        <f t="shared" si="3"/>
        <v>-172</v>
      </c>
      <c r="H18" s="50">
        <f t="shared" si="3"/>
        <v>8</v>
      </c>
      <c r="I18" s="50" t="s">
        <v>41</v>
      </c>
      <c r="J18" s="51">
        <f t="shared" si="5"/>
        <v>1</v>
      </c>
      <c r="K18" s="1"/>
    </row>
    <row r="19" ht="28.5" customHeight="1">
      <c r="A19" s="1"/>
      <c r="B19" s="24" t="s">
        <v>221</v>
      </c>
      <c r="C19" s="47">
        <v>443</v>
      </c>
      <c r="D19" s="47">
        <v>448</v>
      </c>
      <c r="E19" s="47">
        <v>469</v>
      </c>
      <c r="F19" s="47">
        <v>521</v>
      </c>
      <c r="G19" s="47">
        <v>349</v>
      </c>
      <c r="H19" s="47">
        <v>357</v>
      </c>
      <c r="I19" s="47">
        <v>1880</v>
      </c>
      <c r="J19" s="49">
        <v>358</v>
      </c>
      <c r="K19" s="1" t="s">
        <v>222</v>
      </c>
    </row>
    <row r="20" ht="28.5" customHeight="1">
      <c r="A20" s="1"/>
      <c r="B20" s="24" t="s">
        <v>223</v>
      </c>
      <c r="C20" s="26">
        <f t="shared" si="7" ref="C20:J20">_xlfn.IFERROR(IF(ABS(C16-C19)&lt;=2,0,C16-C19),1)</f>
        <v>0</v>
      </c>
      <c r="D20" s="26">
        <f t="shared" si="7"/>
        <v>0</v>
      </c>
      <c r="E20" s="26">
        <f t="shared" si="7"/>
        <v>0</v>
      </c>
      <c r="F20" s="26">
        <f t="shared" si="7"/>
        <v>0</v>
      </c>
      <c r="G20" s="26">
        <f t="shared" si="7"/>
        <v>0</v>
      </c>
      <c r="H20" s="26">
        <f t="shared" si="7"/>
        <v>0</v>
      </c>
      <c r="I20" s="26">
        <f t="shared" si="7"/>
        <v>0</v>
      </c>
      <c r="J20" s="27">
        <f t="shared" si="7"/>
        <v>0</v>
      </c>
      <c r="K20" s="1"/>
    </row>
    <row r="21" ht="15" customHeight="1">
      <c r="A21" s="1"/>
      <c r="B21" s="57" t="s">
        <v>224</v>
      </c>
      <c r="C21" s="29">
        <f t="shared" si="8" ref="C21:J21">_xlfn.IFERROR(C13/C16,"n.a.")</f>
        <v>0.7313769751693002</v>
      </c>
      <c r="D21" s="29">
        <f t="shared" si="8"/>
        <v>0.7046979865771812</v>
      </c>
      <c r="E21" s="29">
        <f t="shared" si="8"/>
        <v>0.7228144989339019</v>
      </c>
      <c r="F21" s="29">
        <f t="shared" si="8"/>
        <v>0.7485604606525912</v>
      </c>
      <c r="G21" s="29">
        <f t="shared" si="8"/>
        <v>0.667621776504298</v>
      </c>
      <c r="H21" s="29">
        <f t="shared" si="8"/>
        <v>0.7366946778711485</v>
      </c>
      <c r="I21" s="29">
        <f t="shared" si="8"/>
        <v>0.7276595744680852</v>
      </c>
      <c r="J21" s="30">
        <f t="shared" si="8"/>
        <v>0.7228144989339019</v>
      </c>
      <c r="K21" s="1"/>
    </row>
    <row r="22" ht="15" customHeight="1">
      <c r="A22" s="1"/>
      <c r="B22" s="28" t="s">
        <v>129</v>
      </c>
      <c r="C22" s="58" t="s">
        <v>41</v>
      </c>
      <c r="D22" s="58" t="s">
        <v>41</v>
      </c>
      <c r="E22" s="58" t="s">
        <v>41</v>
      </c>
      <c r="F22" s="58" t="s">
        <v>41</v>
      </c>
      <c r="G22" s="58">
        <f t="shared" si="9" ref="G22:H87">_xlfn.IFERROR((G21-C21)*10000,"n.a.")</f>
        <v>-637.5519866500223</v>
      </c>
      <c r="H22" s="58">
        <f t="shared" si="9"/>
        <v>319.9669129396732</v>
      </c>
      <c r="I22" s="58" t="s">
        <v>41</v>
      </c>
      <c r="J22" s="59">
        <f t="shared" si="27" ref="J22:J87">_xlfn.IFERROR((J21-E21)*10000,"n.a.")</f>
        <v>0</v>
      </c>
      <c r="K22" s="1"/>
    </row>
    <row r="23" ht="15" customHeight="1">
      <c r="A23" s="1"/>
      <c r="B23" s="28" t="s">
        <v>130</v>
      </c>
      <c r="C23" s="58" t="s">
        <v>41</v>
      </c>
      <c r="D23" s="58">
        <f t="shared" si="10" ref="D23:H88">_xlfn.IFERROR((D21-C21)*10000,"n.a.")</f>
        <v>-266.7898859211904</v>
      </c>
      <c r="E23" s="58">
        <f t="shared" si="10"/>
        <v>181.1651235672074</v>
      </c>
      <c r="F23" s="58">
        <f t="shared" si="10"/>
        <v>257.4596171868926</v>
      </c>
      <c r="G23" s="58">
        <f t="shared" si="10"/>
        <v>-809.3868414829319</v>
      </c>
      <c r="H23" s="58">
        <f t="shared" si="10"/>
        <v>690.7290136685051</v>
      </c>
      <c r="I23" s="58" t="s">
        <v>41</v>
      </c>
      <c r="J23" s="59">
        <f t="shared" si="28" ref="J23:J88">_xlfn.IFERROR((J21-H21)*10000,"n.a.")</f>
        <v>-138.80178937246578</v>
      </c>
      <c r="K23" s="1"/>
    </row>
    <row r="24" ht="15" customHeight="1">
      <c r="A24" s="1"/>
      <c r="B24" s="19" t="s">
        <v>225</v>
      </c>
      <c r="C24" s="47">
        <v>45</v>
      </c>
      <c r="D24" s="47">
        <v>71</v>
      </c>
      <c r="E24" s="47">
        <v>80</v>
      </c>
      <c r="F24" s="47">
        <v>-513</v>
      </c>
      <c r="G24" s="47">
        <v>165</v>
      </c>
      <c r="H24" s="47">
        <v>83</v>
      </c>
      <c r="I24" s="47">
        <v>-316</v>
      </c>
      <c r="J24" s="27">
        <f>J16*J27/1000</f>
        <v>71.6</v>
      </c>
      <c r="K24" s="1"/>
    </row>
    <row r="25" ht="15" customHeight="1">
      <c r="A25" s="1"/>
      <c r="B25" s="28" t="s">
        <v>80</v>
      </c>
      <c r="C25" s="29" t="s">
        <v>41</v>
      </c>
      <c r="D25" s="29" t="s">
        <v>41</v>
      </c>
      <c r="E25" s="29" t="s">
        <v>41</v>
      </c>
      <c r="F25" s="29" t="s">
        <v>41</v>
      </c>
      <c r="G25" s="29">
        <f t="shared" si="2"/>
        <v>2.6666666666666665</v>
      </c>
      <c r="H25" s="29">
        <f t="shared" si="2"/>
        <v>0.16901408450704225</v>
      </c>
      <c r="I25" s="29" t="s">
        <v>41</v>
      </c>
      <c r="J25" s="30">
        <f t="shared" si="4"/>
        <v>-0.1050000000000001</v>
      </c>
      <c r="K25" s="1"/>
    </row>
    <row r="26" ht="15" customHeight="1">
      <c r="A26" s="1"/>
      <c r="B26" s="28" t="s">
        <v>93</v>
      </c>
      <c r="C26" s="50" t="s">
        <v>41</v>
      </c>
      <c r="D26" s="50">
        <f t="shared" si="3"/>
        <v>26</v>
      </c>
      <c r="E26" s="50">
        <f t="shared" si="3"/>
        <v>9</v>
      </c>
      <c r="F26" s="50">
        <f t="shared" si="3"/>
        <v>-593</v>
      </c>
      <c r="G26" s="50">
        <f t="shared" si="3"/>
        <v>678</v>
      </c>
      <c r="H26" s="50">
        <f t="shared" si="3"/>
        <v>-82</v>
      </c>
      <c r="I26" s="50" t="s">
        <v>41</v>
      </c>
      <c r="J26" s="51">
        <f t="shared" si="5"/>
        <v>-11.400000000000006</v>
      </c>
      <c r="K26" s="1"/>
    </row>
    <row r="27" ht="28.5" customHeight="1">
      <c r="A27" s="1"/>
      <c r="B27" s="24" t="s">
        <v>226</v>
      </c>
      <c r="C27" s="26">
        <f t="shared" si="11" ref="C27:I27">_xlfn.IFERROR(C24*1000/C16,"n.a.")</f>
        <v>101.58013544018058</v>
      </c>
      <c r="D27" s="26">
        <f t="shared" si="11"/>
        <v>158.83668903803132</v>
      </c>
      <c r="E27" s="26">
        <f t="shared" si="11"/>
        <v>170.57569296375266</v>
      </c>
      <c r="F27" s="26">
        <f t="shared" si="11"/>
        <v>-984.6449136276392</v>
      </c>
      <c r="G27" s="26">
        <f t="shared" si="11"/>
        <v>472.77936962750715</v>
      </c>
      <c r="H27" s="26">
        <f t="shared" si="11"/>
        <v>232.49299719887955</v>
      </c>
      <c r="I27" s="26">
        <f t="shared" si="11"/>
        <v>-168.08510638297872</v>
      </c>
      <c r="J27" s="49">
        <v>200</v>
      </c>
      <c r="K27" s="1" t="s">
        <v>227</v>
      </c>
    </row>
    <row r="28" ht="15" customHeight="1">
      <c r="A28" s="1"/>
      <c r="B28" s="28" t="s">
        <v>80</v>
      </c>
      <c r="C28" s="29" t="s">
        <v>41</v>
      </c>
      <c r="D28" s="29" t="s">
        <v>41</v>
      </c>
      <c r="E28" s="29" t="s">
        <v>41</v>
      </c>
      <c r="F28" s="29" t="s">
        <v>41</v>
      </c>
      <c r="G28" s="29">
        <f t="shared" si="2"/>
        <v>3.6542502387774594</v>
      </c>
      <c r="H28" s="29">
        <f t="shared" si="2"/>
        <v>0.46372351757604435</v>
      </c>
      <c r="I28" s="29" t="s">
        <v>41</v>
      </c>
      <c r="J28" s="30">
        <f t="shared" si="4"/>
        <v>0.1725000000000001</v>
      </c>
      <c r="K28" s="1"/>
    </row>
    <row r="29" ht="15" customHeight="1">
      <c r="A29" s="1"/>
      <c r="B29" s="28" t="s">
        <v>93</v>
      </c>
      <c r="C29" s="50" t="s">
        <v>41</v>
      </c>
      <c r="D29" s="50">
        <f t="shared" si="3"/>
        <v>57.25655359785074</v>
      </c>
      <c r="E29" s="50">
        <f t="shared" si="3"/>
        <v>11.739003925721335</v>
      </c>
      <c r="F29" s="50">
        <f t="shared" si="3"/>
        <v>-1155.220606591392</v>
      </c>
      <c r="G29" s="50">
        <f t="shared" si="3"/>
        <v>1457.4242832551463</v>
      </c>
      <c r="H29" s="50">
        <f t="shared" si="3"/>
        <v>-240.2863724286276</v>
      </c>
      <c r="I29" s="50" t="s">
        <v>41</v>
      </c>
      <c r="J29" s="51">
        <f t="shared" si="5"/>
        <v>-32.49299719887955</v>
      </c>
      <c r="K29" s="1"/>
    </row>
    <row r="30" ht="15" customHeight="1">
      <c r="A30" s="1"/>
      <c r="B30" s="1"/>
      <c r="C30" s="17"/>
      <c r="D30" s="17"/>
      <c r="E30" s="17"/>
      <c r="F30" s="17"/>
      <c r="G30" s="17"/>
      <c r="H30" s="17"/>
      <c r="I30" s="17"/>
      <c r="J30" s="18"/>
      <c r="K30" s="1"/>
    </row>
    <row r="31" ht="15" customHeight="1">
      <c r="A31" s="1"/>
      <c r="B31" s="16" t="s">
        <v>228</v>
      </c>
      <c r="C31" s="17"/>
      <c r="D31" s="17"/>
      <c r="E31" s="17"/>
      <c r="F31" s="17"/>
      <c r="G31" s="17"/>
      <c r="H31" s="17"/>
      <c r="I31" s="17"/>
      <c r="J31" s="18"/>
      <c r="K31" s="1"/>
    </row>
    <row r="32" ht="28.5" customHeight="1">
      <c r="A32" s="1"/>
      <c r="B32" s="55" t="s">
        <v>229</v>
      </c>
      <c r="C32" s="61">
        <v>85</v>
      </c>
      <c r="D32" s="61">
        <v>125</v>
      </c>
      <c r="E32" s="61">
        <v>137</v>
      </c>
      <c r="F32" s="61">
        <v>157</v>
      </c>
      <c r="G32" s="61">
        <v>106</v>
      </c>
      <c r="H32" s="61">
        <v>142</v>
      </c>
      <c r="I32" s="61">
        <v>503</v>
      </c>
      <c r="J32" s="53">
        <f t="shared" si="17" ref="J32:J43">E32*(1+J33)</f>
        <v>141.11</v>
      </c>
      <c r="K32" s="1" t="s">
        <v>230</v>
      </c>
    </row>
    <row r="33" ht="15" customHeight="1">
      <c r="A33" s="1"/>
      <c r="B33" s="28" t="s">
        <v>80</v>
      </c>
      <c r="C33" s="29" t="s">
        <v>41</v>
      </c>
      <c r="D33" s="29" t="s">
        <v>41</v>
      </c>
      <c r="E33" s="29" t="s">
        <v>41</v>
      </c>
      <c r="F33" s="29" t="s">
        <v>41</v>
      </c>
      <c r="G33" s="29">
        <f t="shared" si="2"/>
        <v>0.24705882352941178</v>
      </c>
      <c r="H33" s="29">
        <f t="shared" si="2"/>
        <v>0.1359999999999999</v>
      </c>
      <c r="I33" s="29" t="s">
        <v>41</v>
      </c>
      <c r="J33" s="56">
        <v>0.03</v>
      </c>
      <c r="K33" s="1"/>
    </row>
    <row r="34" ht="15" customHeight="1">
      <c r="A34" s="1"/>
      <c r="B34" s="28" t="s">
        <v>93</v>
      </c>
      <c r="C34" s="50" t="s">
        <v>41</v>
      </c>
      <c r="D34" s="50">
        <f t="shared" si="3"/>
        <v>40</v>
      </c>
      <c r="E34" s="50">
        <f t="shared" si="3"/>
        <v>12</v>
      </c>
      <c r="F34" s="50">
        <f t="shared" si="3"/>
        <v>20</v>
      </c>
      <c r="G34" s="50">
        <f t="shared" si="3"/>
        <v>-51</v>
      </c>
      <c r="H34" s="50">
        <f t="shared" si="3"/>
        <v>36</v>
      </c>
      <c r="I34" s="50" t="s">
        <v>41</v>
      </c>
      <c r="J34" s="51">
        <f t="shared" si="5"/>
        <v>-0.8899999999999864</v>
      </c>
      <c r="K34" s="1"/>
    </row>
    <row r="35" ht="15" customHeight="1">
      <c r="A35" s="1"/>
      <c r="B35" s="19" t="s">
        <v>157</v>
      </c>
      <c r="C35" s="47">
        <v>2125</v>
      </c>
      <c r="D35" s="47">
        <v>3075</v>
      </c>
      <c r="E35" s="47">
        <v>3355</v>
      </c>
      <c r="F35" s="26">
        <f>F70-F46-F54</f>
        <v>3736</v>
      </c>
      <c r="G35" s="47">
        <v>2571</v>
      </c>
      <c r="H35" s="47">
        <v>3396</v>
      </c>
      <c r="I35" s="47">
        <v>12290</v>
      </c>
      <c r="J35" s="27">
        <f>J32*J43</f>
        <v>3386.537</v>
      </c>
      <c r="K35" s="1" t="s">
        <v>158</v>
      </c>
    </row>
    <row r="36" ht="15" customHeight="1">
      <c r="A36" s="1"/>
      <c r="B36" s="28" t="s">
        <v>80</v>
      </c>
      <c r="C36" s="29" t="s">
        <v>41</v>
      </c>
      <c r="D36" s="29" t="s">
        <v>41</v>
      </c>
      <c r="E36" s="29" t="s">
        <v>41</v>
      </c>
      <c r="F36" s="29" t="s">
        <v>41</v>
      </c>
      <c r="G36" s="29">
        <f t="shared" si="2"/>
        <v>0.2098823529411764</v>
      </c>
      <c r="H36" s="29">
        <f t="shared" si="2"/>
        <v>0.10439024390243912</v>
      </c>
      <c r="I36" s="29" t="s">
        <v>41</v>
      </c>
      <c r="J36" s="30">
        <f t="shared" si="4"/>
        <v>0.009399999999999853</v>
      </c>
      <c r="K36" s="1"/>
    </row>
    <row r="37" ht="15" customHeight="1">
      <c r="A37" s="1"/>
      <c r="B37" s="28" t="s">
        <v>81</v>
      </c>
      <c r="C37" s="29" t="s">
        <v>41</v>
      </c>
      <c r="D37" s="29">
        <f t="shared" si="12" ref="D37:H64">_xlfn.IFERROR(D35/C35-1,"n.a.")</f>
        <v>0.44705882352941173</v>
      </c>
      <c r="E37" s="29">
        <f t="shared" si="12"/>
        <v>0.0910569105691057</v>
      </c>
      <c r="F37" s="29">
        <f t="shared" si="12"/>
        <v>0.11356184798807756</v>
      </c>
      <c r="G37" s="29">
        <f t="shared" si="12"/>
        <v>-0.311830835117773</v>
      </c>
      <c r="H37" s="29">
        <f t="shared" si="12"/>
        <v>0.3208868144690782</v>
      </c>
      <c r="I37" s="29" t="s">
        <v>41</v>
      </c>
      <c r="J37" s="30">
        <f t="shared" si="18" ref="J37:J64">_xlfn.IFERROR(J35/H35-1,"n.a.")</f>
        <v>-0.0027865135453475354</v>
      </c>
      <c r="K37" s="1"/>
    </row>
    <row r="38" ht="15" customHeight="1">
      <c r="A38" s="1"/>
      <c r="B38" s="28" t="s">
        <v>82</v>
      </c>
      <c r="C38" s="29">
        <f t="shared" si="13" ref="C38:J38">_xlfn.IFERROR(C35/C62,"n.a.")</f>
        <v>0.8755665430572723</v>
      </c>
      <c r="D38" s="29">
        <f t="shared" si="13"/>
        <v>0.9242560865644724</v>
      </c>
      <c r="E38" s="29">
        <f t="shared" si="13"/>
        <v>0.9204389574759945</v>
      </c>
      <c r="F38" s="29">
        <f t="shared" si="13"/>
        <v>0.9272772400099281</v>
      </c>
      <c r="G38" s="29">
        <f t="shared" si="13"/>
        <v>0.8992654774396642</v>
      </c>
      <c r="H38" s="29">
        <f t="shared" si="13"/>
        <v>0.9200758602004877</v>
      </c>
      <c r="I38" s="29">
        <f t="shared" si="13"/>
        <v>0.9153198778580472</v>
      </c>
      <c r="J38" s="30">
        <f t="shared" si="13"/>
        <v>0.9198704236844557</v>
      </c>
      <c r="K38" s="1"/>
    </row>
    <row r="39" ht="15" customHeight="1">
      <c r="A39" s="1"/>
      <c r="B39" s="28" t="s">
        <v>83</v>
      </c>
      <c r="C39" s="29" t="s">
        <v>84</v>
      </c>
      <c r="D39" s="29" t="s">
        <v>84</v>
      </c>
      <c r="E39" s="29" t="s">
        <v>84</v>
      </c>
      <c r="F39" s="29" t="s">
        <v>84</v>
      </c>
      <c r="G39" s="29" t="s">
        <v>84</v>
      </c>
      <c r="H39" s="29" t="s">
        <v>84</v>
      </c>
      <c r="I39" s="29" t="s">
        <v>84</v>
      </c>
      <c r="J39" s="30" t="s">
        <v>84</v>
      </c>
      <c r="K39" s="1" t="s">
        <v>85</v>
      </c>
    </row>
    <row r="40" ht="15" customHeight="1">
      <c r="A40" s="1"/>
      <c r="B40" s="28" t="s">
        <v>86</v>
      </c>
      <c r="C40" s="29" t="s">
        <v>84</v>
      </c>
      <c r="D40" s="29" t="s">
        <v>84</v>
      </c>
      <c r="E40" s="29" t="s">
        <v>84</v>
      </c>
      <c r="F40" s="29" t="s">
        <v>84</v>
      </c>
      <c r="G40" s="29" t="s">
        <v>84</v>
      </c>
      <c r="H40" s="29" t="s">
        <v>84</v>
      </c>
      <c r="I40" s="29" t="s">
        <v>84</v>
      </c>
      <c r="J40" s="30" t="s">
        <v>84</v>
      </c>
      <c r="K40" s="1" t="s">
        <v>87</v>
      </c>
    </row>
    <row r="41" ht="15" customHeight="1">
      <c r="A41" s="1"/>
      <c r="B41" s="28" t="s">
        <v>88</v>
      </c>
      <c r="C41" s="29" t="str">
        <f t="shared" si="14" ref="C41:J68">IF(AND(ISNUMBER(C36),ISNUMBER(C39),ISNUMBER(C40)),(1+C36)/((1+C39)*(1+C40))-1,"Unavailable")</f>
        <v>Unavailable</v>
      </c>
      <c r="D41" s="29" t="str">
        <f t="shared" si="14"/>
        <v>Unavailable</v>
      </c>
      <c r="E41" s="29" t="str">
        <f t="shared" si="14"/>
        <v>Unavailable</v>
      </c>
      <c r="F41" s="29" t="str">
        <f t="shared" si="14"/>
        <v>Unavailable</v>
      </c>
      <c r="G41" s="29" t="str">
        <f t="shared" si="14"/>
        <v>Unavailable</v>
      </c>
      <c r="H41" s="29" t="str">
        <f t="shared" si="14"/>
        <v>Unavailable</v>
      </c>
      <c r="I41" s="29" t="str">
        <f t="shared" si="14"/>
        <v>Unavailable</v>
      </c>
      <c r="J41" s="30" t="str">
        <f t="shared" si="14"/>
        <v>Unavailable</v>
      </c>
      <c r="K41" s="1"/>
    </row>
    <row r="42" ht="15" customHeight="1">
      <c r="A42" s="1"/>
      <c r="B42" s="28" t="s">
        <v>89</v>
      </c>
      <c r="C42" s="29" t="str">
        <f t="shared" si="15" ref="C42:J69">C36</f>
        <v>n.a.</v>
      </c>
      <c r="D42" s="29" t="str">
        <f t="shared" si="15"/>
        <v>n.a.</v>
      </c>
      <c r="E42" s="29" t="str">
        <f t="shared" si="15"/>
        <v>n.a.</v>
      </c>
      <c r="F42" s="29" t="str">
        <f t="shared" si="15"/>
        <v>n.a.</v>
      </c>
      <c r="G42" s="29">
        <f t="shared" si="15"/>
        <v>0.2098823529411764</v>
      </c>
      <c r="H42" s="29">
        <f t="shared" si="15"/>
        <v>0.10439024390243912</v>
      </c>
      <c r="I42" s="29" t="str">
        <f t="shared" si="15"/>
        <v>n.a.</v>
      </c>
      <c r="J42" s="30">
        <f t="shared" si="15"/>
        <v>0.009399999999999853</v>
      </c>
      <c r="K42" s="1"/>
    </row>
    <row r="43" ht="28.5" customHeight="1">
      <c r="A43" s="1"/>
      <c r="B43" s="46" t="s">
        <v>159</v>
      </c>
      <c r="C43" s="63">
        <f t="shared" si="16" ref="C43:I43">_xlfn.IFERROR(C35/C32,"n.a.")</f>
        <v>25</v>
      </c>
      <c r="D43" s="63">
        <f t="shared" si="16"/>
        <v>24.6</v>
      </c>
      <c r="E43" s="63">
        <f t="shared" si="16"/>
        <v>24.48905109489051</v>
      </c>
      <c r="F43" s="63">
        <f t="shared" si="16"/>
        <v>23.796178343949045</v>
      </c>
      <c r="G43" s="63">
        <f t="shared" si="16"/>
        <v>24.254716981132077</v>
      </c>
      <c r="H43" s="63">
        <f t="shared" si="16"/>
        <v>23.91549295774648</v>
      </c>
      <c r="I43" s="63">
        <f t="shared" si="16"/>
        <v>24.433399602385688</v>
      </c>
      <c r="J43" s="64">
        <f t="shared" si="17"/>
        <v>23.999270072992697</v>
      </c>
      <c r="K43" s="1"/>
    </row>
    <row r="44" ht="15" customHeight="1">
      <c r="A44" s="1"/>
      <c r="B44" s="28" t="s">
        <v>80</v>
      </c>
      <c r="C44" s="29" t="s">
        <v>41</v>
      </c>
      <c r="D44" s="29" t="s">
        <v>41</v>
      </c>
      <c r="E44" s="29" t="s">
        <v>41</v>
      </c>
      <c r="F44" s="29" t="s">
        <v>41</v>
      </c>
      <c r="G44" s="29">
        <f t="shared" si="2"/>
        <v>-0.02981132075471693</v>
      </c>
      <c r="H44" s="29">
        <f t="shared" si="2"/>
        <v>-0.027825489522500857</v>
      </c>
      <c r="I44" s="29" t="s">
        <v>41</v>
      </c>
      <c r="J44" s="56">
        <v>-0.02</v>
      </c>
      <c r="K44" s="1"/>
    </row>
    <row r="45" ht="15" customHeight="1">
      <c r="A45" s="1"/>
      <c r="B45" s="28" t="s">
        <v>93</v>
      </c>
      <c r="C45" s="65" t="s">
        <v>41</v>
      </c>
      <c r="D45" s="65">
        <f t="shared" si="3"/>
        <v>-0.3999999999999986</v>
      </c>
      <c r="E45" s="65">
        <f t="shared" si="3"/>
        <v>-0.11094890510949185</v>
      </c>
      <c r="F45" s="65">
        <f t="shared" si="3"/>
        <v>-0.6928727509414649</v>
      </c>
      <c r="G45" s="65">
        <f t="shared" si="3"/>
        <v>0.45853863718303245</v>
      </c>
      <c r="H45" s="65">
        <f t="shared" si="3"/>
        <v>-0.3392240233855972</v>
      </c>
      <c r="I45" s="65" t="s">
        <v>41</v>
      </c>
      <c r="J45" s="66">
        <f t="shared" si="5"/>
        <v>0.08377711524621745</v>
      </c>
      <c r="K45" s="1"/>
    </row>
    <row r="46" ht="15" customHeight="1">
      <c r="A46" s="1"/>
      <c r="B46" s="19" t="s">
        <v>161</v>
      </c>
      <c r="C46" s="47">
        <v>8</v>
      </c>
      <c r="D46" s="47">
        <v>9</v>
      </c>
      <c r="E46" s="47">
        <v>8</v>
      </c>
      <c r="F46" s="26">
        <f t="shared" si="20" ref="F46:F54">I46-C46-D46-E46</f>
        <v>12</v>
      </c>
      <c r="G46" s="47">
        <v>9</v>
      </c>
      <c r="H46" s="47">
        <v>11</v>
      </c>
      <c r="I46" s="47">
        <v>37</v>
      </c>
      <c r="J46" s="49">
        <v>10</v>
      </c>
      <c r="K46" s="1"/>
    </row>
    <row r="47" ht="15" customHeight="1">
      <c r="A47" s="1"/>
      <c r="B47" s="28" t="s">
        <v>80</v>
      </c>
      <c r="C47" s="29" t="s">
        <v>41</v>
      </c>
      <c r="D47" s="29" t="s">
        <v>41</v>
      </c>
      <c r="E47" s="29" t="s">
        <v>41</v>
      </c>
      <c r="F47" s="29" t="s">
        <v>41</v>
      </c>
      <c r="G47" s="29">
        <f t="shared" si="2"/>
        <v>0.125</v>
      </c>
      <c r="H47" s="29">
        <f t="shared" si="2"/>
        <v>0.22222222222222232</v>
      </c>
      <c r="I47" s="29" t="s">
        <v>41</v>
      </c>
      <c r="J47" s="30">
        <f t="shared" si="4"/>
        <v>0.25</v>
      </c>
      <c r="K47" s="1"/>
    </row>
    <row r="48" ht="15" customHeight="1">
      <c r="A48" s="1"/>
      <c r="B48" s="28" t="s">
        <v>81</v>
      </c>
      <c r="C48" s="29" t="s">
        <v>41</v>
      </c>
      <c r="D48" s="29">
        <f t="shared" si="12"/>
        <v>0.125</v>
      </c>
      <c r="E48" s="29">
        <f t="shared" si="12"/>
        <v>-0.11111111111111116</v>
      </c>
      <c r="F48" s="29">
        <f t="shared" si="12"/>
        <v>0.5</v>
      </c>
      <c r="G48" s="29">
        <f t="shared" si="12"/>
        <v>-0.25</v>
      </c>
      <c r="H48" s="29">
        <f t="shared" si="12"/>
        <v>0.22222222222222232</v>
      </c>
      <c r="I48" s="29" t="s">
        <v>41</v>
      </c>
      <c r="J48" s="30">
        <f t="shared" si="18"/>
        <v>-0.09090909090909094</v>
      </c>
      <c r="K48" s="1"/>
    </row>
    <row r="49" ht="15" customHeight="1">
      <c r="A49" s="1"/>
      <c r="B49" s="28" t="s">
        <v>82</v>
      </c>
      <c r="C49" s="29">
        <f t="shared" si="19" ref="C49:J49">_xlfn.IFERROR(C46/C62,"n.a.")</f>
        <v>0.003296250515039143</v>
      </c>
      <c r="D49" s="29">
        <f t="shared" si="19"/>
        <v>0.002705139765554554</v>
      </c>
      <c r="E49" s="29">
        <f t="shared" si="19"/>
        <v>0.0021947873799725653</v>
      </c>
      <c r="F49" s="29">
        <f t="shared" si="19"/>
        <v>0.0029784065524944155</v>
      </c>
      <c r="G49" s="29">
        <f t="shared" si="19"/>
        <v>0.0031479538300104933</v>
      </c>
      <c r="H49" s="29">
        <f t="shared" si="19"/>
        <v>0.002980222162015714</v>
      </c>
      <c r="I49" s="29">
        <f t="shared" si="19"/>
        <v>0.0027556416176361064</v>
      </c>
      <c r="J49" s="30">
        <f t="shared" si="19"/>
        <v>0.002716256824255739</v>
      </c>
      <c r="K49" s="1"/>
    </row>
    <row r="50" ht="15" customHeight="1">
      <c r="A50" s="1"/>
      <c r="B50" s="28" t="s">
        <v>83</v>
      </c>
      <c r="C50" s="29" t="s">
        <v>84</v>
      </c>
      <c r="D50" s="29" t="s">
        <v>84</v>
      </c>
      <c r="E50" s="29" t="s">
        <v>84</v>
      </c>
      <c r="F50" s="29" t="s">
        <v>84</v>
      </c>
      <c r="G50" s="29" t="s">
        <v>84</v>
      </c>
      <c r="H50" s="29" t="s">
        <v>84</v>
      </c>
      <c r="I50" s="29" t="s">
        <v>84</v>
      </c>
      <c r="J50" s="30" t="s">
        <v>84</v>
      </c>
      <c r="K50" s="1" t="s">
        <v>85</v>
      </c>
    </row>
    <row r="51" ht="15" customHeight="1">
      <c r="A51" s="1"/>
      <c r="B51" s="28" t="s">
        <v>86</v>
      </c>
      <c r="C51" s="29" t="s">
        <v>84</v>
      </c>
      <c r="D51" s="29" t="s">
        <v>84</v>
      </c>
      <c r="E51" s="29" t="s">
        <v>84</v>
      </c>
      <c r="F51" s="29" t="s">
        <v>84</v>
      </c>
      <c r="G51" s="29" t="s">
        <v>84</v>
      </c>
      <c r="H51" s="29" t="s">
        <v>84</v>
      </c>
      <c r="I51" s="29" t="s">
        <v>84</v>
      </c>
      <c r="J51" s="30" t="s">
        <v>84</v>
      </c>
      <c r="K51" s="1" t="s">
        <v>87</v>
      </c>
    </row>
    <row r="52" ht="15" customHeight="1">
      <c r="A52" s="1"/>
      <c r="B52" s="28" t="s">
        <v>88</v>
      </c>
      <c r="C52" s="29" t="str">
        <f t="shared" si="14"/>
        <v>Unavailable</v>
      </c>
      <c r="D52" s="29" t="str">
        <f t="shared" si="14"/>
        <v>Unavailable</v>
      </c>
      <c r="E52" s="29" t="str">
        <f t="shared" si="14"/>
        <v>Unavailable</v>
      </c>
      <c r="F52" s="29" t="str">
        <f t="shared" si="14"/>
        <v>Unavailable</v>
      </c>
      <c r="G52" s="29" t="str">
        <f t="shared" si="14"/>
        <v>Unavailable</v>
      </c>
      <c r="H52" s="29" t="str">
        <f t="shared" si="14"/>
        <v>Unavailable</v>
      </c>
      <c r="I52" s="29" t="str">
        <f t="shared" si="14"/>
        <v>Unavailable</v>
      </c>
      <c r="J52" s="30" t="str">
        <f t="shared" si="14"/>
        <v>Unavailable</v>
      </c>
      <c r="K52" s="1"/>
    </row>
    <row r="53" ht="15" customHeight="1">
      <c r="A53" s="1"/>
      <c r="B53" s="28" t="s">
        <v>89</v>
      </c>
      <c r="C53" s="29" t="str">
        <f t="shared" si="15"/>
        <v>n.a.</v>
      </c>
      <c r="D53" s="29" t="str">
        <f t="shared" si="15"/>
        <v>n.a.</v>
      </c>
      <c r="E53" s="29" t="str">
        <f t="shared" si="15"/>
        <v>n.a.</v>
      </c>
      <c r="F53" s="29" t="str">
        <f t="shared" si="15"/>
        <v>n.a.</v>
      </c>
      <c r="G53" s="29">
        <f t="shared" si="15"/>
        <v>0.125</v>
      </c>
      <c r="H53" s="29">
        <f t="shared" si="15"/>
        <v>0.22222222222222232</v>
      </c>
      <c r="I53" s="29" t="str">
        <f t="shared" si="15"/>
        <v>n.a.</v>
      </c>
      <c r="J53" s="30">
        <f t="shared" si="15"/>
        <v>0.25</v>
      </c>
      <c r="K53" s="1"/>
    </row>
    <row r="54" ht="15" customHeight="1">
      <c r="A54" s="1"/>
      <c r="B54" s="19" t="s">
        <v>231</v>
      </c>
      <c r="C54" s="47">
        <v>294</v>
      </c>
      <c r="D54" s="47">
        <v>243</v>
      </c>
      <c r="E54" s="47">
        <v>282</v>
      </c>
      <c r="F54" s="26">
        <f t="shared" si="20"/>
        <v>281</v>
      </c>
      <c r="G54" s="47">
        <v>279</v>
      </c>
      <c r="H54" s="47">
        <v>284</v>
      </c>
      <c r="I54" s="47">
        <v>1100</v>
      </c>
      <c r="J54" s="49">
        <v>285</v>
      </c>
      <c r="K54" s="1"/>
    </row>
    <row r="55" ht="15" customHeight="1">
      <c r="A55" s="1"/>
      <c r="B55" s="28" t="s">
        <v>80</v>
      </c>
      <c r="C55" s="29" t="s">
        <v>41</v>
      </c>
      <c r="D55" s="29" t="s">
        <v>41</v>
      </c>
      <c r="E55" s="29" t="s">
        <v>41</v>
      </c>
      <c r="F55" s="29" t="s">
        <v>41</v>
      </c>
      <c r="G55" s="29">
        <f t="shared" si="2"/>
        <v>-0.05102040816326525</v>
      </c>
      <c r="H55" s="29">
        <f t="shared" si="2"/>
        <v>0.16872427983539096</v>
      </c>
      <c r="I55" s="29" t="s">
        <v>41</v>
      </c>
      <c r="J55" s="30">
        <f t="shared" si="4"/>
        <v>0.010638297872340496</v>
      </c>
      <c r="K55" s="1"/>
    </row>
    <row r="56" ht="15" customHeight="1">
      <c r="A56" s="1"/>
      <c r="B56" s="28" t="s">
        <v>81</v>
      </c>
      <c r="C56" s="29" t="s">
        <v>41</v>
      </c>
      <c r="D56" s="29">
        <f t="shared" si="12"/>
        <v>-0.173469387755102</v>
      </c>
      <c r="E56" s="29">
        <f t="shared" si="12"/>
        <v>0.16049382716049387</v>
      </c>
      <c r="F56" s="29">
        <f t="shared" si="12"/>
        <v>-0.0035460992907800915</v>
      </c>
      <c r="G56" s="29">
        <f t="shared" si="12"/>
        <v>-0.007117437722419906</v>
      </c>
      <c r="H56" s="29">
        <f t="shared" si="12"/>
        <v>0.017921146953405076</v>
      </c>
      <c r="I56" s="29" t="s">
        <v>41</v>
      </c>
      <c r="J56" s="30">
        <f t="shared" si="18"/>
        <v>0.0035211267605634866</v>
      </c>
      <c r="K56" s="1"/>
    </row>
    <row r="57" ht="15" customHeight="1">
      <c r="A57" s="1"/>
      <c r="B57" s="28" t="s">
        <v>82</v>
      </c>
      <c r="C57" s="29">
        <f t="shared" si="21" ref="C57:J57">_xlfn.IFERROR(C54/C62,"n.a.")</f>
        <v>0.1211372064276885</v>
      </c>
      <c r="D57" s="29">
        <f t="shared" si="21"/>
        <v>0.07303877366997295</v>
      </c>
      <c r="E57" s="29">
        <f t="shared" si="21"/>
        <v>0.07736625514403292</v>
      </c>
      <c r="F57" s="29">
        <f t="shared" si="21"/>
        <v>0.06974435343757757</v>
      </c>
      <c r="G57" s="29">
        <f t="shared" si="21"/>
        <v>0.09758656873032528</v>
      </c>
      <c r="H57" s="29">
        <f t="shared" si="21"/>
        <v>0.07694391763749661</v>
      </c>
      <c r="I57" s="29">
        <f t="shared" si="21"/>
        <v>0.08192448052431668</v>
      </c>
      <c r="J57" s="30">
        <f t="shared" si="21"/>
        <v>0.07741331949128856</v>
      </c>
      <c r="K57" s="1"/>
    </row>
    <row r="58" ht="15" customHeight="1">
      <c r="A58" s="1"/>
      <c r="B58" s="28" t="s">
        <v>83</v>
      </c>
      <c r="C58" s="29" t="s">
        <v>84</v>
      </c>
      <c r="D58" s="29" t="s">
        <v>84</v>
      </c>
      <c r="E58" s="29" t="s">
        <v>84</v>
      </c>
      <c r="F58" s="29" t="s">
        <v>84</v>
      </c>
      <c r="G58" s="29" t="s">
        <v>84</v>
      </c>
      <c r="H58" s="29" t="s">
        <v>84</v>
      </c>
      <c r="I58" s="29" t="s">
        <v>84</v>
      </c>
      <c r="J58" s="30" t="s">
        <v>84</v>
      </c>
      <c r="K58" s="1" t="s">
        <v>85</v>
      </c>
    </row>
    <row r="59" ht="15" customHeight="1">
      <c r="A59" s="1"/>
      <c r="B59" s="28" t="s">
        <v>86</v>
      </c>
      <c r="C59" s="29" t="s">
        <v>84</v>
      </c>
      <c r="D59" s="29" t="s">
        <v>84</v>
      </c>
      <c r="E59" s="29" t="s">
        <v>84</v>
      </c>
      <c r="F59" s="29" t="s">
        <v>84</v>
      </c>
      <c r="G59" s="29" t="s">
        <v>84</v>
      </c>
      <c r="H59" s="29" t="s">
        <v>84</v>
      </c>
      <c r="I59" s="29" t="s">
        <v>84</v>
      </c>
      <c r="J59" s="30" t="s">
        <v>84</v>
      </c>
      <c r="K59" s="1" t="s">
        <v>87</v>
      </c>
    </row>
    <row r="60" ht="15" customHeight="1">
      <c r="A60" s="1"/>
      <c r="B60" s="28" t="s">
        <v>88</v>
      </c>
      <c r="C60" s="29" t="str">
        <f t="shared" si="14"/>
        <v>Unavailable</v>
      </c>
      <c r="D60" s="29" t="str">
        <f t="shared" si="14"/>
        <v>Unavailable</v>
      </c>
      <c r="E60" s="29" t="str">
        <f t="shared" si="14"/>
        <v>Unavailable</v>
      </c>
      <c r="F60" s="29" t="str">
        <f t="shared" si="14"/>
        <v>Unavailable</v>
      </c>
      <c r="G60" s="29" t="str">
        <f t="shared" si="14"/>
        <v>Unavailable</v>
      </c>
      <c r="H60" s="29" t="str">
        <f t="shared" si="14"/>
        <v>Unavailable</v>
      </c>
      <c r="I60" s="29" t="str">
        <f t="shared" si="14"/>
        <v>Unavailable</v>
      </c>
      <c r="J60" s="30" t="str">
        <f t="shared" si="14"/>
        <v>Unavailable</v>
      </c>
      <c r="K60" s="1"/>
    </row>
    <row r="61" ht="15" customHeight="1">
      <c r="A61" s="1"/>
      <c r="B61" s="28" t="s">
        <v>89</v>
      </c>
      <c r="C61" s="29" t="str">
        <f t="shared" si="15"/>
        <v>n.a.</v>
      </c>
      <c r="D61" s="29" t="str">
        <f t="shared" si="15"/>
        <v>n.a.</v>
      </c>
      <c r="E61" s="29" t="str">
        <f t="shared" si="15"/>
        <v>n.a.</v>
      </c>
      <c r="F61" s="29" t="str">
        <f t="shared" si="15"/>
        <v>n.a.</v>
      </c>
      <c r="G61" s="29">
        <f t="shared" si="15"/>
        <v>-0.05102040816326525</v>
      </c>
      <c r="H61" s="29">
        <f t="shared" si="15"/>
        <v>0.16872427983539096</v>
      </c>
      <c r="I61" s="29" t="str">
        <f t="shared" si="15"/>
        <v>n.a.</v>
      </c>
      <c r="J61" s="30">
        <f t="shared" si="15"/>
        <v>0.010638297872340496</v>
      </c>
      <c r="K61" s="1"/>
    </row>
    <row r="62" ht="15" customHeight="1">
      <c r="A62" s="1"/>
      <c r="B62" s="4" t="s">
        <v>232</v>
      </c>
      <c r="C62" s="52">
        <f t="shared" si="22" ref="C62:J62">C35+C46+C54</f>
        <v>2427</v>
      </c>
      <c r="D62" s="52">
        <f t="shared" si="22"/>
        <v>3327</v>
      </c>
      <c r="E62" s="52">
        <f t="shared" si="22"/>
        <v>3645</v>
      </c>
      <c r="F62" s="52">
        <f t="shared" si="22"/>
        <v>4029</v>
      </c>
      <c r="G62" s="52">
        <f t="shared" si="22"/>
        <v>2859</v>
      </c>
      <c r="H62" s="52">
        <f t="shared" si="22"/>
        <v>3691</v>
      </c>
      <c r="I62" s="52">
        <f t="shared" si="22"/>
        <v>13427</v>
      </c>
      <c r="J62" s="53">
        <f t="shared" si="22"/>
        <v>3681.537</v>
      </c>
      <c r="K62" s="1"/>
    </row>
    <row r="63" ht="15" customHeight="1">
      <c r="A63" s="1"/>
      <c r="B63" s="28" t="s">
        <v>80</v>
      </c>
      <c r="C63" s="29" t="s">
        <v>41</v>
      </c>
      <c r="D63" s="29" t="s">
        <v>41</v>
      </c>
      <c r="E63" s="29" t="s">
        <v>41</v>
      </c>
      <c r="F63" s="29" t="s">
        <v>41</v>
      </c>
      <c r="G63" s="29">
        <f t="shared" si="2"/>
        <v>0.17799752781211375</v>
      </c>
      <c r="H63" s="29">
        <f t="shared" si="2"/>
        <v>0.10940787496242854</v>
      </c>
      <c r="I63" s="29" t="s">
        <v>41</v>
      </c>
      <c r="J63" s="30">
        <f t="shared" si="4"/>
        <v>0.010023868312757145</v>
      </c>
      <c r="K63" s="1"/>
    </row>
    <row r="64" ht="15" customHeight="1">
      <c r="A64" s="1"/>
      <c r="B64" s="28" t="s">
        <v>81</v>
      </c>
      <c r="C64" s="29" t="s">
        <v>41</v>
      </c>
      <c r="D64" s="29">
        <f t="shared" si="12"/>
        <v>0.37082818294190356</v>
      </c>
      <c r="E64" s="29">
        <f t="shared" si="12"/>
        <v>0.09558160504959412</v>
      </c>
      <c r="F64" s="29">
        <f t="shared" si="12"/>
        <v>0.10534979423868318</v>
      </c>
      <c r="G64" s="29">
        <f t="shared" si="12"/>
        <v>-0.2903946388682055</v>
      </c>
      <c r="H64" s="29">
        <f t="shared" si="12"/>
        <v>0.29101084295208124</v>
      </c>
      <c r="I64" s="29" t="s">
        <v>41</v>
      </c>
      <c r="J64" s="30">
        <f t="shared" si="18"/>
        <v>-0.0025638038471959</v>
      </c>
      <c r="K64" s="1"/>
    </row>
    <row r="65" ht="15" customHeight="1">
      <c r="A65" s="1"/>
      <c r="B65" s="28" t="s">
        <v>82</v>
      </c>
      <c r="C65" s="67">
        <f>_xlfn.IFERROR(C62/'Revenue summary'!C66,"n.a.")</f>
        <v>0.05513277753799323</v>
      </c>
      <c r="D65" s="67">
        <f>_xlfn.IFERROR(D62/'Revenue summary'!D66,"n.a.")</f>
        <v>0.0706024658871464</v>
      </c>
      <c r="E65" s="67">
        <f>_xlfn.IFERROR(E62/'Revenue summary'!E66,"n.a.")</f>
        <v>0.07501234771155746</v>
      </c>
      <c r="F65" s="67">
        <f>_xlfn.IFERROR(F62/'Revenue summary'!F66,"n.a.")</f>
        <v>0.0889659284121271</v>
      </c>
      <c r="G65" s="67">
        <f>_xlfn.IFERROR(G62/'Revenue summary'!G66,"n.a.")</f>
        <v>0.06553431439966992</v>
      </c>
      <c r="H65" s="67">
        <f>_xlfn.IFERROR(H62/'Revenue summary'!H66,"n.a.")</f>
        <v>0.07685420397284803</v>
      </c>
      <c r="I65" s="67">
        <f>_xlfn.IFERROR(I62/'Revenue summary'!I66,"n.a.")</f>
        <v>0.07257092514822802</v>
      </c>
      <c r="J65" s="68">
        <f>_xlfn.IFERROR(J62/'Revenue summary'!J66,"n.a.")</f>
        <v>0.07503728343479153</v>
      </c>
      <c r="K65" s="1"/>
    </row>
    <row r="66" ht="15" customHeight="1">
      <c r="A66" s="1"/>
      <c r="B66" s="28" t="s">
        <v>83</v>
      </c>
      <c r="C66" s="29" t="s">
        <v>84</v>
      </c>
      <c r="D66" s="29" t="s">
        <v>84</v>
      </c>
      <c r="E66" s="29" t="s">
        <v>84</v>
      </c>
      <c r="F66" s="29" t="s">
        <v>84</v>
      </c>
      <c r="G66" s="29" t="s">
        <v>84</v>
      </c>
      <c r="H66" s="29" t="s">
        <v>84</v>
      </c>
      <c r="I66" s="29" t="s">
        <v>84</v>
      </c>
      <c r="J66" s="30" t="s">
        <v>84</v>
      </c>
      <c r="K66" s="1" t="s">
        <v>85</v>
      </c>
    </row>
    <row r="67" ht="15" customHeight="1">
      <c r="A67" s="1"/>
      <c r="B67" s="28" t="s">
        <v>86</v>
      </c>
      <c r="C67" s="29" t="s">
        <v>84</v>
      </c>
      <c r="D67" s="29" t="s">
        <v>84</v>
      </c>
      <c r="E67" s="29" t="s">
        <v>84</v>
      </c>
      <c r="F67" s="29" t="s">
        <v>84</v>
      </c>
      <c r="G67" s="29" t="s">
        <v>84</v>
      </c>
      <c r="H67" s="29" t="s">
        <v>84</v>
      </c>
      <c r="I67" s="29" t="s">
        <v>84</v>
      </c>
      <c r="J67" s="30" t="s">
        <v>84</v>
      </c>
      <c r="K67" s="1" t="s">
        <v>87</v>
      </c>
    </row>
    <row r="68" ht="15" customHeight="1">
      <c r="A68" s="1"/>
      <c r="B68" s="28" t="s">
        <v>88</v>
      </c>
      <c r="C68" s="29" t="str">
        <f t="shared" si="14"/>
        <v>Unavailable</v>
      </c>
      <c r="D68" s="29" t="str">
        <f t="shared" si="14"/>
        <v>Unavailable</v>
      </c>
      <c r="E68" s="29" t="str">
        <f t="shared" si="14"/>
        <v>Unavailable</v>
      </c>
      <c r="F68" s="29" t="str">
        <f t="shared" si="14"/>
        <v>Unavailable</v>
      </c>
      <c r="G68" s="29" t="str">
        <f t="shared" si="14"/>
        <v>Unavailable</v>
      </c>
      <c r="H68" s="29" t="str">
        <f t="shared" si="14"/>
        <v>Unavailable</v>
      </c>
      <c r="I68" s="29" t="str">
        <f t="shared" si="14"/>
        <v>Unavailable</v>
      </c>
      <c r="J68" s="30" t="str">
        <f t="shared" si="14"/>
        <v>Unavailable</v>
      </c>
      <c r="K68" s="1"/>
    </row>
    <row r="69" ht="15" customHeight="1">
      <c r="A69" s="1"/>
      <c r="B69" s="28" t="s">
        <v>89</v>
      </c>
      <c r="C69" s="29" t="str">
        <f t="shared" si="15"/>
        <v>n.a.</v>
      </c>
      <c r="D69" s="29" t="str">
        <f t="shared" si="15"/>
        <v>n.a.</v>
      </c>
      <c r="E69" s="29" t="str">
        <f t="shared" si="15"/>
        <v>n.a.</v>
      </c>
      <c r="F69" s="29" t="str">
        <f t="shared" si="15"/>
        <v>n.a.</v>
      </c>
      <c r="G69" s="29">
        <f t="shared" si="15"/>
        <v>0.17799752781211375</v>
      </c>
      <c r="H69" s="29">
        <f t="shared" si="15"/>
        <v>0.10940787496242854</v>
      </c>
      <c r="I69" s="29" t="str">
        <f t="shared" si="15"/>
        <v>n.a.</v>
      </c>
      <c r="J69" s="30">
        <f t="shared" si="15"/>
        <v>0.010023868312757145</v>
      </c>
      <c r="K69" s="1"/>
    </row>
    <row r="70" ht="28.5" customHeight="1">
      <c r="A70" s="1"/>
      <c r="B70" s="24" t="s">
        <v>233</v>
      </c>
      <c r="C70" s="47">
        <v>2427</v>
      </c>
      <c r="D70" s="47">
        <v>3326</v>
      </c>
      <c r="E70" s="47">
        <v>3645</v>
      </c>
      <c r="F70" s="47">
        <v>4029</v>
      </c>
      <c r="G70" s="47">
        <v>2859</v>
      </c>
      <c r="H70" s="47">
        <v>3691</v>
      </c>
      <c r="I70" s="47">
        <v>13427</v>
      </c>
      <c r="J70" s="27" t="s">
        <v>41</v>
      </c>
      <c r="K70" s="1"/>
    </row>
    <row r="71" ht="41.25" customHeight="1">
      <c r="A71" s="1"/>
      <c r="B71" s="24" t="s">
        <v>167</v>
      </c>
      <c r="C71" s="26">
        <f t="shared" si="23" ref="C71:I71">_xlfn.IFERROR(IF(ABS(C62-C70)&lt;=5,0,C62-C70),1)</f>
        <v>0</v>
      </c>
      <c r="D71" s="26">
        <f t="shared" si="23"/>
        <v>0</v>
      </c>
      <c r="E71" s="26">
        <f t="shared" si="23"/>
        <v>0</v>
      </c>
      <c r="F71" s="26">
        <f t="shared" si="23"/>
        <v>0</v>
      </c>
      <c r="G71" s="26">
        <f t="shared" si="23"/>
        <v>0</v>
      </c>
      <c r="H71" s="26">
        <f t="shared" si="23"/>
        <v>0</v>
      </c>
      <c r="I71" s="26">
        <f t="shared" si="23"/>
        <v>0</v>
      </c>
      <c r="J71" s="27"/>
      <c r="K71" s="1"/>
    </row>
    <row r="72" ht="15" customHeight="1">
      <c r="A72" s="1"/>
      <c r="B72" s="16" t="s">
        <v>168</v>
      </c>
      <c r="C72" s="17"/>
      <c r="D72" s="17"/>
      <c r="E72" s="17"/>
      <c r="F72" s="17"/>
      <c r="G72" s="17"/>
      <c r="H72" s="17"/>
      <c r="I72" s="17"/>
      <c r="J72" s="18"/>
      <c r="K72" s="1"/>
    </row>
    <row r="73" ht="15" customHeight="1">
      <c r="A73" s="1"/>
      <c r="B73" s="19" t="s">
        <v>169</v>
      </c>
      <c r="C73" s="26" t="s">
        <v>41</v>
      </c>
      <c r="D73" s="26" t="s">
        <v>41</v>
      </c>
      <c r="E73" s="26" t="s">
        <v>41</v>
      </c>
      <c r="F73" s="26" t="s">
        <v>41</v>
      </c>
      <c r="G73" s="47">
        <v>0.5</v>
      </c>
      <c r="H73" s="47">
        <v>0.4</v>
      </c>
      <c r="I73" s="26" t="s">
        <v>41</v>
      </c>
      <c r="J73" s="27" t="s">
        <v>41</v>
      </c>
      <c r="K73" s="1"/>
    </row>
    <row r="74" ht="15" customHeight="1">
      <c r="A74" s="1"/>
      <c r="B74" s="19" t="s">
        <v>170</v>
      </c>
      <c r="C74" s="26" t="s">
        <v>41</v>
      </c>
      <c r="D74" s="26" t="s">
        <v>41</v>
      </c>
      <c r="E74" s="26" t="s">
        <v>41</v>
      </c>
      <c r="F74" s="26" t="s">
        <v>41</v>
      </c>
      <c r="G74" s="47">
        <v>-0.2</v>
      </c>
      <c r="H74" s="47">
        <v>-0.3</v>
      </c>
      <c r="I74" s="26" t="s">
        <v>41</v>
      </c>
      <c r="J74" s="27" t="s">
        <v>41</v>
      </c>
      <c r="K74" s="1"/>
    </row>
    <row r="75" ht="15" customHeight="1">
      <c r="A75" s="1"/>
      <c r="B75" s="19" t="s">
        <v>171</v>
      </c>
      <c r="C75" s="26" t="s">
        <v>41</v>
      </c>
      <c r="D75" s="26" t="s">
        <v>41</v>
      </c>
      <c r="E75" s="26" t="s">
        <v>41</v>
      </c>
      <c r="F75" s="26" t="s">
        <v>41</v>
      </c>
      <c r="G75" s="47">
        <v>0.1</v>
      </c>
      <c r="H75" s="47">
        <v>0.1</v>
      </c>
      <c r="I75" s="26" t="s">
        <v>41</v>
      </c>
      <c r="J75" s="27" t="s">
        <v>41</v>
      </c>
      <c r="K75" s="1"/>
    </row>
    <row r="76" ht="15" customHeight="1">
      <c r="A76" s="1"/>
      <c r="B76" s="19" t="s">
        <v>181</v>
      </c>
      <c r="C76" s="26" t="s">
        <v>41</v>
      </c>
      <c r="D76" s="26" t="s">
        <v>41</v>
      </c>
      <c r="E76" s="26" t="s">
        <v>41</v>
      </c>
      <c r="F76" s="26" t="s">
        <v>41</v>
      </c>
      <c r="G76" s="47">
        <v>0</v>
      </c>
      <c r="H76" s="47">
        <v>0.2</v>
      </c>
      <c r="I76" s="26" t="s">
        <v>41</v>
      </c>
      <c r="J76" s="27" t="s">
        <v>41</v>
      </c>
      <c r="K76" s="1"/>
    </row>
    <row r="77" ht="15" customHeight="1">
      <c r="A77" s="1"/>
      <c r="B77" s="4" t="s">
        <v>173</v>
      </c>
      <c r="C77" s="52" t="str">
        <f t="shared" si="24" ref="C77:J77">IF(ISNUMBER(C73),C73+C74+C75+C76,"n.a.")</f>
        <v>n.a.</v>
      </c>
      <c r="D77" s="52" t="str">
        <f t="shared" si="24"/>
        <v>n.a.</v>
      </c>
      <c r="E77" s="52" t="str">
        <f t="shared" si="24"/>
        <v>n.a.</v>
      </c>
      <c r="F77" s="52" t="str">
        <f t="shared" si="24"/>
        <v>n.a.</v>
      </c>
      <c r="G77" s="52">
        <f t="shared" si="24"/>
        <v>0.4</v>
      </c>
      <c r="H77" s="52">
        <f t="shared" si="24"/>
        <v>0.4</v>
      </c>
      <c r="I77" s="52" t="str">
        <f t="shared" si="24"/>
        <v>n.a.</v>
      </c>
      <c r="J77" s="53" t="str">
        <f t="shared" si="24"/>
        <v>n.a.</v>
      </c>
      <c r="K77" s="1"/>
    </row>
    <row r="78" ht="15" customHeight="1">
      <c r="A78" s="1"/>
      <c r="B78" s="1"/>
      <c r="C78" s="17"/>
      <c r="D78" s="17"/>
      <c r="E78" s="17"/>
      <c r="F78" s="17"/>
      <c r="G78" s="17"/>
      <c r="H78" s="17"/>
      <c r="I78" s="17"/>
      <c r="J78" s="18"/>
      <c r="K78" s="1"/>
    </row>
    <row r="79" ht="15" customHeight="1">
      <c r="A79" s="1"/>
      <c r="B79" s="16" t="s">
        <v>174</v>
      </c>
      <c r="C79" s="17"/>
      <c r="D79" s="17"/>
      <c r="E79" s="17"/>
      <c r="F79" s="17"/>
      <c r="G79" s="17"/>
      <c r="H79" s="17"/>
      <c r="I79" s="17"/>
      <c r="J79" s="18"/>
      <c r="K79" s="1"/>
    </row>
    <row r="80" ht="28.5" customHeight="1">
      <c r="A80" s="1"/>
      <c r="B80" s="24" t="s">
        <v>234</v>
      </c>
      <c r="C80" s="26">
        <f t="shared" si="25" ref="C80:I80">C83-C24</f>
        <v>-15</v>
      </c>
      <c r="D80" s="26">
        <f t="shared" si="25"/>
        <v>133</v>
      </c>
      <c r="E80" s="26">
        <f t="shared" si="25"/>
        <v>146</v>
      </c>
      <c r="F80" s="26">
        <f t="shared" si="25"/>
        <v>791</v>
      </c>
      <c r="G80" s="26">
        <f t="shared" si="25"/>
        <v>-42</v>
      </c>
      <c r="H80" s="26">
        <f t="shared" si="25"/>
        <v>107</v>
      </c>
      <c r="I80" s="26">
        <f t="shared" si="25"/>
        <v>1053</v>
      </c>
      <c r="J80" s="49">
        <v>100</v>
      </c>
      <c r="K80" s="1" t="s">
        <v>235</v>
      </c>
    </row>
    <row r="81" ht="15" customHeight="1">
      <c r="A81" s="1"/>
      <c r="B81" s="28" t="s">
        <v>80</v>
      </c>
      <c r="C81" s="29" t="s">
        <v>41</v>
      </c>
      <c r="D81" s="29" t="s">
        <v>41</v>
      </c>
      <c r="E81" s="29" t="s">
        <v>41</v>
      </c>
      <c r="F81" s="29" t="s">
        <v>41</v>
      </c>
      <c r="G81" s="29">
        <f t="shared" si="2"/>
        <v>1.7999999999999998</v>
      </c>
      <c r="H81" s="29">
        <f t="shared" si="2"/>
        <v>-0.19548872180451127</v>
      </c>
      <c r="I81" s="29" t="s">
        <v>41</v>
      </c>
      <c r="J81" s="30">
        <f t="shared" si="4"/>
        <v>-0.31506849315068497</v>
      </c>
      <c r="K81" s="1"/>
    </row>
    <row r="82" ht="15" customHeight="1">
      <c r="A82" s="1"/>
      <c r="B82" s="28" t="s">
        <v>93</v>
      </c>
      <c r="C82" s="50" t="s">
        <v>41</v>
      </c>
      <c r="D82" s="50">
        <f t="shared" si="3"/>
        <v>148</v>
      </c>
      <c r="E82" s="50">
        <f t="shared" si="3"/>
        <v>13</v>
      </c>
      <c r="F82" s="50">
        <f t="shared" si="3"/>
        <v>645</v>
      </c>
      <c r="G82" s="50">
        <f t="shared" si="3"/>
        <v>-833</v>
      </c>
      <c r="H82" s="50">
        <f t="shared" si="3"/>
        <v>149</v>
      </c>
      <c r="I82" s="50" t="s">
        <v>41</v>
      </c>
      <c r="J82" s="51">
        <f t="shared" si="5"/>
        <v>-7</v>
      </c>
      <c r="K82" s="1"/>
    </row>
    <row r="83" ht="28.5" customHeight="1">
      <c r="A83" s="1"/>
      <c r="B83" s="55" t="s">
        <v>236</v>
      </c>
      <c r="C83" s="61">
        <v>30</v>
      </c>
      <c r="D83" s="61">
        <v>204</v>
      </c>
      <c r="E83" s="61">
        <v>226</v>
      </c>
      <c r="F83" s="61">
        <v>278</v>
      </c>
      <c r="G83" s="61">
        <v>123</v>
      </c>
      <c r="H83" s="61">
        <v>190</v>
      </c>
      <c r="I83" s="61">
        <v>737</v>
      </c>
      <c r="J83" s="53">
        <f>J80+J24</f>
        <v>171.6</v>
      </c>
      <c r="K83" s="1"/>
    </row>
    <row r="84" ht="15" customHeight="1">
      <c r="A84" s="1"/>
      <c r="B84" s="28" t="s">
        <v>80</v>
      </c>
      <c r="C84" s="29" t="s">
        <v>41</v>
      </c>
      <c r="D84" s="29" t="s">
        <v>41</v>
      </c>
      <c r="E84" s="29" t="s">
        <v>41</v>
      </c>
      <c r="F84" s="29" t="s">
        <v>41</v>
      </c>
      <c r="G84" s="29">
        <f t="shared" si="2"/>
        <v>3.0999999999999996</v>
      </c>
      <c r="H84" s="29">
        <f t="shared" si="2"/>
        <v>-0.06862745098039214</v>
      </c>
      <c r="I84" s="29" t="s">
        <v>41</v>
      </c>
      <c r="J84" s="30">
        <f t="shared" si="4"/>
        <v>-0.2407079646017699</v>
      </c>
      <c r="K84" s="1"/>
    </row>
    <row r="85" ht="15" customHeight="1">
      <c r="A85" s="1"/>
      <c r="B85" s="28" t="s">
        <v>93</v>
      </c>
      <c r="C85" s="50" t="s">
        <v>41</v>
      </c>
      <c r="D85" s="50">
        <f t="shared" si="3"/>
        <v>174</v>
      </c>
      <c r="E85" s="50">
        <f t="shared" si="3"/>
        <v>22</v>
      </c>
      <c r="F85" s="50">
        <f t="shared" si="3"/>
        <v>52</v>
      </c>
      <c r="G85" s="50">
        <f t="shared" si="3"/>
        <v>-155</v>
      </c>
      <c r="H85" s="50">
        <f t="shared" si="3"/>
        <v>67</v>
      </c>
      <c r="I85" s="50" t="s">
        <v>41</v>
      </c>
      <c r="J85" s="51">
        <f t="shared" si="5"/>
        <v>-18.400000000000006</v>
      </c>
      <c r="K85" s="1"/>
    </row>
    <row r="86" ht="15" customHeight="1">
      <c r="A86" s="1"/>
      <c r="B86" s="57" t="s">
        <v>237</v>
      </c>
      <c r="C86" s="29">
        <f t="shared" si="26" ref="C86:J86">_xlfn.IFERROR(C83/C62,"n.a.")</f>
        <v>0.012360939431396786</v>
      </c>
      <c r="D86" s="29">
        <f t="shared" si="26"/>
        <v>0.061316501352569885</v>
      </c>
      <c r="E86" s="29">
        <f t="shared" si="26"/>
        <v>0.062002743484224965</v>
      </c>
      <c r="F86" s="29">
        <f t="shared" si="26"/>
        <v>0.06899975179945396</v>
      </c>
      <c r="G86" s="29">
        <f t="shared" si="26"/>
        <v>0.04302203567681007</v>
      </c>
      <c r="H86" s="29">
        <f t="shared" si="26"/>
        <v>0.05147656461663506</v>
      </c>
      <c r="I86" s="29">
        <f t="shared" si="26"/>
        <v>0.054889401951292174</v>
      </c>
      <c r="J86" s="30">
        <f t="shared" si="26"/>
        <v>0.046610967104228476</v>
      </c>
      <c r="K86" s="1"/>
    </row>
    <row r="87" ht="15" customHeight="1">
      <c r="A87" s="1"/>
      <c r="B87" s="28" t="s">
        <v>129</v>
      </c>
      <c r="C87" s="58" t="s">
        <v>41</v>
      </c>
      <c r="D87" s="58" t="s">
        <v>41</v>
      </c>
      <c r="E87" s="58" t="s">
        <v>41</v>
      </c>
      <c r="F87" s="58" t="s">
        <v>41</v>
      </c>
      <c r="G87" s="58">
        <f t="shared" si="9"/>
        <v>306.61096245413285</v>
      </c>
      <c r="H87" s="58">
        <f t="shared" si="9"/>
        <v>-98.39936735934828</v>
      </c>
      <c r="I87" s="58" t="s">
        <v>41</v>
      </c>
      <c r="J87" s="59">
        <f t="shared" si="27"/>
        <v>-153.9177637999649</v>
      </c>
      <c r="K87" s="1"/>
    </row>
    <row r="88" ht="15" customHeight="1">
      <c r="A88" s="1"/>
      <c r="B88" s="28" t="s">
        <v>130</v>
      </c>
      <c r="C88" s="58" t="s">
        <v>41</v>
      </c>
      <c r="D88" s="58">
        <f t="shared" si="10"/>
        <v>489.55561921173097</v>
      </c>
      <c r="E88" s="58">
        <f t="shared" si="10"/>
        <v>6.862421316550793</v>
      </c>
      <c r="F88" s="58">
        <f t="shared" si="10"/>
        <v>69.97008315228994</v>
      </c>
      <c r="G88" s="58">
        <f t="shared" si="10"/>
        <v>-259.77716122643886</v>
      </c>
      <c r="H88" s="58">
        <f t="shared" si="10"/>
        <v>84.54528939824985</v>
      </c>
      <c r="I88" s="58" t="s">
        <v>41</v>
      </c>
      <c r="J88" s="59">
        <f t="shared" si="28"/>
        <v>-48.65597512406582</v>
      </c>
      <c r="K88" s="1"/>
    </row>
    <row r="89" ht="15" customHeight="1">
      <c r="A89" s="1"/>
      <c r="B89" s="16" t="s">
        <v>179</v>
      </c>
      <c r="C89" s="17"/>
      <c r="D89" s="17"/>
      <c r="E89" s="17"/>
      <c r="F89" s="17"/>
      <c r="G89" s="17"/>
      <c r="H89" s="17"/>
      <c r="I89" s="17"/>
      <c r="J89" s="18"/>
      <c r="K89" s="1"/>
    </row>
    <row r="90" ht="15" customHeight="1">
      <c r="A90" s="1"/>
      <c r="B90" s="19" t="s">
        <v>169</v>
      </c>
      <c r="C90" s="26" t="s">
        <v>41</v>
      </c>
      <c r="D90" s="26" t="s">
        <v>41</v>
      </c>
      <c r="E90" s="26" t="s">
        <v>41</v>
      </c>
      <c r="F90" s="26" t="s">
        <v>41</v>
      </c>
      <c r="G90" s="47">
        <v>0.1</v>
      </c>
      <c r="H90" s="47">
        <v>0.1</v>
      </c>
      <c r="I90" s="26" t="s">
        <v>41</v>
      </c>
      <c r="J90" s="27" t="s">
        <v>41</v>
      </c>
      <c r="K90" s="1"/>
    </row>
    <row r="91" ht="15" customHeight="1">
      <c r="A91" s="1"/>
      <c r="B91" s="19" t="s">
        <v>170</v>
      </c>
      <c r="C91" s="26" t="s">
        <v>41</v>
      </c>
      <c r="D91" s="26" t="s">
        <v>41</v>
      </c>
      <c r="E91" s="26" t="s">
        <v>41</v>
      </c>
      <c r="F91" s="26" t="s">
        <v>41</v>
      </c>
      <c r="G91" s="47">
        <v>-0.1</v>
      </c>
      <c r="H91" s="47">
        <v>-0.1</v>
      </c>
      <c r="I91" s="26" t="s">
        <v>41</v>
      </c>
      <c r="J91" s="27" t="s">
        <v>41</v>
      </c>
      <c r="K91" s="1"/>
    </row>
    <row r="92" ht="15" customHeight="1">
      <c r="A92" s="1"/>
      <c r="B92" s="19" t="s">
        <v>171</v>
      </c>
      <c r="C92" s="26" t="s">
        <v>41</v>
      </c>
      <c r="D92" s="26" t="s">
        <v>41</v>
      </c>
      <c r="E92" s="26" t="s">
        <v>41</v>
      </c>
      <c r="F92" s="26" t="s">
        <v>41</v>
      </c>
      <c r="G92" s="47">
        <v>0.1</v>
      </c>
      <c r="H92" s="47">
        <v>0.1</v>
      </c>
      <c r="I92" s="26" t="s">
        <v>41</v>
      </c>
      <c r="J92" s="27" t="s">
        <v>41</v>
      </c>
      <c r="K92" s="1"/>
    </row>
    <row r="93" ht="15" customHeight="1">
      <c r="A93" s="1"/>
      <c r="B93" s="19" t="s">
        <v>180</v>
      </c>
      <c r="C93" s="26" t="s">
        <v>41</v>
      </c>
      <c r="D93" s="26" t="s">
        <v>41</v>
      </c>
      <c r="E93" s="26" t="s">
        <v>41</v>
      </c>
      <c r="F93" s="26" t="s">
        <v>41</v>
      </c>
      <c r="G93" s="47">
        <v>-0.1</v>
      </c>
      <c r="H93" s="47">
        <v>-0.1</v>
      </c>
      <c r="I93" s="26" t="s">
        <v>41</v>
      </c>
      <c r="J93" s="27" t="s">
        <v>41</v>
      </c>
      <c r="K93" s="1"/>
    </row>
    <row r="94" ht="15" customHeight="1">
      <c r="A94" s="1"/>
      <c r="B94" s="19" t="s">
        <v>181</v>
      </c>
      <c r="C94" s="26" t="s">
        <v>41</v>
      </c>
      <c r="D94" s="26" t="s">
        <v>41</v>
      </c>
      <c r="E94" s="26" t="s">
        <v>41</v>
      </c>
      <c r="F94" s="26" t="s">
        <v>41</v>
      </c>
      <c r="G94" s="47">
        <v>0</v>
      </c>
      <c r="H94" s="47">
        <v>0.1</v>
      </c>
      <c r="I94" s="26" t="s">
        <v>41</v>
      </c>
      <c r="J94" s="27" t="s">
        <v>41</v>
      </c>
      <c r="K94" s="1"/>
    </row>
    <row r="95" ht="15" customHeight="1">
      <c r="A95" s="1"/>
      <c r="B95" s="4" t="s">
        <v>182</v>
      </c>
      <c r="C95" s="52" t="str">
        <f t="shared" si="29" ref="C95:J95">IF(ISNUMBER(C90),C90+C91+C92+C93+C94,"n.a.")</f>
        <v>n.a.</v>
      </c>
      <c r="D95" s="52" t="str">
        <f t="shared" si="29"/>
        <v>n.a.</v>
      </c>
      <c r="E95" s="52" t="str">
        <f t="shared" si="29"/>
        <v>n.a.</v>
      </c>
      <c r="F95" s="52" t="str">
        <f t="shared" si="29"/>
        <v>n.a.</v>
      </c>
      <c r="G95" s="52">
        <f t="shared" si="29"/>
        <v>0</v>
      </c>
      <c r="H95" s="52">
        <f t="shared" si="29"/>
        <v>0.1</v>
      </c>
      <c r="I95" s="52" t="str">
        <f t="shared" si="29"/>
        <v>n.a.</v>
      </c>
      <c r="J95" s="53" t="str">
        <f t="shared" si="29"/>
        <v>n.a.</v>
      </c>
      <c r="K95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D57DB88-A8B8-6881-DA78-A3EDB16FCA0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</row>
    <row r="3" ht="15" customHeight="1">
      <c r="A3" s="1"/>
      <c r="B3" s="4" t="s">
        <v>238</v>
      </c>
      <c r="C3" s="1"/>
      <c r="D3" s="1"/>
      <c r="E3" s="1"/>
      <c r="F3" s="1"/>
      <c r="G3" s="1"/>
      <c r="H3" s="1"/>
      <c r="I3" s="1"/>
      <c r="J3" s="1"/>
      <c r="K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</row>
    <row r="5" ht="15" customHeight="1">
      <c r="A5" s="1"/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8" t="s">
        <v>12</v>
      </c>
      <c r="K5" s="6" t="s">
        <v>13</v>
      </c>
    </row>
    <row r="6" ht="15" customHeight="1">
      <c r="A6" s="1"/>
      <c r="B6" s="9" t="s">
        <v>14</v>
      </c>
      <c r="C6" s="10">
        <f>DATE(2025,3,31)</f>
        <v>45747</v>
      </c>
      <c r="D6" s="10">
        <f>DATE(2025,6,30)</f>
        <v>45838</v>
      </c>
      <c r="E6" s="10">
        <f>DATE(2025,9,30)</f>
        <v>45930</v>
      </c>
      <c r="F6" s="10">
        <f t="shared" si="0" ref="F6:I6">DATE(2025,12,31)</f>
        <v>46022</v>
      </c>
      <c r="G6" s="10">
        <f>DATE(2026,3,31)</f>
        <v>46112</v>
      </c>
      <c r="H6" s="10">
        <f>DATE(2026,6,30)</f>
        <v>46203</v>
      </c>
      <c r="I6" s="10">
        <f t="shared" si="0"/>
        <v>46022</v>
      </c>
      <c r="J6" s="11">
        <f>DATE(2026,9,30)</f>
        <v>46295</v>
      </c>
      <c r="K6" s="9"/>
    </row>
    <row r="7" ht="15" customHeight="1">
      <c r="A7" s="1"/>
      <c r="B7" s="12" t="s">
        <v>15</v>
      </c>
      <c r="C7" s="13">
        <f t="shared" si="1" ref="C7:J7">C6-EOMONTH(C6,-3)</f>
        <v>90</v>
      </c>
      <c r="D7" s="13">
        <f t="shared" si="1"/>
        <v>91</v>
      </c>
      <c r="E7" s="13">
        <f t="shared" si="1"/>
        <v>92</v>
      </c>
      <c r="F7" s="13">
        <f t="shared" si="1"/>
        <v>92</v>
      </c>
      <c r="G7" s="13">
        <f t="shared" si="1"/>
        <v>90</v>
      </c>
      <c r="H7" s="13">
        <f t="shared" si="1"/>
        <v>91</v>
      </c>
      <c r="I7" s="13">
        <f>I6-EOMONTH(I6,-12)</f>
        <v>365</v>
      </c>
      <c r="J7" s="14">
        <f t="shared" si="1"/>
        <v>92</v>
      </c>
      <c r="K7" s="12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5"/>
      <c r="K8" s="1"/>
    </row>
    <row r="9" ht="15" customHeight="1">
      <c r="A9" s="1"/>
      <c r="B9" s="16" t="s">
        <v>239</v>
      </c>
      <c r="C9" s="17"/>
      <c r="D9" s="17"/>
      <c r="E9" s="17"/>
      <c r="F9" s="17"/>
      <c r="G9" s="17"/>
      <c r="H9" s="17"/>
      <c r="I9" s="17"/>
      <c r="J9" s="18"/>
      <c r="K9" s="1" t="s">
        <v>240</v>
      </c>
    </row>
    <row r="10" ht="28.5" customHeight="1">
      <c r="A10" s="1"/>
      <c r="B10" s="24" t="s">
        <v>241</v>
      </c>
      <c r="C10" s="47">
        <v>76066</v>
      </c>
      <c r="D10" s="26">
        <f t="shared" si="2" ref="D10:H30">C15</f>
        <v>76995</v>
      </c>
      <c r="E10" s="26">
        <f t="shared" si="2"/>
        <v>77837</v>
      </c>
      <c r="F10" s="26">
        <f t="shared" si="2"/>
        <v>75857</v>
      </c>
      <c r="G10" s="26">
        <f t="shared" si="2"/>
        <v>75404</v>
      </c>
      <c r="H10" s="26">
        <f t="shared" si="2"/>
        <v>74893</v>
      </c>
      <c r="I10" s="26">
        <f t="shared" si="12" ref="I10:I30">C10</f>
        <v>76066</v>
      </c>
      <c r="J10" s="27">
        <f t="shared" si="15" ref="J10:J30">H15</f>
        <v>76064</v>
      </c>
      <c r="K10" s="1"/>
    </row>
    <row r="11" ht="15" customHeight="1">
      <c r="A11" s="1"/>
      <c r="B11" s="19" t="s">
        <v>242</v>
      </c>
      <c r="C11" s="47">
        <v>9564</v>
      </c>
      <c r="D11" s="47">
        <v>9534</v>
      </c>
      <c r="E11" s="47">
        <v>8812</v>
      </c>
      <c r="F11" s="47">
        <v>8404</v>
      </c>
      <c r="G11" s="47">
        <v>8253</v>
      </c>
      <c r="H11" s="47">
        <v>10047</v>
      </c>
      <c r="I11" s="47">
        <v>36314</v>
      </c>
      <c r="J11" s="49">
        <v>9800</v>
      </c>
      <c r="K11" s="1" t="s">
        <v>243</v>
      </c>
    </row>
    <row r="12" ht="15" customHeight="1">
      <c r="A12" s="1"/>
      <c r="B12" s="28" t="s">
        <v>80</v>
      </c>
      <c r="C12" s="29" t="s">
        <v>41</v>
      </c>
      <c r="D12" s="29" t="s">
        <v>41</v>
      </c>
      <c r="E12" s="29" t="s">
        <v>41</v>
      </c>
      <c r="F12" s="29" t="s">
        <v>41</v>
      </c>
      <c r="G12" s="29">
        <f t="shared" si="3" ref="G12:H122">_xlfn.IFERROR(G11/C11-1,"n.a.")</f>
        <v>-0.13707653701380174</v>
      </c>
      <c r="H12" s="29">
        <f t="shared" si="3"/>
        <v>0.05380742605412214</v>
      </c>
      <c r="I12" s="29" t="s">
        <v>41</v>
      </c>
      <c r="J12" s="30">
        <f t="shared" si="6" ref="J12:J122">_xlfn.IFERROR(J11/E11-1,"n.a.")</f>
        <v>0.11211983658647307</v>
      </c>
      <c r="K12" s="1"/>
    </row>
    <row r="13" ht="15" customHeight="1">
      <c r="A13" s="1"/>
      <c r="B13" s="28" t="s">
        <v>93</v>
      </c>
      <c r="C13" s="50" t="s">
        <v>41</v>
      </c>
      <c r="D13" s="50">
        <f t="shared" si="4" ref="D13:H123">_xlfn.IFERROR(D11-C11,"n.a.")</f>
        <v>-30</v>
      </c>
      <c r="E13" s="50">
        <f t="shared" si="4"/>
        <v>-722</v>
      </c>
      <c r="F13" s="50">
        <f t="shared" si="4"/>
        <v>-408</v>
      </c>
      <c r="G13" s="50">
        <f t="shared" si="4"/>
        <v>-151</v>
      </c>
      <c r="H13" s="50">
        <f t="shared" si="4"/>
        <v>1794</v>
      </c>
      <c r="I13" s="50" t="s">
        <v>41</v>
      </c>
      <c r="J13" s="51">
        <f t="shared" si="7" ref="J13:J123">_xlfn.IFERROR(J11-H11,"n.a.")</f>
        <v>-247</v>
      </c>
      <c r="K13" s="1"/>
    </row>
    <row r="14" ht="28.5" customHeight="1">
      <c r="A14" s="1"/>
      <c r="B14" s="24" t="s">
        <v>244</v>
      </c>
      <c r="C14" s="26">
        <f t="shared" si="5" ref="C14:I34">C15-C10-C11</f>
        <v>-8635</v>
      </c>
      <c r="D14" s="26">
        <f t="shared" si="5"/>
        <v>-8692</v>
      </c>
      <c r="E14" s="26">
        <f t="shared" si="5"/>
        <v>-10792</v>
      </c>
      <c r="F14" s="26">
        <f t="shared" si="5"/>
        <v>-8857</v>
      </c>
      <c r="G14" s="26">
        <f t="shared" si="5"/>
        <v>-8764</v>
      </c>
      <c r="H14" s="26">
        <f t="shared" si="5"/>
        <v>-8876</v>
      </c>
      <c r="I14" s="26">
        <f t="shared" si="5"/>
        <v>-36976</v>
      </c>
      <c r="J14" s="27">
        <f t="shared" si="16" ref="J14:J34">-J10*J19</f>
        <v>-9014.781942237592</v>
      </c>
      <c r="K14" s="1"/>
    </row>
    <row r="15" ht="28.5" customHeight="1">
      <c r="A15" s="1"/>
      <c r="B15" s="55" t="s">
        <v>245</v>
      </c>
      <c r="C15" s="61">
        <v>76995</v>
      </c>
      <c r="D15" s="61">
        <v>77837</v>
      </c>
      <c r="E15" s="61">
        <v>75857</v>
      </c>
      <c r="F15" s="61">
        <v>75404</v>
      </c>
      <c r="G15" s="61">
        <v>74893</v>
      </c>
      <c r="H15" s="61">
        <v>76064</v>
      </c>
      <c r="I15" s="52">
        <f t="shared" si="14" ref="I15:I46">F15</f>
        <v>75404</v>
      </c>
      <c r="J15" s="53">
        <f t="shared" si="17" ref="J15:J35">J10+J11+J14</f>
        <v>76849.21805776241</v>
      </c>
      <c r="K15" s="1"/>
    </row>
    <row r="16" ht="15" customHeight="1">
      <c r="A16" s="1"/>
      <c r="B16" s="28" t="s">
        <v>80</v>
      </c>
      <c r="C16" s="29" t="s">
        <v>41</v>
      </c>
      <c r="D16" s="29" t="s">
        <v>41</v>
      </c>
      <c r="E16" s="29" t="s">
        <v>41</v>
      </c>
      <c r="F16" s="29" t="s">
        <v>41</v>
      </c>
      <c r="G16" s="29">
        <f t="shared" si="3"/>
        <v>-0.02730047405675695</v>
      </c>
      <c r="H16" s="29">
        <f t="shared" si="3"/>
        <v>-0.022778370183845764</v>
      </c>
      <c r="I16" s="29" t="s">
        <v>41</v>
      </c>
      <c r="J16" s="30">
        <f t="shared" si="6"/>
        <v>0.01308011202344428</v>
      </c>
      <c r="K16" s="1"/>
    </row>
    <row r="17" ht="15" customHeight="1">
      <c r="A17" s="1"/>
      <c r="B17" s="28" t="s">
        <v>93</v>
      </c>
      <c r="C17" s="50" t="s">
        <v>41</v>
      </c>
      <c r="D17" s="50">
        <f t="shared" si="4"/>
        <v>842</v>
      </c>
      <c r="E17" s="50">
        <f t="shared" si="4"/>
        <v>-1980</v>
      </c>
      <c r="F17" s="50">
        <f t="shared" si="4"/>
        <v>-453</v>
      </c>
      <c r="G17" s="50">
        <f t="shared" si="4"/>
        <v>-511</v>
      </c>
      <c r="H17" s="50">
        <f t="shared" si="4"/>
        <v>1171</v>
      </c>
      <c r="I17" s="50" t="s">
        <v>41</v>
      </c>
      <c r="J17" s="51">
        <f t="shared" si="7"/>
        <v>785.2180577624094</v>
      </c>
      <c r="K17" s="1"/>
    </row>
    <row r="18" ht="28.5" customHeight="1">
      <c r="A18" s="1"/>
      <c r="B18" s="24" t="s">
        <v>246</v>
      </c>
      <c r="C18" s="47">
        <v>76940</v>
      </c>
      <c r="D18" s="47">
        <v>77577</v>
      </c>
      <c r="E18" s="47">
        <v>76799</v>
      </c>
      <c r="F18" s="47">
        <v>75610</v>
      </c>
      <c r="G18" s="47">
        <v>75170</v>
      </c>
      <c r="H18" s="47">
        <v>75551</v>
      </c>
      <c r="I18" s="47">
        <v>76717</v>
      </c>
      <c r="J18" s="27">
        <f t="shared" si="18" ref="J18:J38">AVERAGE(J10,J15)</f>
        <v>76456.60902888121</v>
      </c>
      <c r="K18" s="1"/>
    </row>
    <row r="19" ht="28.5" customHeight="1">
      <c r="A19" s="1"/>
      <c r="B19" s="60" t="s">
        <v>247</v>
      </c>
      <c r="C19" s="29">
        <f t="shared" si="8" ref="C19:H39">_xlfn.IFERROR(-C14/C10,"n.a.")</f>
        <v>0.11351983803539031</v>
      </c>
      <c r="D19" s="29">
        <f t="shared" si="8"/>
        <v>0.1128904474316514</v>
      </c>
      <c r="E19" s="29">
        <f t="shared" si="8"/>
        <v>0.138648714621581</v>
      </c>
      <c r="F19" s="29">
        <f t="shared" si="8"/>
        <v>0.11675916527149768</v>
      </c>
      <c r="G19" s="29">
        <f t="shared" si="8"/>
        <v>0.1162272558484961</v>
      </c>
      <c r="H19" s="29">
        <f t="shared" si="8"/>
        <v>0.11851574913543322</v>
      </c>
      <c r="I19" s="29" t="s">
        <v>41</v>
      </c>
      <c r="J19" s="30">
        <f t="shared" si="19" ref="J19:J118">H19</f>
        <v>0.11851574913543322</v>
      </c>
      <c r="K19" s="1"/>
    </row>
    <row r="20" ht="15" customHeight="1">
      <c r="A20" s="1"/>
      <c r="B20" s="28" t="s">
        <v>129</v>
      </c>
      <c r="C20" s="58" t="s">
        <v>41</v>
      </c>
      <c r="D20" s="58" t="s">
        <v>41</v>
      </c>
      <c r="E20" s="58" t="s">
        <v>41</v>
      </c>
      <c r="F20" s="58" t="s">
        <v>41</v>
      </c>
      <c r="G20" s="58">
        <f t="shared" si="9" ref="G20:H125">_xlfn.IFERROR((G19-C19)*10000,"n.a.")</f>
        <v>27.074178131057806</v>
      </c>
      <c r="H20" s="58">
        <f t="shared" si="9"/>
        <v>56.25301703781824</v>
      </c>
      <c r="I20" s="58" t="s">
        <v>41</v>
      </c>
      <c r="J20" s="59">
        <f t="shared" si="20" ref="J20:J125">_xlfn.IFERROR((J19-E19)*10000,"n.a.")</f>
        <v>-201.32965486147765</v>
      </c>
      <c r="K20" s="1"/>
    </row>
    <row r="21" ht="15" customHeight="1">
      <c r="A21" s="1"/>
      <c r="B21" s="28" t="s">
        <v>130</v>
      </c>
      <c r="C21" s="58" t="s">
        <v>41</v>
      </c>
      <c r="D21" s="58">
        <f t="shared" si="10" ref="D21:H126">_xlfn.IFERROR((D19-C19)*10000,"n.a.")</f>
        <v>-6.293906037389135</v>
      </c>
      <c r="E21" s="58">
        <f t="shared" si="10"/>
        <v>257.58267189929586</v>
      </c>
      <c r="F21" s="58">
        <f t="shared" si="10"/>
        <v>-218.89549350083303</v>
      </c>
      <c r="G21" s="58">
        <f t="shared" si="10"/>
        <v>-5.319094230015891</v>
      </c>
      <c r="H21" s="58">
        <f t="shared" si="10"/>
        <v>22.884932869371294</v>
      </c>
      <c r="I21" s="58" t="s">
        <v>41</v>
      </c>
      <c r="J21" s="59">
        <f t="shared" si="21" ref="J21:J126">_xlfn.IFERROR((J19-H19)*10000,"n.a.")</f>
        <v>0</v>
      </c>
      <c r="K21" s="1"/>
    </row>
    <row r="22" ht="15" customHeight="1">
      <c r="A22" s="1"/>
      <c r="B22" s="16" t="s">
        <v>248</v>
      </c>
      <c r="C22" s="17"/>
      <c r="D22" s="17"/>
      <c r="E22" s="17"/>
      <c r="F22" s="17"/>
      <c r="G22" s="17"/>
      <c r="H22" s="17"/>
      <c r="I22" s="17"/>
      <c r="J22" s="18"/>
      <c r="K22" s="1"/>
    </row>
    <row r="23" ht="28.5" customHeight="1">
      <c r="A23" s="1"/>
      <c r="B23" s="24" t="s">
        <v>249</v>
      </c>
      <c r="C23" s="47">
        <v>19901</v>
      </c>
      <c r="D23" s="26">
        <f t="shared" si="11" ref="D23:H23">C25</f>
        <v>16885</v>
      </c>
      <c r="E23" s="26">
        <f t="shared" si="11"/>
        <v>16723</v>
      </c>
      <c r="F23" s="26">
        <f t="shared" si="11"/>
        <v>17081</v>
      </c>
      <c r="G23" s="26">
        <f t="shared" si="11"/>
        <v>17365</v>
      </c>
      <c r="H23" s="26">
        <f t="shared" si="11"/>
        <v>15684</v>
      </c>
      <c r="I23" s="26">
        <f t="shared" si="12"/>
        <v>19901</v>
      </c>
      <c r="J23" s="27">
        <f>H25</f>
        <v>16519</v>
      </c>
      <c r="K23" s="1"/>
    </row>
    <row r="24" ht="15" customHeight="1">
      <c r="A24" s="1"/>
      <c r="B24" s="19" t="s">
        <v>250</v>
      </c>
      <c r="C24" s="26">
        <f t="shared" si="13" ref="C24:J24">C25-C23</f>
        <v>-3016</v>
      </c>
      <c r="D24" s="26">
        <f t="shared" si="13"/>
        <v>-162</v>
      </c>
      <c r="E24" s="26">
        <f t="shared" si="13"/>
        <v>358</v>
      </c>
      <c r="F24" s="26">
        <f t="shared" si="13"/>
        <v>284</v>
      </c>
      <c r="G24" s="26">
        <f t="shared" si="13"/>
        <v>-1681</v>
      </c>
      <c r="H24" s="26">
        <f t="shared" si="13"/>
        <v>835</v>
      </c>
      <c r="I24" s="26">
        <f t="shared" si="13"/>
        <v>-2536</v>
      </c>
      <c r="J24" s="27">
        <f t="shared" si="13"/>
        <v>981</v>
      </c>
      <c r="K24" s="1"/>
    </row>
    <row r="25" ht="28.5" customHeight="1">
      <c r="A25" s="1"/>
      <c r="B25" s="55" t="s">
        <v>251</v>
      </c>
      <c r="C25" s="61">
        <v>16885</v>
      </c>
      <c r="D25" s="61">
        <v>16723</v>
      </c>
      <c r="E25" s="61">
        <v>17081</v>
      </c>
      <c r="F25" s="61">
        <v>17365</v>
      </c>
      <c r="G25" s="61">
        <v>15684</v>
      </c>
      <c r="H25" s="61">
        <v>16519</v>
      </c>
      <c r="I25" s="52">
        <f t="shared" si="14"/>
        <v>17365</v>
      </c>
      <c r="J25" s="62">
        <v>17500</v>
      </c>
      <c r="K25" s="1" t="s">
        <v>252</v>
      </c>
    </row>
    <row r="26" ht="15" customHeight="1">
      <c r="A26" s="1"/>
      <c r="B26" s="28" t="s">
        <v>80</v>
      </c>
      <c r="C26" s="29" t="s">
        <v>41</v>
      </c>
      <c r="D26" s="29" t="s">
        <v>41</v>
      </c>
      <c r="E26" s="29" t="s">
        <v>41</v>
      </c>
      <c r="F26" s="29" t="s">
        <v>41</v>
      </c>
      <c r="G26" s="29">
        <f t="shared" si="3"/>
        <v>-0.0711282203138881</v>
      </c>
      <c r="H26" s="29">
        <f t="shared" si="3"/>
        <v>-0.012198768163606988</v>
      </c>
      <c r="I26" s="29" t="s">
        <v>41</v>
      </c>
      <c r="J26" s="30">
        <f t="shared" si="6"/>
        <v>0.024530179731865775</v>
      </c>
      <c r="K26" s="1"/>
    </row>
    <row r="27" ht="15" customHeight="1">
      <c r="A27" s="1"/>
      <c r="B27" s="28" t="s">
        <v>93</v>
      </c>
      <c r="C27" s="50" t="s">
        <v>41</v>
      </c>
      <c r="D27" s="50">
        <f t="shared" si="4"/>
        <v>-162</v>
      </c>
      <c r="E27" s="50">
        <f t="shared" si="4"/>
        <v>358</v>
      </c>
      <c r="F27" s="50">
        <f t="shared" si="4"/>
        <v>284</v>
      </c>
      <c r="G27" s="50">
        <f t="shared" si="4"/>
        <v>-1681</v>
      </c>
      <c r="H27" s="50">
        <f t="shared" si="4"/>
        <v>835</v>
      </c>
      <c r="I27" s="50" t="s">
        <v>41</v>
      </c>
      <c r="J27" s="51">
        <f t="shared" si="7"/>
        <v>981</v>
      </c>
      <c r="K27" s="1"/>
    </row>
    <row r="28" ht="28.5" customHeight="1">
      <c r="A28" s="1"/>
      <c r="B28" s="24" t="s">
        <v>253</v>
      </c>
      <c r="C28" s="47">
        <v>18031</v>
      </c>
      <c r="D28" s="47">
        <v>16628</v>
      </c>
      <c r="E28" s="47">
        <v>16589</v>
      </c>
      <c r="F28" s="47">
        <v>17334</v>
      </c>
      <c r="G28" s="47">
        <v>15764</v>
      </c>
      <c r="H28" s="47">
        <v>16053</v>
      </c>
      <c r="I28" s="47">
        <v>17203</v>
      </c>
      <c r="J28" s="27">
        <f>AVERAGE(J23,J25)</f>
        <v>17009.5</v>
      </c>
      <c r="K28" s="1"/>
    </row>
    <row r="29" ht="15" customHeight="1">
      <c r="A29" s="1"/>
      <c r="B29" s="16" t="s">
        <v>254</v>
      </c>
      <c r="C29" s="17"/>
      <c r="D29" s="17"/>
      <c r="E29" s="17"/>
      <c r="F29" s="17"/>
      <c r="G29" s="17"/>
      <c r="H29" s="17"/>
      <c r="I29" s="17"/>
      <c r="J29" s="18"/>
      <c r="K29" s="1"/>
    </row>
    <row r="30" ht="15" customHeight="1">
      <c r="A30" s="1"/>
      <c r="B30" s="19" t="s">
        <v>255</v>
      </c>
      <c r="C30" s="47">
        <v>31586</v>
      </c>
      <c r="D30" s="26">
        <f t="shared" si="2"/>
        <v>32239</v>
      </c>
      <c r="E30" s="26">
        <f t="shared" si="2"/>
        <v>33196</v>
      </c>
      <c r="F30" s="26">
        <f t="shared" si="2"/>
        <v>33609</v>
      </c>
      <c r="G30" s="26">
        <f t="shared" si="2"/>
        <v>33686</v>
      </c>
      <c r="H30" s="26">
        <f t="shared" si="2"/>
        <v>33344</v>
      </c>
      <c r="I30" s="26">
        <f t="shared" si="12"/>
        <v>31586</v>
      </c>
      <c r="J30" s="27">
        <f t="shared" si="15"/>
        <v>32881</v>
      </c>
      <c r="K30" s="1"/>
    </row>
    <row r="31" ht="15" customHeight="1">
      <c r="A31" s="1"/>
      <c r="B31" s="19" t="s">
        <v>256</v>
      </c>
      <c r="C31" s="47">
        <v>4984</v>
      </c>
      <c r="D31" s="47">
        <v>5398</v>
      </c>
      <c r="E31" s="47">
        <v>4956</v>
      </c>
      <c r="F31" s="47">
        <v>4229</v>
      </c>
      <c r="G31" s="47">
        <v>4047</v>
      </c>
      <c r="H31" s="47">
        <v>4129</v>
      </c>
      <c r="I31" s="47">
        <v>19567</v>
      </c>
      <c r="J31" s="49">
        <v>4200</v>
      </c>
      <c r="K31" s="1" t="s">
        <v>257</v>
      </c>
    </row>
    <row r="32" ht="15" customHeight="1">
      <c r="A32" s="1"/>
      <c r="B32" s="28" t="s">
        <v>80</v>
      </c>
      <c r="C32" s="29" t="s">
        <v>41</v>
      </c>
      <c r="D32" s="29" t="s">
        <v>41</v>
      </c>
      <c r="E32" s="29" t="s">
        <v>41</v>
      </c>
      <c r="F32" s="29" t="s">
        <v>41</v>
      </c>
      <c r="G32" s="29">
        <f t="shared" si="3"/>
        <v>-0.1880016051364366</v>
      </c>
      <c r="H32" s="29">
        <f t="shared" si="3"/>
        <v>-0.2350870692849203</v>
      </c>
      <c r="I32" s="29" t="s">
        <v>41</v>
      </c>
      <c r="J32" s="30">
        <f t="shared" si="6"/>
        <v>-0.15254237288135597</v>
      </c>
      <c r="K32" s="1"/>
    </row>
    <row r="33" ht="15" customHeight="1">
      <c r="A33" s="1"/>
      <c r="B33" s="28" t="s">
        <v>93</v>
      </c>
      <c r="C33" s="50" t="s">
        <v>41</v>
      </c>
      <c r="D33" s="50">
        <f t="shared" si="4"/>
        <v>414</v>
      </c>
      <c r="E33" s="50">
        <f t="shared" si="4"/>
        <v>-442</v>
      </c>
      <c r="F33" s="50">
        <f t="shared" si="4"/>
        <v>-727</v>
      </c>
      <c r="G33" s="50">
        <f t="shared" si="4"/>
        <v>-182</v>
      </c>
      <c r="H33" s="50">
        <f t="shared" si="4"/>
        <v>82</v>
      </c>
      <c r="I33" s="50" t="s">
        <v>41</v>
      </c>
      <c r="J33" s="51">
        <f t="shared" si="7"/>
        <v>71</v>
      </c>
      <c r="K33" s="1"/>
    </row>
    <row r="34" ht="28.5" customHeight="1">
      <c r="A34" s="1"/>
      <c r="B34" s="24" t="s">
        <v>258</v>
      </c>
      <c r="C34" s="26">
        <f t="shared" si="5"/>
        <v>-4331</v>
      </c>
      <c r="D34" s="26">
        <f t="shared" si="5"/>
        <v>-4441</v>
      </c>
      <c r="E34" s="26">
        <f t="shared" si="5"/>
        <v>-4543</v>
      </c>
      <c r="F34" s="26">
        <f t="shared" si="5"/>
        <v>-4152</v>
      </c>
      <c r="G34" s="26">
        <f t="shared" si="5"/>
        <v>-4389</v>
      </c>
      <c r="H34" s="26">
        <f t="shared" si="5"/>
        <v>-4592</v>
      </c>
      <c r="I34" s="26">
        <f t="shared" si="5"/>
        <v>-17467</v>
      </c>
      <c r="J34" s="27">
        <f t="shared" si="16"/>
        <v>-4528.237523992322</v>
      </c>
      <c r="K34" s="1"/>
    </row>
    <row r="35" ht="15" customHeight="1">
      <c r="A35" s="1"/>
      <c r="B35" s="4" t="s">
        <v>259</v>
      </c>
      <c r="C35" s="61">
        <v>32239</v>
      </c>
      <c r="D35" s="61">
        <v>33196</v>
      </c>
      <c r="E35" s="61">
        <v>33609</v>
      </c>
      <c r="F35" s="61">
        <v>33686</v>
      </c>
      <c r="G35" s="61">
        <v>33344</v>
      </c>
      <c r="H35" s="61">
        <v>32881</v>
      </c>
      <c r="I35" s="52">
        <f t="shared" si="14"/>
        <v>33686</v>
      </c>
      <c r="J35" s="53">
        <f t="shared" si="17"/>
        <v>32552.76247600768</v>
      </c>
      <c r="K35" s="1"/>
    </row>
    <row r="36" ht="15" customHeight="1">
      <c r="A36" s="1"/>
      <c r="B36" s="28" t="s">
        <v>80</v>
      </c>
      <c r="C36" s="29" t="s">
        <v>41</v>
      </c>
      <c r="D36" s="29" t="s">
        <v>41</v>
      </c>
      <c r="E36" s="29" t="s">
        <v>41</v>
      </c>
      <c r="F36" s="29" t="s">
        <v>41</v>
      </c>
      <c r="G36" s="29">
        <f t="shared" si="3"/>
        <v>0.03427525667669595</v>
      </c>
      <c r="H36" s="29">
        <f t="shared" si="3"/>
        <v>-0.009489095071695375</v>
      </c>
      <c r="I36" s="29" t="s">
        <v>41</v>
      </c>
      <c r="J36" s="30">
        <f t="shared" si="6"/>
        <v>-0.031427222588958914</v>
      </c>
      <c r="K36" s="1"/>
    </row>
    <row r="37" ht="15" customHeight="1">
      <c r="A37" s="1"/>
      <c r="B37" s="28" t="s">
        <v>93</v>
      </c>
      <c r="C37" s="50" t="s">
        <v>41</v>
      </c>
      <c r="D37" s="50">
        <f t="shared" si="4"/>
        <v>957</v>
      </c>
      <c r="E37" s="50">
        <f t="shared" si="4"/>
        <v>413</v>
      </c>
      <c r="F37" s="50">
        <f t="shared" si="4"/>
        <v>77</v>
      </c>
      <c r="G37" s="50">
        <f t="shared" si="4"/>
        <v>-342</v>
      </c>
      <c r="H37" s="50">
        <f t="shared" si="4"/>
        <v>-463</v>
      </c>
      <c r="I37" s="50" t="s">
        <v>41</v>
      </c>
      <c r="J37" s="51">
        <f t="shared" si="7"/>
        <v>-328.23752399232035</v>
      </c>
      <c r="K37" s="1"/>
    </row>
    <row r="38" ht="15" customHeight="1">
      <c r="A38" s="1"/>
      <c r="B38" s="19" t="s">
        <v>260</v>
      </c>
      <c r="C38" s="47">
        <v>31941</v>
      </c>
      <c r="D38" s="47">
        <v>32786</v>
      </c>
      <c r="E38" s="47">
        <v>33377</v>
      </c>
      <c r="F38" s="47">
        <v>33662</v>
      </c>
      <c r="G38" s="47">
        <v>33542</v>
      </c>
      <c r="H38" s="47">
        <v>33196</v>
      </c>
      <c r="I38" s="47">
        <v>32925</v>
      </c>
      <c r="J38" s="27">
        <f t="shared" si="18"/>
        <v>32716.88123800384</v>
      </c>
      <c r="K38" s="1"/>
    </row>
    <row r="39" ht="28.5" customHeight="1">
      <c r="A39" s="1"/>
      <c r="B39" s="60" t="s">
        <v>261</v>
      </c>
      <c r="C39" s="29">
        <f t="shared" si="8"/>
        <v>0.13711771037801557</v>
      </c>
      <c r="D39" s="29">
        <f t="shared" si="8"/>
        <v>0.1377524116753001</v>
      </c>
      <c r="E39" s="29">
        <f t="shared" si="8"/>
        <v>0.13685383781178456</v>
      </c>
      <c r="F39" s="29">
        <f t="shared" si="8"/>
        <v>0.12353833794519326</v>
      </c>
      <c r="G39" s="29">
        <f t="shared" si="8"/>
        <v>0.1302915157632251</v>
      </c>
      <c r="H39" s="29">
        <f t="shared" si="8"/>
        <v>0.13771593090211132</v>
      </c>
      <c r="I39" s="29" t="s">
        <v>41</v>
      </c>
      <c r="J39" s="30">
        <f t="shared" si="19"/>
        <v>0.13771593090211132</v>
      </c>
      <c r="K39" s="1"/>
    </row>
    <row r="40" ht="15" customHeight="1">
      <c r="A40" s="1"/>
      <c r="B40" s="28" t="s">
        <v>129</v>
      </c>
      <c r="C40" s="58" t="s">
        <v>41</v>
      </c>
      <c r="D40" s="58" t="s">
        <v>41</v>
      </c>
      <c r="E40" s="58" t="s">
        <v>41</v>
      </c>
      <c r="F40" s="58" t="s">
        <v>41</v>
      </c>
      <c r="G40" s="58">
        <f t="shared" si="9"/>
        <v>-68.26194614790477</v>
      </c>
      <c r="H40" s="58">
        <f t="shared" si="9"/>
        <v>-0.3648077318879617</v>
      </c>
      <c r="I40" s="58" t="s">
        <v>41</v>
      </c>
      <c r="J40" s="59">
        <f t="shared" si="20"/>
        <v>8.620930903267542</v>
      </c>
      <c r="K40" s="1"/>
    </row>
    <row r="41" ht="15" customHeight="1">
      <c r="A41" s="1"/>
      <c r="B41" s="28" t="s">
        <v>130</v>
      </c>
      <c r="C41" s="58" t="s">
        <v>41</v>
      </c>
      <c r="D41" s="58">
        <f t="shared" si="10"/>
        <v>6.347012972845456</v>
      </c>
      <c r="E41" s="58">
        <f t="shared" si="10"/>
        <v>-8.985738635155505</v>
      </c>
      <c r="F41" s="58">
        <f t="shared" si="10"/>
        <v>-133.15499866591307</v>
      </c>
      <c r="G41" s="58">
        <f t="shared" si="10"/>
        <v>67.53177818031835</v>
      </c>
      <c r="H41" s="58">
        <f t="shared" si="10"/>
        <v>74.24415138886225</v>
      </c>
      <c r="I41" s="58" t="s">
        <v>41</v>
      </c>
      <c r="J41" s="59">
        <f t="shared" si="21"/>
        <v>0</v>
      </c>
      <c r="K41" s="1"/>
    </row>
    <row r="42" ht="15" customHeight="1">
      <c r="A42" s="1"/>
      <c r="B42" s="16" t="s">
        <v>262</v>
      </c>
      <c r="C42" s="17"/>
      <c r="D42" s="17"/>
      <c r="E42" s="17"/>
      <c r="F42" s="17"/>
      <c r="G42" s="17"/>
      <c r="H42" s="17"/>
      <c r="I42" s="17"/>
      <c r="J42" s="18"/>
      <c r="K42" s="1"/>
    </row>
    <row r="43" ht="15" customHeight="1">
      <c r="A43" s="1"/>
      <c r="B43" s="4" t="s">
        <v>263</v>
      </c>
      <c r="C43" s="52">
        <f t="shared" si="22" ref="C43:J43">C15+C25+C35</f>
        <v>126119</v>
      </c>
      <c r="D43" s="52">
        <f t="shared" si="22"/>
        <v>127756</v>
      </c>
      <c r="E43" s="52">
        <f t="shared" si="22"/>
        <v>126547</v>
      </c>
      <c r="F43" s="52">
        <f t="shared" si="22"/>
        <v>126455</v>
      </c>
      <c r="G43" s="52">
        <f t="shared" si="22"/>
        <v>123921</v>
      </c>
      <c r="H43" s="52">
        <f t="shared" si="22"/>
        <v>125464</v>
      </c>
      <c r="I43" s="52">
        <f t="shared" si="22"/>
        <v>126455</v>
      </c>
      <c r="J43" s="53">
        <f t="shared" si="22"/>
        <v>126901.98053377008</v>
      </c>
      <c r="K43" s="1"/>
    </row>
    <row r="44" ht="15" customHeight="1">
      <c r="A44" s="1"/>
      <c r="B44" s="28" t="s">
        <v>80</v>
      </c>
      <c r="C44" s="29" t="s">
        <v>41</v>
      </c>
      <c r="D44" s="29" t="s">
        <v>41</v>
      </c>
      <c r="E44" s="29" t="s">
        <v>41</v>
      </c>
      <c r="F44" s="29" t="s">
        <v>41</v>
      </c>
      <c r="G44" s="29">
        <f t="shared" si="3"/>
        <v>-0.01742798468113449</v>
      </c>
      <c r="H44" s="29">
        <f t="shared" si="3"/>
        <v>-0.017940448980869772</v>
      </c>
      <c r="I44" s="29" t="s">
        <v>41</v>
      </c>
      <c r="J44" s="30">
        <f t="shared" si="6"/>
        <v>0.00280512800595889</v>
      </c>
      <c r="K44" s="1"/>
    </row>
    <row r="45" ht="15" customHeight="1">
      <c r="A45" s="1"/>
      <c r="B45" s="28" t="s">
        <v>93</v>
      </c>
      <c r="C45" s="50" t="s">
        <v>41</v>
      </c>
      <c r="D45" s="50">
        <f t="shared" si="4"/>
        <v>1637</v>
      </c>
      <c r="E45" s="50">
        <f t="shared" si="4"/>
        <v>-1209</v>
      </c>
      <c r="F45" s="50">
        <f t="shared" si="4"/>
        <v>-92</v>
      </c>
      <c r="G45" s="50">
        <f t="shared" si="4"/>
        <v>-2534</v>
      </c>
      <c r="H45" s="50">
        <f t="shared" si="4"/>
        <v>1543</v>
      </c>
      <c r="I45" s="50" t="s">
        <v>41</v>
      </c>
      <c r="J45" s="51">
        <f t="shared" si="7"/>
        <v>1437.9805337700818</v>
      </c>
      <c r="K45" s="1"/>
    </row>
    <row r="46" ht="28.5" customHeight="1">
      <c r="A46" s="1"/>
      <c r="B46" s="24" t="s">
        <v>264</v>
      </c>
      <c r="C46" s="47">
        <v>126119</v>
      </c>
      <c r="D46" s="47">
        <v>127756</v>
      </c>
      <c r="E46" s="47">
        <v>126547</v>
      </c>
      <c r="F46" s="47">
        <v>126456</v>
      </c>
      <c r="G46" s="47">
        <v>123922</v>
      </c>
      <c r="H46" s="47">
        <v>125463</v>
      </c>
      <c r="I46" s="26">
        <f t="shared" si="14"/>
        <v>126456</v>
      </c>
      <c r="J46" s="27" t="s">
        <v>41</v>
      </c>
      <c r="K46" s="1"/>
    </row>
    <row r="47" ht="28.5" customHeight="1">
      <c r="A47" s="1"/>
      <c r="B47" s="24" t="s">
        <v>265</v>
      </c>
      <c r="C47" s="26">
        <f t="shared" si="23" ref="C47:I53">_xlfn.IFERROR(IF(ABS(C43-C46)&lt;=2,0,C43-C46),1)</f>
        <v>0</v>
      </c>
      <c r="D47" s="26">
        <f t="shared" si="23"/>
        <v>0</v>
      </c>
      <c r="E47" s="26">
        <f t="shared" si="23"/>
        <v>0</v>
      </c>
      <c r="F47" s="26">
        <f t="shared" si="23"/>
        <v>0</v>
      </c>
      <c r="G47" s="26">
        <f t="shared" si="23"/>
        <v>0</v>
      </c>
      <c r="H47" s="26">
        <f t="shared" si="23"/>
        <v>0</v>
      </c>
      <c r="I47" s="26">
        <f t="shared" si="23"/>
        <v>0</v>
      </c>
      <c r="J47" s="27"/>
      <c r="K47" s="1"/>
    </row>
    <row r="48" ht="15" customHeight="1">
      <c r="A48" s="1"/>
      <c r="B48" s="19" t="s">
        <v>266</v>
      </c>
      <c r="C48" s="26">
        <f t="shared" si="24" ref="C48:J48">C18+C28</f>
        <v>94971</v>
      </c>
      <c r="D48" s="26">
        <f t="shared" si="24"/>
        <v>94205</v>
      </c>
      <c r="E48" s="26">
        <f t="shared" si="24"/>
        <v>93388</v>
      </c>
      <c r="F48" s="26">
        <f t="shared" si="24"/>
        <v>92944</v>
      </c>
      <c r="G48" s="26">
        <f t="shared" si="24"/>
        <v>90934</v>
      </c>
      <c r="H48" s="26">
        <f t="shared" si="24"/>
        <v>91604</v>
      </c>
      <c r="I48" s="26">
        <f t="shared" si="24"/>
        <v>93920</v>
      </c>
      <c r="J48" s="27">
        <f t="shared" si="24"/>
        <v>93466.10902888121</v>
      </c>
      <c r="K48" s="1"/>
    </row>
    <row r="49" ht="15" customHeight="1">
      <c r="A49" s="1"/>
      <c r="B49" s="4" t="s">
        <v>267</v>
      </c>
      <c r="C49" s="52">
        <f t="shared" si="25" ref="C49:J49">C48+C38</f>
        <v>126912</v>
      </c>
      <c r="D49" s="52">
        <f t="shared" si="25"/>
        <v>126991</v>
      </c>
      <c r="E49" s="52">
        <f t="shared" si="25"/>
        <v>126765</v>
      </c>
      <c r="F49" s="52">
        <f t="shared" si="25"/>
        <v>126606</v>
      </c>
      <c r="G49" s="52">
        <f t="shared" si="25"/>
        <v>124476</v>
      </c>
      <c r="H49" s="52">
        <f t="shared" si="25"/>
        <v>124800</v>
      </c>
      <c r="I49" s="52">
        <f t="shared" si="25"/>
        <v>126845</v>
      </c>
      <c r="J49" s="53">
        <f t="shared" si="25"/>
        <v>126182.99026688506</v>
      </c>
      <c r="K49" s="1"/>
    </row>
    <row r="50" ht="15" customHeight="1">
      <c r="A50" s="1"/>
      <c r="B50" s="28" t="s">
        <v>80</v>
      </c>
      <c r="C50" s="29" t="s">
        <v>41</v>
      </c>
      <c r="D50" s="29" t="s">
        <v>41</v>
      </c>
      <c r="E50" s="29" t="s">
        <v>41</v>
      </c>
      <c r="F50" s="29" t="s">
        <v>41</v>
      </c>
      <c r="G50" s="29">
        <f t="shared" si="3"/>
        <v>-0.019194402420574908</v>
      </c>
      <c r="H50" s="29">
        <f t="shared" si="3"/>
        <v>-0.01725319117102786</v>
      </c>
      <c r="I50" s="29" t="s">
        <v>41</v>
      </c>
      <c r="J50" s="30">
        <f t="shared" si="6"/>
        <v>-0.00459124942306588</v>
      </c>
      <c r="K50" s="1"/>
    </row>
    <row r="51" ht="15" customHeight="1">
      <c r="A51" s="1"/>
      <c r="B51" s="28" t="s">
        <v>93</v>
      </c>
      <c r="C51" s="50" t="s">
        <v>41</v>
      </c>
      <c r="D51" s="50">
        <f t="shared" si="4"/>
        <v>79</v>
      </c>
      <c r="E51" s="50">
        <f t="shared" si="4"/>
        <v>-226</v>
      </c>
      <c r="F51" s="50">
        <f t="shared" si="4"/>
        <v>-159</v>
      </c>
      <c r="G51" s="50">
        <f t="shared" si="4"/>
        <v>-2130</v>
      </c>
      <c r="H51" s="50">
        <f t="shared" si="4"/>
        <v>324</v>
      </c>
      <c r="I51" s="50" t="s">
        <v>41</v>
      </c>
      <c r="J51" s="51">
        <f t="shared" si="7"/>
        <v>1382.9902668850555</v>
      </c>
      <c r="K51" s="1"/>
    </row>
    <row r="52" ht="28.5" customHeight="1">
      <c r="A52" s="1"/>
      <c r="B52" s="24" t="s">
        <v>268</v>
      </c>
      <c r="C52" s="47">
        <v>126912</v>
      </c>
      <c r="D52" s="47">
        <v>126990</v>
      </c>
      <c r="E52" s="47">
        <v>126765</v>
      </c>
      <c r="F52" s="47">
        <v>126606</v>
      </c>
      <c r="G52" s="47">
        <v>124477</v>
      </c>
      <c r="H52" s="47">
        <v>124800</v>
      </c>
      <c r="I52" s="47">
        <v>126844</v>
      </c>
      <c r="J52" s="27" t="s">
        <v>41</v>
      </c>
      <c r="K52" s="1"/>
    </row>
    <row r="53" ht="28.5" customHeight="1">
      <c r="A53" s="1"/>
      <c r="B53" s="24" t="s">
        <v>269</v>
      </c>
      <c r="C53" s="26">
        <f t="shared" si="23"/>
        <v>0</v>
      </c>
      <c r="D53" s="26">
        <f t="shared" si="23"/>
        <v>0</v>
      </c>
      <c r="E53" s="26">
        <f t="shared" si="23"/>
        <v>0</v>
      </c>
      <c r="F53" s="26">
        <f t="shared" si="23"/>
        <v>0</v>
      </c>
      <c r="G53" s="26">
        <f t="shared" si="23"/>
        <v>0</v>
      </c>
      <c r="H53" s="26">
        <f t="shared" si="23"/>
        <v>0</v>
      </c>
      <c r="I53" s="26">
        <f t="shared" si="23"/>
        <v>0</v>
      </c>
      <c r="J53" s="27"/>
      <c r="K53" s="1"/>
    </row>
    <row r="54" ht="15" customHeight="1">
      <c r="A54" s="1"/>
      <c r="B54" s="1"/>
      <c r="C54" s="17"/>
      <c r="D54" s="17"/>
      <c r="E54" s="17"/>
      <c r="F54" s="17"/>
      <c r="G54" s="17"/>
      <c r="H54" s="17"/>
      <c r="I54" s="17"/>
      <c r="J54" s="18"/>
      <c r="K54" s="1"/>
    </row>
    <row r="55" ht="15" customHeight="1">
      <c r="A55" s="1"/>
      <c r="B55" s="16" t="s">
        <v>270</v>
      </c>
      <c r="C55" s="17"/>
      <c r="D55" s="17"/>
      <c r="E55" s="17"/>
      <c r="F55" s="17"/>
      <c r="G55" s="17"/>
      <c r="H55" s="17"/>
      <c r="I55" s="17"/>
      <c r="J55" s="18"/>
      <c r="K55" s="1" t="s">
        <v>271</v>
      </c>
    </row>
    <row r="56" ht="15" customHeight="1">
      <c r="A56" s="1"/>
      <c r="B56" s="19" t="s">
        <v>272</v>
      </c>
      <c r="C56" s="47">
        <v>2025</v>
      </c>
      <c r="D56" s="47">
        <v>2048</v>
      </c>
      <c r="E56" s="47">
        <v>2060</v>
      </c>
      <c r="F56" s="26">
        <f t="shared" si="31" ref="F56:F67">I56-C56-D56-E56</f>
        <v>2040</v>
      </c>
      <c r="G56" s="47">
        <v>1966</v>
      </c>
      <c r="H56" s="47">
        <v>2006</v>
      </c>
      <c r="I56" s="47">
        <v>8173</v>
      </c>
      <c r="J56" s="27">
        <f>J64*J48*J$7/365</f>
        <v>2061.375829267106</v>
      </c>
      <c r="K56" s="1"/>
    </row>
    <row r="57" ht="15" customHeight="1">
      <c r="A57" s="1"/>
      <c r="B57" s="28" t="s">
        <v>80</v>
      </c>
      <c r="C57" s="29" t="s">
        <v>41</v>
      </c>
      <c r="D57" s="29" t="s">
        <v>41</v>
      </c>
      <c r="E57" s="29" t="s">
        <v>41</v>
      </c>
      <c r="F57" s="29" t="s">
        <v>41</v>
      </c>
      <c r="G57" s="29">
        <f t="shared" si="3"/>
        <v>-0.02913580246913583</v>
      </c>
      <c r="H57" s="29">
        <f t="shared" si="3"/>
        <v>-0.0205078125</v>
      </c>
      <c r="I57" s="29" t="s">
        <v>41</v>
      </c>
      <c r="J57" s="30">
        <f t="shared" si="6"/>
        <v>0.0006678782850029208</v>
      </c>
      <c r="K57" s="1"/>
    </row>
    <row r="58" ht="15" customHeight="1">
      <c r="A58" s="1"/>
      <c r="B58" s="28" t="s">
        <v>81</v>
      </c>
      <c r="C58" s="29" t="s">
        <v>41</v>
      </c>
      <c r="D58" s="29">
        <f t="shared" si="26" ref="D58:H91">_xlfn.IFERROR(D56/C56-1,"n.a.")</f>
        <v>0.011358024691358048</v>
      </c>
      <c r="E58" s="29">
        <f t="shared" si="26"/>
        <v>0.005859375</v>
      </c>
      <c r="F58" s="29">
        <f t="shared" si="26"/>
        <v>-0.009708737864077666</v>
      </c>
      <c r="G58" s="29">
        <f t="shared" si="26"/>
        <v>-0.03627450980392155</v>
      </c>
      <c r="H58" s="29">
        <f t="shared" si="26"/>
        <v>0.020345879959308144</v>
      </c>
      <c r="I58" s="29" t="s">
        <v>41</v>
      </c>
      <c r="J58" s="30">
        <f t="shared" si="32" ref="J58:J91">_xlfn.IFERROR(J56/H56-1,"n.a.")</f>
        <v>0.027605099335546335</v>
      </c>
      <c r="K58" s="1"/>
    </row>
    <row r="59" ht="15" customHeight="1">
      <c r="A59" s="1"/>
      <c r="B59" s="28" t="s">
        <v>82</v>
      </c>
      <c r="C59" s="29">
        <f t="shared" si="27" ref="C59:J59">_xlfn.IFERROR(C56/C89,"n.a.")</f>
        <v>0.48631123919308356</v>
      </c>
      <c r="D59" s="29">
        <f t="shared" si="27"/>
        <v>0.48131609870740305</v>
      </c>
      <c r="E59" s="29">
        <f t="shared" si="27"/>
        <v>0.4749827069402813</v>
      </c>
      <c r="F59" s="29">
        <f t="shared" si="27"/>
        <v>0.4739776951672863</v>
      </c>
      <c r="G59" s="29">
        <f t="shared" si="27"/>
        <v>0.4596679915828852</v>
      </c>
      <c r="H59" s="29">
        <f t="shared" si="27"/>
        <v>0.4701195219123506</v>
      </c>
      <c r="I59" s="29">
        <f t="shared" si="27"/>
        <v>0.479073856975381</v>
      </c>
      <c r="J59" s="30">
        <f t="shared" si="27"/>
        <v>0.4764889158105639</v>
      </c>
      <c r="K59" s="1"/>
    </row>
    <row r="60" ht="15" customHeight="1">
      <c r="A60" s="1"/>
      <c r="B60" s="28" t="s">
        <v>83</v>
      </c>
      <c r="C60" s="29" t="s">
        <v>84</v>
      </c>
      <c r="D60" s="29" t="s">
        <v>84</v>
      </c>
      <c r="E60" s="29" t="s">
        <v>84</v>
      </c>
      <c r="F60" s="29" t="s">
        <v>84</v>
      </c>
      <c r="G60" s="29" t="s">
        <v>84</v>
      </c>
      <c r="H60" s="29" t="s">
        <v>84</v>
      </c>
      <c r="I60" s="29" t="s">
        <v>84</v>
      </c>
      <c r="J60" s="30" t="s">
        <v>84</v>
      </c>
      <c r="K60" s="1" t="s">
        <v>85</v>
      </c>
    </row>
    <row r="61" ht="15" customHeight="1">
      <c r="A61" s="1"/>
      <c r="B61" s="28" t="s">
        <v>86</v>
      </c>
      <c r="C61" s="29" t="s">
        <v>84</v>
      </c>
      <c r="D61" s="29" t="s">
        <v>84</v>
      </c>
      <c r="E61" s="29" t="s">
        <v>84</v>
      </c>
      <c r="F61" s="29" t="s">
        <v>84</v>
      </c>
      <c r="G61" s="29" t="s">
        <v>84</v>
      </c>
      <c r="H61" s="29" t="s">
        <v>84</v>
      </c>
      <c r="I61" s="29" t="s">
        <v>84</v>
      </c>
      <c r="J61" s="30" t="s">
        <v>84</v>
      </c>
      <c r="K61" s="1" t="s">
        <v>87</v>
      </c>
    </row>
    <row r="62" ht="15" customHeight="1">
      <c r="A62" s="1"/>
      <c r="B62" s="28" t="s">
        <v>88</v>
      </c>
      <c r="C62" s="29" t="str">
        <f t="shared" si="28" ref="C62:J95">IF(AND(ISNUMBER(C57),ISNUMBER(C60),ISNUMBER(C61)),(1+C57)/((1+C60)*(1+C61))-1,"Unavailable")</f>
        <v>Unavailable</v>
      </c>
      <c r="D62" s="29" t="str">
        <f t="shared" si="28"/>
        <v>Unavailable</v>
      </c>
      <c r="E62" s="29" t="str">
        <f t="shared" si="28"/>
        <v>Unavailable</v>
      </c>
      <c r="F62" s="29" t="str">
        <f t="shared" si="28"/>
        <v>Unavailable</v>
      </c>
      <c r="G62" s="29" t="str">
        <f t="shared" si="28"/>
        <v>Unavailable</v>
      </c>
      <c r="H62" s="29" t="str">
        <f t="shared" si="28"/>
        <v>Unavailable</v>
      </c>
      <c r="I62" s="29" t="str">
        <f t="shared" si="28"/>
        <v>Unavailable</v>
      </c>
      <c r="J62" s="30" t="str">
        <f t="shared" si="28"/>
        <v>Unavailable</v>
      </c>
      <c r="K62" s="1"/>
    </row>
    <row r="63" ht="15" customHeight="1">
      <c r="A63" s="1"/>
      <c r="B63" s="28" t="s">
        <v>89</v>
      </c>
      <c r="C63" s="29" t="str">
        <f t="shared" si="29" ref="C63:J96">C57</f>
        <v>n.a.</v>
      </c>
      <c r="D63" s="29" t="str">
        <f t="shared" si="29"/>
        <v>n.a.</v>
      </c>
      <c r="E63" s="29" t="str">
        <f t="shared" si="29"/>
        <v>n.a.</v>
      </c>
      <c r="F63" s="29" t="str">
        <f t="shared" si="29"/>
        <v>n.a.</v>
      </c>
      <c r="G63" s="29">
        <f t="shared" si="29"/>
        <v>-0.02913580246913583</v>
      </c>
      <c r="H63" s="29">
        <f t="shared" si="29"/>
        <v>-0.0205078125</v>
      </c>
      <c r="I63" s="29" t="str">
        <f t="shared" si="29"/>
        <v>n.a.</v>
      </c>
      <c r="J63" s="30">
        <f t="shared" si="29"/>
        <v>0.0006678782850029208</v>
      </c>
      <c r="K63" s="1"/>
    </row>
    <row r="64" ht="41.25" customHeight="1">
      <c r="A64" s="1"/>
      <c r="B64" s="70" t="s">
        <v>273</v>
      </c>
      <c r="C64" s="29">
        <f t="shared" si="30" ref="C64:I64">_xlfn.IFERROR(C56*365/C$7/C48,"n.a.")</f>
        <v>0.0864737656758379</v>
      </c>
      <c r="D64" s="29">
        <f t="shared" si="30"/>
        <v>0.08719819005897239</v>
      </c>
      <c r="E64" s="29">
        <f t="shared" si="30"/>
        <v>0.0875147351582272</v>
      </c>
      <c r="F64" s="29">
        <f t="shared" si="30"/>
        <v>0.08707908268279356</v>
      </c>
      <c r="G64" s="29">
        <f t="shared" si="30"/>
        <v>0.08768141973543694</v>
      </c>
      <c r="H64" s="29">
        <f t="shared" si="30"/>
        <v>0.0878350722244002</v>
      </c>
      <c r="I64" s="29">
        <f t="shared" si="30"/>
        <v>0.08702086882453151</v>
      </c>
      <c r="J64" s="56">
        <v>0.0875</v>
      </c>
      <c r="K64" s="1"/>
    </row>
    <row r="65" ht="15" customHeight="1">
      <c r="A65" s="1"/>
      <c r="B65" s="71" t="s">
        <v>129</v>
      </c>
      <c r="C65" s="58" t="s">
        <v>41</v>
      </c>
      <c r="D65" s="58" t="s">
        <v>41</v>
      </c>
      <c r="E65" s="58" t="s">
        <v>41</v>
      </c>
      <c r="F65" s="58" t="s">
        <v>41</v>
      </c>
      <c r="G65" s="58">
        <f t="shared" si="9"/>
        <v>12.076540595990505</v>
      </c>
      <c r="H65" s="58">
        <f t="shared" si="9"/>
        <v>6.368821654278156</v>
      </c>
      <c r="I65" s="58" t="s">
        <v>41</v>
      </c>
      <c r="J65" s="59">
        <f t="shared" si="20"/>
        <v>-0.14735158227210943</v>
      </c>
      <c r="K65" s="1"/>
    </row>
    <row r="66" ht="15" customHeight="1">
      <c r="A66" s="1"/>
      <c r="B66" s="71" t="s">
        <v>130</v>
      </c>
      <c r="C66" s="58" t="s">
        <v>41</v>
      </c>
      <c r="D66" s="58">
        <f t="shared" si="10"/>
        <v>7.244243831344976</v>
      </c>
      <c r="E66" s="58">
        <f t="shared" si="10"/>
        <v>3.1654509925481413</v>
      </c>
      <c r="F66" s="58">
        <f t="shared" si="10"/>
        <v>-4.356524754336455</v>
      </c>
      <c r="G66" s="58">
        <f t="shared" si="10"/>
        <v>6.023370526433841</v>
      </c>
      <c r="H66" s="58">
        <f t="shared" si="10"/>
        <v>1.536524889632629</v>
      </c>
      <c r="I66" s="58" t="s">
        <v>41</v>
      </c>
      <c r="J66" s="59">
        <f t="shared" si="21"/>
        <v>-3.3507222440021245</v>
      </c>
      <c r="K66" s="1"/>
    </row>
    <row r="67" ht="15" customHeight="1">
      <c r="A67" s="1"/>
      <c r="B67" s="19" t="s">
        <v>274</v>
      </c>
      <c r="C67" s="47">
        <v>1902</v>
      </c>
      <c r="D67" s="47">
        <v>1940</v>
      </c>
      <c r="E67" s="47">
        <v>1968</v>
      </c>
      <c r="F67" s="26">
        <f t="shared" si="31"/>
        <v>1990</v>
      </c>
      <c r="G67" s="47">
        <v>1985</v>
      </c>
      <c r="H67" s="47">
        <v>1970</v>
      </c>
      <c r="I67" s="47">
        <v>7800</v>
      </c>
      <c r="J67" s="27">
        <f t="shared" si="35" ref="J67:J78">J75*J38*J$7/365</f>
        <v>1962.6543331159783</v>
      </c>
      <c r="K67" s="1"/>
    </row>
    <row r="68" ht="15" customHeight="1">
      <c r="A68" s="1"/>
      <c r="B68" s="28" t="s">
        <v>80</v>
      </c>
      <c r="C68" s="29" t="s">
        <v>41</v>
      </c>
      <c r="D68" s="29" t="s">
        <v>41</v>
      </c>
      <c r="E68" s="29" t="s">
        <v>41</v>
      </c>
      <c r="F68" s="29" t="s">
        <v>41</v>
      </c>
      <c r="G68" s="29">
        <f t="shared" si="3"/>
        <v>0.04363827549947419</v>
      </c>
      <c r="H68" s="29">
        <f t="shared" si="3"/>
        <v>0.015463917525773141</v>
      </c>
      <c r="I68" s="29" t="s">
        <v>41</v>
      </c>
      <c r="J68" s="30">
        <f t="shared" si="6"/>
        <v>-0.0027162941483850345</v>
      </c>
      <c r="K68" s="1"/>
    </row>
    <row r="69" ht="15" customHeight="1">
      <c r="A69" s="1"/>
      <c r="B69" s="28" t="s">
        <v>81</v>
      </c>
      <c r="C69" s="29" t="s">
        <v>41</v>
      </c>
      <c r="D69" s="29">
        <f t="shared" si="26"/>
        <v>0.019978969505783484</v>
      </c>
      <c r="E69" s="29">
        <f t="shared" si="26"/>
        <v>0.014432989690721598</v>
      </c>
      <c r="F69" s="29">
        <f t="shared" si="26"/>
        <v>0.011178861788617933</v>
      </c>
      <c r="G69" s="29">
        <f t="shared" si="26"/>
        <v>-0.002512562814070307</v>
      </c>
      <c r="H69" s="29">
        <f t="shared" si="26"/>
        <v>-0.007556675062972307</v>
      </c>
      <c r="I69" s="29" t="s">
        <v>41</v>
      </c>
      <c r="J69" s="30">
        <f t="shared" si="32"/>
        <v>-0.0037287649157470293</v>
      </c>
      <c r="K69" s="1"/>
    </row>
    <row r="70" ht="15" customHeight="1">
      <c r="A70" s="1"/>
      <c r="B70" s="28" t="s">
        <v>82</v>
      </c>
      <c r="C70" s="29">
        <f t="shared" si="33" ref="C70:J70">_xlfn.IFERROR(C67/C89,"n.a.")</f>
        <v>0.45677233429394815</v>
      </c>
      <c r="D70" s="29">
        <f t="shared" si="33"/>
        <v>0.45593419506462984</v>
      </c>
      <c r="E70" s="29">
        <f t="shared" si="33"/>
        <v>0.4537698870186765</v>
      </c>
      <c r="F70" s="29">
        <f t="shared" si="33"/>
        <v>0.46236059479553904</v>
      </c>
      <c r="G70" s="29">
        <f t="shared" si="33"/>
        <v>0.464110357727379</v>
      </c>
      <c r="H70" s="29">
        <f t="shared" si="33"/>
        <v>0.4616826810405437</v>
      </c>
      <c r="I70" s="29">
        <f t="shared" si="33"/>
        <v>0.45720984759671746</v>
      </c>
      <c r="J70" s="30">
        <f t="shared" si="33"/>
        <v>0.45366935132339714</v>
      </c>
      <c r="K70" s="1"/>
    </row>
    <row r="71" ht="15" customHeight="1">
      <c r="A71" s="1"/>
      <c r="B71" s="28" t="s">
        <v>83</v>
      </c>
      <c r="C71" s="29" t="s">
        <v>84</v>
      </c>
      <c r="D71" s="29" t="s">
        <v>84</v>
      </c>
      <c r="E71" s="29" t="s">
        <v>84</v>
      </c>
      <c r="F71" s="29" t="s">
        <v>84</v>
      </c>
      <c r="G71" s="29" t="s">
        <v>84</v>
      </c>
      <c r="H71" s="29" t="s">
        <v>84</v>
      </c>
      <c r="I71" s="29" t="s">
        <v>84</v>
      </c>
      <c r="J71" s="30" t="s">
        <v>84</v>
      </c>
      <c r="K71" s="1" t="s">
        <v>85</v>
      </c>
    </row>
    <row r="72" ht="15" customHeight="1">
      <c r="A72" s="1"/>
      <c r="B72" s="28" t="s">
        <v>86</v>
      </c>
      <c r="C72" s="29" t="s">
        <v>84</v>
      </c>
      <c r="D72" s="29" t="s">
        <v>84</v>
      </c>
      <c r="E72" s="29" t="s">
        <v>84</v>
      </c>
      <c r="F72" s="29" t="s">
        <v>84</v>
      </c>
      <c r="G72" s="29" t="s">
        <v>84</v>
      </c>
      <c r="H72" s="29" t="s">
        <v>84</v>
      </c>
      <c r="I72" s="29" t="s">
        <v>84</v>
      </c>
      <c r="J72" s="30" t="s">
        <v>84</v>
      </c>
      <c r="K72" s="1" t="s">
        <v>87</v>
      </c>
    </row>
    <row r="73" ht="15" customHeight="1">
      <c r="A73" s="1"/>
      <c r="B73" s="28" t="s">
        <v>88</v>
      </c>
      <c r="C73" s="29" t="str">
        <f t="shared" si="28"/>
        <v>Unavailable</v>
      </c>
      <c r="D73" s="29" t="str">
        <f t="shared" si="28"/>
        <v>Unavailable</v>
      </c>
      <c r="E73" s="29" t="str">
        <f t="shared" si="28"/>
        <v>Unavailable</v>
      </c>
      <c r="F73" s="29" t="str">
        <f t="shared" si="28"/>
        <v>Unavailable</v>
      </c>
      <c r="G73" s="29" t="str">
        <f t="shared" si="28"/>
        <v>Unavailable</v>
      </c>
      <c r="H73" s="29" t="str">
        <f t="shared" si="28"/>
        <v>Unavailable</v>
      </c>
      <c r="I73" s="29" t="str">
        <f t="shared" si="28"/>
        <v>Unavailable</v>
      </c>
      <c r="J73" s="30" t="str">
        <f t="shared" si="28"/>
        <v>Unavailable</v>
      </c>
      <c r="K73" s="1"/>
    </row>
    <row r="74" ht="15" customHeight="1">
      <c r="A74" s="1"/>
      <c r="B74" s="28" t="s">
        <v>89</v>
      </c>
      <c r="C74" s="29" t="str">
        <f t="shared" si="29"/>
        <v>n.a.</v>
      </c>
      <c r="D74" s="29" t="str">
        <f t="shared" si="29"/>
        <v>n.a.</v>
      </c>
      <c r="E74" s="29" t="str">
        <f t="shared" si="29"/>
        <v>n.a.</v>
      </c>
      <c r="F74" s="29" t="str">
        <f t="shared" si="29"/>
        <v>n.a.</v>
      </c>
      <c r="G74" s="29">
        <f t="shared" si="29"/>
        <v>0.04363827549947419</v>
      </c>
      <c r="H74" s="29">
        <f t="shared" si="29"/>
        <v>0.015463917525773141</v>
      </c>
      <c r="I74" s="29" t="str">
        <f t="shared" si="29"/>
        <v>n.a.</v>
      </c>
      <c r="J74" s="30">
        <f t="shared" si="29"/>
        <v>-0.0027162941483850345</v>
      </c>
      <c r="K74" s="1"/>
    </row>
    <row r="75" ht="28.5" customHeight="1">
      <c r="A75" s="1"/>
      <c r="B75" s="70" t="s">
        <v>275</v>
      </c>
      <c r="C75" s="29">
        <f t="shared" si="34" ref="C75:I86">_xlfn.IFERROR(C67*365/C$7/C38,"n.a.")</f>
        <v>0.24149734406144663</v>
      </c>
      <c r="D75" s="29">
        <f t="shared" si="34"/>
        <v>0.23733662786917226</v>
      </c>
      <c r="E75" s="29">
        <f t="shared" si="34"/>
        <v>0.23392833648789652</v>
      </c>
      <c r="F75" s="29">
        <f t="shared" si="34"/>
        <v>0.23454068966942468</v>
      </c>
      <c r="G75" s="29">
        <f t="shared" si="34"/>
        <v>0.24000589642173328</v>
      </c>
      <c r="H75" s="29">
        <f t="shared" si="34"/>
        <v>0.2380301347044328</v>
      </c>
      <c r="I75" s="29">
        <f t="shared" si="34"/>
        <v>0.23690205011389523</v>
      </c>
      <c r="J75" s="56">
        <v>0.238</v>
      </c>
      <c r="K75" s="1"/>
    </row>
    <row r="76" ht="15" customHeight="1">
      <c r="A76" s="1"/>
      <c r="B76" s="71" t="s">
        <v>129</v>
      </c>
      <c r="C76" s="58" t="s">
        <v>41</v>
      </c>
      <c r="D76" s="58" t="s">
        <v>41</v>
      </c>
      <c r="E76" s="58" t="s">
        <v>41</v>
      </c>
      <c r="F76" s="58" t="s">
        <v>41</v>
      </c>
      <c r="G76" s="58">
        <f t="shared" si="9"/>
        <v>-14.914476397133447</v>
      </c>
      <c r="H76" s="58">
        <f t="shared" si="9"/>
        <v>6.935068352605378</v>
      </c>
      <c r="I76" s="58" t="s">
        <v>41</v>
      </c>
      <c r="J76" s="59">
        <f t="shared" si="20"/>
        <v>40.71663512103474</v>
      </c>
      <c r="K76" s="1"/>
    </row>
    <row r="77" ht="15" customHeight="1">
      <c r="A77" s="1"/>
      <c r="B77" s="71" t="s">
        <v>130</v>
      </c>
      <c r="C77" s="58" t="s">
        <v>41</v>
      </c>
      <c r="D77" s="58">
        <f t="shared" si="10"/>
        <v>-41.60716192274372</v>
      </c>
      <c r="E77" s="58">
        <f t="shared" si="10"/>
        <v>-34.08291381275741</v>
      </c>
      <c r="F77" s="58">
        <f t="shared" si="10"/>
        <v>6.123531815281636</v>
      </c>
      <c r="G77" s="58">
        <f t="shared" si="10"/>
        <v>54.652067523086046</v>
      </c>
      <c r="H77" s="58">
        <f t="shared" si="10"/>
        <v>-19.757617173004892</v>
      </c>
      <c r="I77" s="58" t="s">
        <v>41</v>
      </c>
      <c r="J77" s="59">
        <f t="shared" si="21"/>
        <v>-0.3013470443280486</v>
      </c>
      <c r="K77" s="1"/>
    </row>
    <row r="78" ht="28.5" customHeight="1">
      <c r="A78" s="1"/>
      <c r="B78" s="24" t="s">
        <v>276</v>
      </c>
      <c r="C78" s="47">
        <v>237</v>
      </c>
      <c r="D78" s="47">
        <v>267</v>
      </c>
      <c r="E78" s="47">
        <v>309</v>
      </c>
      <c r="F78" s="26">
        <f>F97-F56-F67</f>
        <v>274</v>
      </c>
      <c r="G78" s="47">
        <v>326</v>
      </c>
      <c r="H78" s="47">
        <v>291</v>
      </c>
      <c r="I78" s="47">
        <v>1087</v>
      </c>
      <c r="J78" s="27">
        <f t="shared" si="35"/>
        <v>302.1477629952261</v>
      </c>
      <c r="K78" s="1" t="s">
        <v>277</v>
      </c>
    </row>
    <row r="79" ht="15" customHeight="1">
      <c r="A79" s="1"/>
      <c r="B79" s="28" t="s">
        <v>80</v>
      </c>
      <c r="C79" s="29" t="s">
        <v>41</v>
      </c>
      <c r="D79" s="29" t="s">
        <v>41</v>
      </c>
      <c r="E79" s="29" t="s">
        <v>41</v>
      </c>
      <c r="F79" s="29" t="s">
        <v>41</v>
      </c>
      <c r="G79" s="29">
        <f t="shared" si="3"/>
        <v>0.37552742616033763</v>
      </c>
      <c r="H79" s="29">
        <f t="shared" si="3"/>
        <v>0.0898876404494382</v>
      </c>
      <c r="I79" s="29" t="s">
        <v>41</v>
      </c>
      <c r="J79" s="30">
        <f t="shared" si="6"/>
        <v>-0.02217552428729408</v>
      </c>
      <c r="K79" s="1"/>
    </row>
    <row r="80" ht="15" customHeight="1">
      <c r="A80" s="1"/>
      <c r="B80" s="28" t="s">
        <v>81</v>
      </c>
      <c r="C80" s="29" t="s">
        <v>41</v>
      </c>
      <c r="D80" s="29">
        <f t="shared" si="26"/>
        <v>0.12658227848101267</v>
      </c>
      <c r="E80" s="29">
        <f t="shared" si="26"/>
        <v>0.1573033707865168</v>
      </c>
      <c r="F80" s="29">
        <f t="shared" si="26"/>
        <v>-0.11326860841423947</v>
      </c>
      <c r="G80" s="29">
        <f t="shared" si="26"/>
        <v>0.1897810218978102</v>
      </c>
      <c r="H80" s="29">
        <f t="shared" si="26"/>
        <v>-0.1073619631901841</v>
      </c>
      <c r="I80" s="29" t="s">
        <v>41</v>
      </c>
      <c r="J80" s="30">
        <f t="shared" si="32"/>
        <v>0.03830846390112064</v>
      </c>
      <c r="K80" s="1"/>
    </row>
    <row r="81" ht="15" customHeight="1">
      <c r="A81" s="1"/>
      <c r="B81" s="28" t="s">
        <v>82</v>
      </c>
      <c r="C81" s="29">
        <f t="shared" si="36" ref="C81:J81">_xlfn.IFERROR(C78/C89,"n.a.")</f>
        <v>0.0569164265129683</v>
      </c>
      <c r="D81" s="29">
        <f t="shared" si="36"/>
        <v>0.06274970622796709</v>
      </c>
      <c r="E81" s="29">
        <f t="shared" si="36"/>
        <v>0.0712474060410422</v>
      </c>
      <c r="F81" s="29">
        <f t="shared" si="36"/>
        <v>0.06366171003717472</v>
      </c>
      <c r="G81" s="29">
        <f t="shared" si="36"/>
        <v>0.0762216506897358</v>
      </c>
      <c r="H81" s="29">
        <f t="shared" si="36"/>
        <v>0.0681977970471057</v>
      </c>
      <c r="I81" s="29">
        <f t="shared" si="36"/>
        <v>0.06371629542790153</v>
      </c>
      <c r="J81" s="30">
        <f t="shared" si="36"/>
        <v>0.06984173286603884</v>
      </c>
      <c r="K81" s="1"/>
    </row>
    <row r="82" ht="15" customHeight="1">
      <c r="A82" s="1"/>
      <c r="B82" s="28" t="s">
        <v>83</v>
      </c>
      <c r="C82" s="29" t="s">
        <v>84</v>
      </c>
      <c r="D82" s="29" t="s">
        <v>84</v>
      </c>
      <c r="E82" s="29" t="s">
        <v>84</v>
      </c>
      <c r="F82" s="29" t="s">
        <v>84</v>
      </c>
      <c r="G82" s="29" t="s">
        <v>84</v>
      </c>
      <c r="H82" s="29" t="s">
        <v>84</v>
      </c>
      <c r="I82" s="29" t="s">
        <v>84</v>
      </c>
      <c r="J82" s="30" t="s">
        <v>84</v>
      </c>
      <c r="K82" s="1" t="s">
        <v>85</v>
      </c>
    </row>
    <row r="83" ht="15" customHeight="1">
      <c r="A83" s="1"/>
      <c r="B83" s="28" t="s">
        <v>86</v>
      </c>
      <c r="C83" s="29" t="s">
        <v>84</v>
      </c>
      <c r="D83" s="29" t="s">
        <v>84</v>
      </c>
      <c r="E83" s="29" t="s">
        <v>84</v>
      </c>
      <c r="F83" s="29" t="s">
        <v>84</v>
      </c>
      <c r="G83" s="29" t="s">
        <v>84</v>
      </c>
      <c r="H83" s="29" t="s">
        <v>84</v>
      </c>
      <c r="I83" s="29" t="s">
        <v>84</v>
      </c>
      <c r="J83" s="30" t="s">
        <v>84</v>
      </c>
      <c r="K83" s="1" t="s">
        <v>87</v>
      </c>
    </row>
    <row r="84" ht="15" customHeight="1">
      <c r="A84" s="1"/>
      <c r="B84" s="28" t="s">
        <v>88</v>
      </c>
      <c r="C84" s="29" t="str">
        <f t="shared" si="28"/>
        <v>Unavailable</v>
      </c>
      <c r="D84" s="29" t="str">
        <f t="shared" si="28"/>
        <v>Unavailable</v>
      </c>
      <c r="E84" s="29" t="str">
        <f t="shared" si="28"/>
        <v>Unavailable</v>
      </c>
      <c r="F84" s="29" t="str">
        <f t="shared" si="28"/>
        <v>Unavailable</v>
      </c>
      <c r="G84" s="29" t="str">
        <f t="shared" si="28"/>
        <v>Unavailable</v>
      </c>
      <c r="H84" s="29" t="str">
        <f t="shared" si="28"/>
        <v>Unavailable</v>
      </c>
      <c r="I84" s="29" t="str">
        <f t="shared" si="28"/>
        <v>Unavailable</v>
      </c>
      <c r="J84" s="30" t="str">
        <f t="shared" si="28"/>
        <v>Unavailable</v>
      </c>
      <c r="K84" s="1"/>
    </row>
    <row r="85" ht="15" customHeight="1">
      <c r="A85" s="1"/>
      <c r="B85" s="28" t="s">
        <v>89</v>
      </c>
      <c r="C85" s="29" t="str">
        <f t="shared" si="29"/>
        <v>n.a.</v>
      </c>
      <c r="D85" s="29" t="str">
        <f t="shared" si="29"/>
        <v>n.a.</v>
      </c>
      <c r="E85" s="29" t="str">
        <f t="shared" si="29"/>
        <v>n.a.</v>
      </c>
      <c r="F85" s="29" t="str">
        <f t="shared" si="29"/>
        <v>n.a.</v>
      </c>
      <c r="G85" s="29">
        <f t="shared" si="29"/>
        <v>0.37552742616033763</v>
      </c>
      <c r="H85" s="29">
        <f t="shared" si="29"/>
        <v>0.0898876404494382</v>
      </c>
      <c r="I85" s="29" t="str">
        <f t="shared" si="29"/>
        <v>n.a.</v>
      </c>
      <c r="J85" s="30">
        <f t="shared" si="29"/>
        <v>-0.02217552428729408</v>
      </c>
      <c r="K85" s="1"/>
    </row>
    <row r="86" ht="28.5" customHeight="1">
      <c r="A86" s="1"/>
      <c r="B86" s="70" t="s">
        <v>278</v>
      </c>
      <c r="C86" s="29">
        <f t="shared" si="34"/>
        <v>0.007573489241889393</v>
      </c>
      <c r="D86" s="29">
        <f t="shared" si="34"/>
        <v>0.008433149325023552</v>
      </c>
      <c r="E86" s="29">
        <f t="shared" si="34"/>
        <v>0.009670839056864894</v>
      </c>
      <c r="F86" s="29">
        <f t="shared" si="34"/>
        <v>0.008586206162356478</v>
      </c>
      <c r="G86" s="29">
        <f t="shared" si="34"/>
        <v>0.010621413855772286</v>
      </c>
      <c r="H86" s="29">
        <f t="shared" si="34"/>
        <v>0.009352546491969569</v>
      </c>
      <c r="I86" s="29">
        <f t="shared" si="34"/>
        <v>0.008569513973747486</v>
      </c>
      <c r="J86" s="56">
        <v>0.0095</v>
      </c>
      <c r="K86" s="1"/>
    </row>
    <row r="87" ht="15" customHeight="1">
      <c r="A87" s="1"/>
      <c r="B87" s="71" t="s">
        <v>129</v>
      </c>
      <c r="C87" s="58" t="s">
        <v>41</v>
      </c>
      <c r="D87" s="58" t="s">
        <v>41</v>
      </c>
      <c r="E87" s="58" t="s">
        <v>41</v>
      </c>
      <c r="F87" s="58" t="s">
        <v>41</v>
      </c>
      <c r="G87" s="58">
        <f t="shared" si="9"/>
        <v>30.47924613882893</v>
      </c>
      <c r="H87" s="58">
        <f t="shared" si="9"/>
        <v>9.193971669460167</v>
      </c>
      <c r="I87" s="58" t="s">
        <v>41</v>
      </c>
      <c r="J87" s="59">
        <f t="shared" si="20"/>
        <v>-1.7083905686489376</v>
      </c>
      <c r="K87" s="1"/>
    </row>
    <row r="88" ht="15" customHeight="1">
      <c r="A88" s="1"/>
      <c r="B88" s="71" t="s">
        <v>130</v>
      </c>
      <c r="C88" s="58" t="s">
        <v>41</v>
      </c>
      <c r="D88" s="58">
        <f t="shared" si="10"/>
        <v>8.596600831341592</v>
      </c>
      <c r="E88" s="58">
        <f t="shared" si="10"/>
        <v>12.37689731841341</v>
      </c>
      <c r="F88" s="58">
        <f t="shared" si="10"/>
        <v>-10.846328945084156</v>
      </c>
      <c r="G88" s="58">
        <f t="shared" si="10"/>
        <v>20.35207693415808</v>
      </c>
      <c r="H88" s="58">
        <f t="shared" si="10"/>
        <v>-12.68867363802717</v>
      </c>
      <c r="I88" s="58" t="s">
        <v>41</v>
      </c>
      <c r="J88" s="59">
        <f t="shared" si="21"/>
        <v>1.4745350803043074</v>
      </c>
      <c r="K88" s="1"/>
    </row>
    <row r="89" ht="28.5" customHeight="1">
      <c r="A89" s="1"/>
      <c r="B89" s="55" t="s">
        <v>279</v>
      </c>
      <c r="C89" s="52">
        <f t="shared" si="37" ref="C89:J89">C56+C67+C78</f>
        <v>4164</v>
      </c>
      <c r="D89" s="52">
        <f t="shared" si="37"/>
        <v>4255</v>
      </c>
      <c r="E89" s="52">
        <f t="shared" si="37"/>
        <v>4337</v>
      </c>
      <c r="F89" s="52">
        <f t="shared" si="37"/>
        <v>4304</v>
      </c>
      <c r="G89" s="52">
        <f t="shared" si="37"/>
        <v>4277</v>
      </c>
      <c r="H89" s="52">
        <f t="shared" si="37"/>
        <v>4267</v>
      </c>
      <c r="I89" s="52">
        <f t="shared" si="37"/>
        <v>17060</v>
      </c>
      <c r="J89" s="53">
        <f t="shared" si="37"/>
        <v>4326.177925378311</v>
      </c>
      <c r="K89" s="1"/>
    </row>
    <row r="90" ht="15" customHeight="1">
      <c r="A90" s="1"/>
      <c r="B90" s="28" t="s">
        <v>80</v>
      </c>
      <c r="C90" s="29" t="s">
        <v>41</v>
      </c>
      <c r="D90" s="29" t="s">
        <v>41</v>
      </c>
      <c r="E90" s="29" t="s">
        <v>41</v>
      </c>
      <c r="F90" s="29" t="s">
        <v>41</v>
      </c>
      <c r="G90" s="29">
        <f t="shared" si="3"/>
        <v>0.027137367915465838</v>
      </c>
      <c r="H90" s="29">
        <f t="shared" si="3"/>
        <v>0.0028202115158637575</v>
      </c>
      <c r="I90" s="29" t="s">
        <v>41</v>
      </c>
      <c r="J90" s="30">
        <f t="shared" si="6"/>
        <v>-0.00249529043617458</v>
      </c>
      <c r="K90" s="1"/>
    </row>
    <row r="91" ht="15" customHeight="1">
      <c r="A91" s="1"/>
      <c r="B91" s="28" t="s">
        <v>81</v>
      </c>
      <c r="C91" s="29" t="s">
        <v>41</v>
      </c>
      <c r="D91" s="29">
        <f t="shared" si="26"/>
        <v>0.021853986551392923</v>
      </c>
      <c r="E91" s="29">
        <f t="shared" si="26"/>
        <v>0.019271445358401973</v>
      </c>
      <c r="F91" s="29">
        <f t="shared" si="26"/>
        <v>-0.007608946276227768</v>
      </c>
      <c r="G91" s="29">
        <f t="shared" si="26"/>
        <v>-0.006273234200743549</v>
      </c>
      <c r="H91" s="29">
        <f t="shared" si="26"/>
        <v>-0.0023380874444703936</v>
      </c>
      <c r="I91" s="29" t="s">
        <v>41</v>
      </c>
      <c r="J91" s="30">
        <f t="shared" si="32"/>
        <v>0.013868742765013042</v>
      </c>
      <c r="K91" s="1"/>
    </row>
    <row r="92" ht="15" customHeight="1">
      <c r="A92" s="1"/>
      <c r="B92" s="28" t="s">
        <v>82</v>
      </c>
      <c r="C92" s="67">
        <f>_xlfn.IFERROR(C89/'Revenue summary'!C66,"n.a.")</f>
        <v>0.09459121782785489</v>
      </c>
      <c r="D92" s="67">
        <f>_xlfn.IFERROR(D89/'Revenue summary'!D66,"n.a.")</f>
        <v>0.09029560936273158</v>
      </c>
      <c r="E92" s="67">
        <f>_xlfn.IFERROR(E89/'Revenue summary'!E66,"n.a.")</f>
        <v>0.08925337504115904</v>
      </c>
      <c r="F92" s="67">
        <f>_xlfn.IFERROR(F89/'Revenue summary'!F66,"n.a.")</f>
        <v>0.095038311215139</v>
      </c>
      <c r="G92" s="67">
        <f>_xlfn.IFERROR(G89/'Revenue summary'!G66,"n.a.")</f>
        <v>0.09803786732682346</v>
      </c>
      <c r="H92" s="67">
        <f>_xlfn.IFERROR(H89/'Revenue summary'!H66,"n.a.")</f>
        <v>0.08884770749177529</v>
      </c>
      <c r="I92" s="67">
        <f>_xlfn.IFERROR(I89/'Revenue summary'!I66,"n.a.")</f>
        <v>0.09220674633416027</v>
      </c>
      <c r="J92" s="68">
        <f>_xlfn.IFERROR(J89/'Revenue summary'!J66,"n.a.")</f>
        <v>0.0881763891483233</v>
      </c>
      <c r="K92" s="1"/>
    </row>
    <row r="93" ht="15" customHeight="1">
      <c r="A93" s="1"/>
      <c r="B93" s="28" t="s">
        <v>83</v>
      </c>
      <c r="C93" s="29" t="s">
        <v>84</v>
      </c>
      <c r="D93" s="29" t="s">
        <v>84</v>
      </c>
      <c r="E93" s="29" t="s">
        <v>84</v>
      </c>
      <c r="F93" s="29" t="s">
        <v>84</v>
      </c>
      <c r="G93" s="29" t="s">
        <v>84</v>
      </c>
      <c r="H93" s="29" t="s">
        <v>84</v>
      </c>
      <c r="I93" s="29" t="s">
        <v>84</v>
      </c>
      <c r="J93" s="30" t="s">
        <v>84</v>
      </c>
      <c r="K93" s="1" t="s">
        <v>85</v>
      </c>
    </row>
    <row r="94" ht="15" customHeight="1">
      <c r="A94" s="1"/>
      <c r="B94" s="28" t="s">
        <v>86</v>
      </c>
      <c r="C94" s="29" t="s">
        <v>84</v>
      </c>
      <c r="D94" s="29" t="s">
        <v>84</v>
      </c>
      <c r="E94" s="29" t="s">
        <v>84</v>
      </c>
      <c r="F94" s="29" t="s">
        <v>84</v>
      </c>
      <c r="G94" s="29" t="s">
        <v>84</v>
      </c>
      <c r="H94" s="29" t="s">
        <v>84</v>
      </c>
      <c r="I94" s="29" t="s">
        <v>84</v>
      </c>
      <c r="J94" s="30" t="s">
        <v>84</v>
      </c>
      <c r="K94" s="1" t="s">
        <v>87</v>
      </c>
    </row>
    <row r="95" ht="15" customHeight="1">
      <c r="A95" s="1"/>
      <c r="B95" s="28" t="s">
        <v>88</v>
      </c>
      <c r="C95" s="29" t="str">
        <f t="shared" si="28"/>
        <v>Unavailable</v>
      </c>
      <c r="D95" s="29" t="str">
        <f t="shared" si="28"/>
        <v>Unavailable</v>
      </c>
      <c r="E95" s="29" t="str">
        <f t="shared" si="28"/>
        <v>Unavailable</v>
      </c>
      <c r="F95" s="29" t="str">
        <f t="shared" si="28"/>
        <v>Unavailable</v>
      </c>
      <c r="G95" s="29" t="str">
        <f t="shared" si="28"/>
        <v>Unavailable</v>
      </c>
      <c r="H95" s="29" t="str">
        <f t="shared" si="28"/>
        <v>Unavailable</v>
      </c>
      <c r="I95" s="29" t="str">
        <f t="shared" si="28"/>
        <v>Unavailable</v>
      </c>
      <c r="J95" s="30" t="str">
        <f t="shared" si="28"/>
        <v>Unavailable</v>
      </c>
      <c r="K95" s="1"/>
    </row>
    <row r="96" ht="15" customHeight="1">
      <c r="A96" s="1"/>
      <c r="B96" s="28" t="s">
        <v>89</v>
      </c>
      <c r="C96" s="29" t="str">
        <f t="shared" si="29"/>
        <v>n.a.</v>
      </c>
      <c r="D96" s="29" t="str">
        <f t="shared" si="29"/>
        <v>n.a.</v>
      </c>
      <c r="E96" s="29" t="str">
        <f t="shared" si="29"/>
        <v>n.a.</v>
      </c>
      <c r="F96" s="29" t="str">
        <f t="shared" si="29"/>
        <v>n.a.</v>
      </c>
      <c r="G96" s="29">
        <f t="shared" si="29"/>
        <v>0.027137367915465838</v>
      </c>
      <c r="H96" s="29">
        <f t="shared" si="29"/>
        <v>0.0028202115158637575</v>
      </c>
      <c r="I96" s="29" t="str">
        <f t="shared" si="29"/>
        <v>n.a.</v>
      </c>
      <c r="J96" s="30">
        <f t="shared" si="29"/>
        <v>-0.00249529043617458</v>
      </c>
      <c r="K96" s="1"/>
    </row>
    <row r="97" ht="28.5" customHeight="1">
      <c r="A97" s="1"/>
      <c r="B97" s="24" t="s">
        <v>280</v>
      </c>
      <c r="C97" s="47">
        <v>4164</v>
      </c>
      <c r="D97" s="47">
        <v>4255</v>
      </c>
      <c r="E97" s="47">
        <v>4337</v>
      </c>
      <c r="F97" s="47">
        <v>4304</v>
      </c>
      <c r="G97" s="47">
        <v>4276</v>
      </c>
      <c r="H97" s="47">
        <v>4267</v>
      </c>
      <c r="I97" s="47">
        <v>17060</v>
      </c>
      <c r="J97" s="27" t="s">
        <v>41</v>
      </c>
      <c r="K97" s="1"/>
    </row>
    <row r="98" ht="28.5" customHeight="1">
      <c r="A98" s="1"/>
      <c r="B98" s="24" t="s">
        <v>281</v>
      </c>
      <c r="C98" s="26">
        <f t="shared" si="38" ref="C98:I98">_xlfn.IFERROR(IF(ABS(C89-C97)&lt;=5,0,C89-C97),1)</f>
        <v>0</v>
      </c>
      <c r="D98" s="26">
        <f t="shared" si="38"/>
        <v>0</v>
      </c>
      <c r="E98" s="26">
        <f t="shared" si="38"/>
        <v>0</v>
      </c>
      <c r="F98" s="26">
        <f t="shared" si="38"/>
        <v>0</v>
      </c>
      <c r="G98" s="26">
        <f t="shared" si="38"/>
        <v>0</v>
      </c>
      <c r="H98" s="26">
        <f t="shared" si="38"/>
        <v>0</v>
      </c>
      <c r="I98" s="26">
        <f t="shared" si="38"/>
        <v>0</v>
      </c>
      <c r="J98" s="27"/>
      <c r="K98" s="1"/>
    </row>
    <row r="99" ht="15" customHeight="1">
      <c r="A99" s="1"/>
      <c r="B99" s="1"/>
      <c r="C99" s="17"/>
      <c r="D99" s="17"/>
      <c r="E99" s="17"/>
      <c r="F99" s="17"/>
      <c r="G99" s="17"/>
      <c r="H99" s="17"/>
      <c r="I99" s="17"/>
      <c r="J99" s="18"/>
      <c r="K99" s="1"/>
    </row>
    <row r="100" ht="15" customHeight="1">
      <c r="A100" s="1"/>
      <c r="B100" s="16" t="s">
        <v>282</v>
      </c>
      <c r="C100" s="17"/>
      <c r="D100" s="17"/>
      <c r="E100" s="17"/>
      <c r="F100" s="17"/>
      <c r="G100" s="17"/>
      <c r="H100" s="17"/>
      <c r="I100" s="17"/>
      <c r="J100" s="18"/>
      <c r="K100" s="1"/>
    </row>
    <row r="101" ht="15" customHeight="1">
      <c r="A101" s="1"/>
      <c r="B101" s="19" t="s">
        <v>283</v>
      </c>
      <c r="C101" s="47">
        <v>513</v>
      </c>
      <c r="D101" s="47">
        <v>523</v>
      </c>
      <c r="E101" s="47">
        <v>545</v>
      </c>
      <c r="F101" s="47">
        <v>625</v>
      </c>
      <c r="G101" s="47">
        <v>584</v>
      </c>
      <c r="H101" s="47">
        <v>610</v>
      </c>
      <c r="I101" s="47">
        <v>2206</v>
      </c>
      <c r="J101" s="27">
        <f>J102*J49*J$7/365</f>
        <v>620.1980398323062</v>
      </c>
      <c r="K101" s="1"/>
    </row>
    <row r="102" ht="28.5" customHeight="1">
      <c r="A102" s="1"/>
      <c r="B102" s="70" t="s">
        <v>284</v>
      </c>
      <c r="C102" s="29">
        <f t="shared" si="39" ref="C102:I102">_xlfn.IFERROR(C101*365/C$7/C49,"n.a.")</f>
        <v>0.016393248865355523</v>
      </c>
      <c r="D102" s="29">
        <f t="shared" si="39"/>
        <v>0.016518865531787708</v>
      </c>
      <c r="E102" s="29">
        <f t="shared" si="39"/>
        <v>0.017056981508062674</v>
      </c>
      <c r="F102" s="29">
        <f t="shared" si="39"/>
        <v>0.019585324275448172</v>
      </c>
      <c r="G102" s="29">
        <f t="shared" si="39"/>
        <v>0.019027318072917222</v>
      </c>
      <c r="H102" s="29">
        <f t="shared" si="39"/>
        <v>0.019604994364609753</v>
      </c>
      <c r="I102" s="29">
        <f t="shared" si="39"/>
        <v>0.017391304347826087</v>
      </c>
      <c r="J102" s="56">
        <v>0.0195</v>
      </c>
      <c r="K102" s="1"/>
    </row>
    <row r="103" ht="15" customHeight="1">
      <c r="A103" s="1"/>
      <c r="B103" s="71" t="s">
        <v>129</v>
      </c>
      <c r="C103" s="58" t="s">
        <v>41</v>
      </c>
      <c r="D103" s="58" t="s">
        <v>41</v>
      </c>
      <c r="E103" s="58" t="s">
        <v>41</v>
      </c>
      <c r="F103" s="58" t="s">
        <v>41</v>
      </c>
      <c r="G103" s="58">
        <f t="shared" si="9"/>
        <v>26.340692075616996</v>
      </c>
      <c r="H103" s="58">
        <f t="shared" si="9"/>
        <v>30.861288328220443</v>
      </c>
      <c r="I103" s="58" t="s">
        <v>41</v>
      </c>
      <c r="J103" s="59">
        <f t="shared" si="20"/>
        <v>24.430184919373257</v>
      </c>
      <c r="K103" s="1"/>
    </row>
    <row r="104" ht="15" customHeight="1">
      <c r="A104" s="1"/>
      <c r="B104" s="71" t="s">
        <v>130</v>
      </c>
      <c r="C104" s="58" t="s">
        <v>41</v>
      </c>
      <c r="D104" s="58">
        <f t="shared" si="10"/>
        <v>1.2561666643218574</v>
      </c>
      <c r="E104" s="58">
        <f t="shared" si="10"/>
        <v>5.381159762749658</v>
      </c>
      <c r="F104" s="58">
        <f t="shared" si="10"/>
        <v>25.283427673854984</v>
      </c>
      <c r="G104" s="58">
        <f t="shared" si="10"/>
        <v>-5.580062025309501</v>
      </c>
      <c r="H104" s="58">
        <f t="shared" si="10"/>
        <v>5.776762916925304</v>
      </c>
      <c r="I104" s="58" t="s">
        <v>41</v>
      </c>
      <c r="J104" s="59">
        <f t="shared" si="21"/>
        <v>-1.0499436460975273</v>
      </c>
      <c r="K104" s="1"/>
    </row>
    <row r="105" ht="28.5" customHeight="1">
      <c r="A105" s="1"/>
      <c r="B105" s="24" t="s">
        <v>285</v>
      </c>
      <c r="C105" s="47">
        <v>1054</v>
      </c>
      <c r="D105" s="47">
        <v>1052</v>
      </c>
      <c r="E105" s="47">
        <v>1101</v>
      </c>
      <c r="F105" s="47">
        <v>1185</v>
      </c>
      <c r="G105" s="47">
        <v>1213</v>
      </c>
      <c r="H105" s="47">
        <v>1133</v>
      </c>
      <c r="I105" s="47">
        <v>4391</v>
      </c>
      <c r="J105" s="27">
        <f>J106*J67</f>
        <v>1148.1527848728472</v>
      </c>
      <c r="K105" s="1"/>
    </row>
    <row r="106" ht="28.5" customHeight="1">
      <c r="A106" s="1"/>
      <c r="B106" s="70" t="s">
        <v>286</v>
      </c>
      <c r="C106" s="29">
        <f t="shared" si="40" ref="C106:I106">_xlfn.IFERROR(C105/C67,"n.a.")</f>
        <v>0.5541535226077813</v>
      </c>
      <c r="D106" s="29">
        <f t="shared" si="40"/>
        <v>0.5422680412371134</v>
      </c>
      <c r="E106" s="29">
        <f t="shared" si="40"/>
        <v>0.5594512195121951</v>
      </c>
      <c r="F106" s="29">
        <f t="shared" si="40"/>
        <v>0.5954773869346733</v>
      </c>
      <c r="G106" s="29">
        <f t="shared" si="40"/>
        <v>0.6110831234256927</v>
      </c>
      <c r="H106" s="29">
        <f t="shared" si="40"/>
        <v>0.5751269035532995</v>
      </c>
      <c r="I106" s="29">
        <f t="shared" si="40"/>
        <v>0.5629487179487179</v>
      </c>
      <c r="J106" s="56">
        <v>0.585</v>
      </c>
      <c r="K106" s="1"/>
    </row>
    <row r="107" ht="15" customHeight="1">
      <c r="A107" s="1"/>
      <c r="B107" s="71" t="s">
        <v>129</v>
      </c>
      <c r="C107" s="58" t="s">
        <v>41</v>
      </c>
      <c r="D107" s="58" t="s">
        <v>41</v>
      </c>
      <c r="E107" s="58" t="s">
        <v>41</v>
      </c>
      <c r="F107" s="58" t="s">
        <v>41</v>
      </c>
      <c r="G107" s="58">
        <f t="shared" si="9"/>
        <v>569.2960081791143</v>
      </c>
      <c r="H107" s="58">
        <f t="shared" si="9"/>
        <v>328.5886231618618</v>
      </c>
      <c r="I107" s="58" t="s">
        <v>41</v>
      </c>
      <c r="J107" s="59">
        <f t="shared" si="20"/>
        <v>255.48780487804845</v>
      </c>
      <c r="K107" s="1"/>
    </row>
    <row r="108" ht="15" customHeight="1">
      <c r="A108" s="1"/>
      <c r="B108" s="71" t="s">
        <v>130</v>
      </c>
      <c r="C108" s="58" t="s">
        <v>41</v>
      </c>
      <c r="D108" s="58">
        <f t="shared" si="10"/>
        <v>-118.85481370667917</v>
      </c>
      <c r="E108" s="58">
        <f t="shared" si="10"/>
        <v>171.83178275081755</v>
      </c>
      <c r="F108" s="58">
        <f t="shared" si="10"/>
        <v>360.26167422478215</v>
      </c>
      <c r="G108" s="58">
        <f t="shared" si="10"/>
        <v>156.05736491019374</v>
      </c>
      <c r="H108" s="58">
        <f t="shared" si="10"/>
        <v>-359.5621987239317</v>
      </c>
      <c r="I108" s="58" t="s">
        <v>41</v>
      </c>
      <c r="J108" s="59">
        <f t="shared" si="21"/>
        <v>98.73096446700424</v>
      </c>
      <c r="K108" s="1"/>
    </row>
    <row r="109" ht="15" customHeight="1">
      <c r="A109" s="1"/>
      <c r="B109" s="19" t="s">
        <v>287</v>
      </c>
      <c r="C109" s="47">
        <v>328</v>
      </c>
      <c r="D109" s="47">
        <v>354</v>
      </c>
      <c r="E109" s="47">
        <v>244</v>
      </c>
      <c r="F109" s="47">
        <v>281</v>
      </c>
      <c r="G109" s="47">
        <v>267</v>
      </c>
      <c r="H109" s="47">
        <v>389</v>
      </c>
      <c r="I109" s="47">
        <v>1207</v>
      </c>
      <c r="J109" s="27">
        <f>J110*J18*J$7/365</f>
        <v>346.88258781322537</v>
      </c>
      <c r="K109" s="1"/>
    </row>
    <row r="110" ht="41.25" customHeight="1">
      <c r="A110" s="1"/>
      <c r="B110" s="70" t="s">
        <v>288</v>
      </c>
      <c r="C110" s="29">
        <f t="shared" si="41" ref="C110:I110">_xlfn.IFERROR(C109*365/C$7/C18,"n.a.")</f>
        <v>0.017289085290125062</v>
      </c>
      <c r="D110" s="29">
        <f t="shared" si="41"/>
        <v>0.018302977814173144</v>
      </c>
      <c r="E110" s="29">
        <f t="shared" si="41"/>
        <v>0.012604896916117003</v>
      </c>
      <c r="F110" s="29">
        <f t="shared" si="41"/>
        <v>0.014744570248931877</v>
      </c>
      <c r="G110" s="29">
        <f t="shared" si="41"/>
        <v>0.01440512615848521</v>
      </c>
      <c r="H110" s="29">
        <f t="shared" si="41"/>
        <v>0.02065194008384701</v>
      </c>
      <c r="I110" s="29">
        <f t="shared" si="41"/>
        <v>0.015733149106456196</v>
      </c>
      <c r="J110" s="56">
        <v>0.018</v>
      </c>
      <c r="K110" s="1"/>
    </row>
    <row r="111" ht="15" customHeight="1">
      <c r="A111" s="1"/>
      <c r="B111" s="71" t="s">
        <v>129</v>
      </c>
      <c r="C111" s="58" t="s">
        <v>41</v>
      </c>
      <c r="D111" s="58" t="s">
        <v>41</v>
      </c>
      <c r="E111" s="58" t="s">
        <v>41</v>
      </c>
      <c r="F111" s="58" t="s">
        <v>41</v>
      </c>
      <c r="G111" s="58">
        <f t="shared" si="9"/>
        <v>-28.83959131639852</v>
      </c>
      <c r="H111" s="58">
        <f t="shared" si="9"/>
        <v>23.48962269673866</v>
      </c>
      <c r="I111" s="58" t="s">
        <v>41</v>
      </c>
      <c r="J111" s="59">
        <f t="shared" si="20"/>
        <v>53.95103083882996</v>
      </c>
      <c r="K111" s="1"/>
    </row>
    <row r="112" ht="15" customHeight="1">
      <c r="A112" s="1"/>
      <c r="B112" s="71" t="s">
        <v>130</v>
      </c>
      <c r="C112" s="58" t="s">
        <v>41</v>
      </c>
      <c r="D112" s="58">
        <f t="shared" si="10"/>
        <v>10.138925240480816</v>
      </c>
      <c r="E112" s="58">
        <f t="shared" si="10"/>
        <v>-56.98080898056141</v>
      </c>
      <c r="F112" s="58">
        <f t="shared" si="10"/>
        <v>21.396733328148745</v>
      </c>
      <c r="G112" s="58">
        <f t="shared" si="10"/>
        <v>-3.3944409044666704</v>
      </c>
      <c r="H112" s="58">
        <f t="shared" si="10"/>
        <v>62.468139253618</v>
      </c>
      <c r="I112" s="58" t="s">
        <v>41</v>
      </c>
      <c r="J112" s="59">
        <f t="shared" si="21"/>
        <v>-26.519400838470112</v>
      </c>
      <c r="K112" s="1"/>
    </row>
    <row r="113" ht="15" customHeight="1">
      <c r="A113" s="1"/>
      <c r="B113" s="19" t="s">
        <v>289</v>
      </c>
      <c r="C113" s="47">
        <v>1597</v>
      </c>
      <c r="D113" s="47">
        <v>1638</v>
      </c>
      <c r="E113" s="47">
        <v>1651</v>
      </c>
      <c r="F113" s="47">
        <v>1606</v>
      </c>
      <c r="G113" s="47">
        <v>1538</v>
      </c>
      <c r="H113" s="47">
        <v>1542</v>
      </c>
      <c r="I113" s="47">
        <v>6492</v>
      </c>
      <c r="J113" s="27">
        <f>J114*J49*J$7/365</f>
        <v>1574.3488703435469</v>
      </c>
      <c r="K113" s="1"/>
    </row>
    <row r="114" ht="41.25" customHeight="1">
      <c r="A114" s="1"/>
      <c r="B114" s="70" t="s">
        <v>290</v>
      </c>
      <c r="C114" s="29">
        <f t="shared" si="42" ref="C114:I114">_xlfn.IFERROR(C113*365/C$7/C49,"n.a.")</f>
        <v>0.051033174343026844</v>
      </c>
      <c r="D114" s="29">
        <f t="shared" si="42"/>
        <v>0.05173594979171752</v>
      </c>
      <c r="E114" s="29">
        <f t="shared" si="42"/>
        <v>0.05167169994460822</v>
      </c>
      <c r="F114" s="29">
        <f t="shared" si="42"/>
        <v>0.05032644925819162</v>
      </c>
      <c r="G114" s="29">
        <f t="shared" si="42"/>
        <v>0.05010961506189502</v>
      </c>
      <c r="H114" s="29">
        <f t="shared" si="42"/>
        <v>0.04955885460693153</v>
      </c>
      <c r="I114" s="29">
        <f t="shared" si="42"/>
        <v>0.05118057471717451</v>
      </c>
      <c r="J114" s="56">
        <v>0.0495</v>
      </c>
      <c r="K114" s="1"/>
    </row>
    <row r="115" ht="15" customHeight="1">
      <c r="A115" s="1"/>
      <c r="B115" s="71" t="s">
        <v>129</v>
      </c>
      <c r="C115" s="58" t="s">
        <v>41</v>
      </c>
      <c r="D115" s="58" t="s">
        <v>41</v>
      </c>
      <c r="E115" s="58" t="s">
        <v>41</v>
      </c>
      <c r="F115" s="58" t="s">
        <v>41</v>
      </c>
      <c r="G115" s="58">
        <f t="shared" si="9"/>
        <v>-9.235592811318236</v>
      </c>
      <c r="H115" s="58">
        <f t="shared" si="9"/>
        <v>-21.77095184785989</v>
      </c>
      <c r="I115" s="58" t="s">
        <v>41</v>
      </c>
      <c r="J115" s="59">
        <f t="shared" si="20"/>
        <v>-21.716999446082173</v>
      </c>
      <c r="K115" s="1"/>
    </row>
    <row r="116" ht="15" customHeight="1">
      <c r="A116" s="1"/>
      <c r="B116" s="71" t="s">
        <v>130</v>
      </c>
      <c r="C116" s="58" t="s">
        <v>41</v>
      </c>
      <c r="D116" s="58">
        <f t="shared" si="10"/>
        <v>7.027754486906776</v>
      </c>
      <c r="E116" s="58">
        <f t="shared" si="10"/>
        <v>-0.642498471093017</v>
      </c>
      <c r="F116" s="58">
        <f t="shared" si="10"/>
        <v>-13.452506864165963</v>
      </c>
      <c r="G116" s="58">
        <f t="shared" si="10"/>
        <v>-2.1683419629660303</v>
      </c>
      <c r="H116" s="58">
        <f t="shared" si="10"/>
        <v>-5.507604549634879</v>
      </c>
      <c r="I116" s="58" t="s">
        <v>41</v>
      </c>
      <c r="J116" s="59">
        <f t="shared" si="21"/>
        <v>-0.5885460693152988</v>
      </c>
      <c r="K116" s="1"/>
    </row>
    <row r="117" ht="15" customHeight="1">
      <c r="A117" s="1"/>
      <c r="B117" s="4" t="s">
        <v>291</v>
      </c>
      <c r="C117" s="52">
        <f t="shared" si="43" ref="C117:J117">C101+C105+C109+C113</f>
        <v>3492</v>
      </c>
      <c r="D117" s="52">
        <f t="shared" si="43"/>
        <v>3567</v>
      </c>
      <c r="E117" s="52">
        <f t="shared" si="43"/>
        <v>3541</v>
      </c>
      <c r="F117" s="52">
        <f t="shared" si="43"/>
        <v>3697</v>
      </c>
      <c r="G117" s="52">
        <f t="shared" si="43"/>
        <v>3602</v>
      </c>
      <c r="H117" s="52">
        <f t="shared" si="43"/>
        <v>3674</v>
      </c>
      <c r="I117" s="52">
        <f t="shared" si="43"/>
        <v>14296</v>
      </c>
      <c r="J117" s="53">
        <f t="shared" si="43"/>
        <v>3689.5822828619257</v>
      </c>
      <c r="K117" s="1"/>
    </row>
    <row r="118" ht="15" customHeight="1">
      <c r="A118" s="1"/>
      <c r="B118" s="19" t="s">
        <v>292</v>
      </c>
      <c r="C118" s="47">
        <v>12</v>
      </c>
      <c r="D118" s="47">
        <v>16</v>
      </c>
      <c r="E118" s="47">
        <v>9</v>
      </c>
      <c r="F118" s="47">
        <v>2</v>
      </c>
      <c r="G118" s="47">
        <v>14</v>
      </c>
      <c r="H118" s="47">
        <v>13</v>
      </c>
      <c r="I118" s="47">
        <v>39</v>
      </c>
      <c r="J118" s="27">
        <f t="shared" si="19"/>
        <v>13</v>
      </c>
      <c r="K118" s="1"/>
    </row>
    <row r="119" ht="15" customHeight="1">
      <c r="A119" s="1"/>
      <c r="B119" s="28" t="s">
        <v>80</v>
      </c>
      <c r="C119" s="29" t="s">
        <v>41</v>
      </c>
      <c r="D119" s="29" t="s">
        <v>41</v>
      </c>
      <c r="E119" s="29" t="s">
        <v>41</v>
      </c>
      <c r="F119" s="29" t="s">
        <v>41</v>
      </c>
      <c r="G119" s="29">
        <f t="shared" si="3"/>
        <v>0.16666666666666674</v>
      </c>
      <c r="H119" s="29">
        <f t="shared" si="3"/>
        <v>-0.1875</v>
      </c>
      <c r="I119" s="29" t="s">
        <v>41</v>
      </c>
      <c r="J119" s="30">
        <f t="shared" si="6"/>
        <v>0.4444444444444444</v>
      </c>
      <c r="K119" s="1"/>
    </row>
    <row r="120" ht="15" customHeight="1">
      <c r="A120" s="1"/>
      <c r="B120" s="28" t="s">
        <v>93</v>
      </c>
      <c r="C120" s="50" t="s">
        <v>41</v>
      </c>
      <c r="D120" s="50">
        <f t="shared" si="4"/>
        <v>4</v>
      </c>
      <c r="E120" s="50">
        <f t="shared" si="4"/>
        <v>-7</v>
      </c>
      <c r="F120" s="50">
        <f t="shared" si="4"/>
        <v>-7</v>
      </c>
      <c r="G120" s="50">
        <f t="shared" si="4"/>
        <v>12</v>
      </c>
      <c r="H120" s="50">
        <f t="shared" si="4"/>
        <v>-1</v>
      </c>
      <c r="I120" s="50" t="s">
        <v>41</v>
      </c>
      <c r="J120" s="51">
        <f t="shared" si="7"/>
        <v>0</v>
      </c>
      <c r="K120" s="1"/>
    </row>
    <row r="121" ht="15" customHeight="1">
      <c r="A121" s="1"/>
      <c r="B121" s="4" t="s">
        <v>293</v>
      </c>
      <c r="C121" s="52">
        <f t="shared" si="44" ref="C121:J121">C89-C117+C118</f>
        <v>684</v>
      </c>
      <c r="D121" s="52">
        <f t="shared" si="44"/>
        <v>704</v>
      </c>
      <c r="E121" s="52">
        <f t="shared" si="44"/>
        <v>805</v>
      </c>
      <c r="F121" s="52">
        <f t="shared" si="44"/>
        <v>609</v>
      </c>
      <c r="G121" s="52">
        <f t="shared" si="44"/>
        <v>689</v>
      </c>
      <c r="H121" s="52">
        <f t="shared" si="44"/>
        <v>606</v>
      </c>
      <c r="I121" s="52">
        <f t="shared" si="44"/>
        <v>2803</v>
      </c>
      <c r="J121" s="53">
        <f t="shared" si="44"/>
        <v>649.5956425163849</v>
      </c>
      <c r="K121" s="1"/>
    </row>
    <row r="122" ht="15" customHeight="1">
      <c r="A122" s="1"/>
      <c r="B122" s="28" t="s">
        <v>80</v>
      </c>
      <c r="C122" s="29" t="s">
        <v>41</v>
      </c>
      <c r="D122" s="29" t="s">
        <v>41</v>
      </c>
      <c r="E122" s="29" t="s">
        <v>41</v>
      </c>
      <c r="F122" s="29" t="s">
        <v>41</v>
      </c>
      <c r="G122" s="29">
        <f t="shared" si="3"/>
        <v>0.007309941520467822</v>
      </c>
      <c r="H122" s="29">
        <f t="shared" si="3"/>
        <v>-0.13920454545454541</v>
      </c>
      <c r="I122" s="29" t="s">
        <v>41</v>
      </c>
      <c r="J122" s="30">
        <f t="shared" si="6"/>
        <v>-0.19304889128399383</v>
      </c>
      <c r="K122" s="1"/>
    </row>
    <row r="123" ht="15" customHeight="1">
      <c r="A123" s="1"/>
      <c r="B123" s="28" t="s">
        <v>93</v>
      </c>
      <c r="C123" s="50" t="s">
        <v>41</v>
      </c>
      <c r="D123" s="50">
        <f t="shared" si="4"/>
        <v>20</v>
      </c>
      <c r="E123" s="50">
        <f t="shared" si="4"/>
        <v>101</v>
      </c>
      <c r="F123" s="50">
        <f t="shared" si="4"/>
        <v>-196</v>
      </c>
      <c r="G123" s="50">
        <f t="shared" si="4"/>
        <v>80</v>
      </c>
      <c r="H123" s="50">
        <f t="shared" si="4"/>
        <v>-83</v>
      </c>
      <c r="I123" s="50" t="s">
        <v>41</v>
      </c>
      <c r="J123" s="51">
        <f t="shared" si="7"/>
        <v>43.59564251638494</v>
      </c>
      <c r="K123" s="1"/>
    </row>
    <row r="124" ht="15" customHeight="1">
      <c r="A124" s="1"/>
      <c r="B124" s="57" t="s">
        <v>294</v>
      </c>
      <c r="C124" s="29">
        <f t="shared" si="45" ref="C124:J124">_xlfn.IFERROR(C121/C89,"n.a.")</f>
        <v>0.1642651296829971</v>
      </c>
      <c r="D124" s="29">
        <f t="shared" si="45"/>
        <v>0.1654524089306698</v>
      </c>
      <c r="E124" s="29">
        <f t="shared" si="45"/>
        <v>0.18561217431404198</v>
      </c>
      <c r="F124" s="29">
        <f t="shared" si="45"/>
        <v>0.14149628252788105</v>
      </c>
      <c r="G124" s="29">
        <f t="shared" si="45"/>
        <v>0.16109422492401215</v>
      </c>
      <c r="H124" s="29">
        <f t="shared" si="45"/>
        <v>0.14202015467541598</v>
      </c>
      <c r="I124" s="29">
        <f t="shared" si="45"/>
        <v>0.16430246189917938</v>
      </c>
      <c r="J124" s="30">
        <f t="shared" si="45"/>
        <v>0.1501546292642552</v>
      </c>
      <c r="K124" s="1"/>
    </row>
    <row r="125" ht="15" customHeight="1">
      <c r="A125" s="1"/>
      <c r="B125" s="28" t="s">
        <v>129</v>
      </c>
      <c r="C125" s="58" t="s">
        <v>41</v>
      </c>
      <c r="D125" s="58" t="s">
        <v>41</v>
      </c>
      <c r="E125" s="58" t="s">
        <v>41</v>
      </c>
      <c r="F125" s="58" t="s">
        <v>41</v>
      </c>
      <c r="G125" s="58">
        <f t="shared" si="9"/>
        <v>-31.709047589849604</v>
      </c>
      <c r="H125" s="58">
        <f t="shared" si="9"/>
        <v>-234.32254255253804</v>
      </c>
      <c r="I125" s="58" t="s">
        <v>41</v>
      </c>
      <c r="J125" s="59">
        <f t="shared" si="20"/>
        <v>-354.5754504978677</v>
      </c>
      <c r="K125" s="1"/>
    </row>
    <row r="126" ht="15" customHeight="1">
      <c r="A126" s="1"/>
      <c r="B126" s="28" t="s">
        <v>130</v>
      </c>
      <c r="C126" s="58" t="s">
        <v>41</v>
      </c>
      <c r="D126" s="58">
        <f t="shared" si="10"/>
        <v>11.872792476726735</v>
      </c>
      <c r="E126" s="58">
        <f t="shared" si="10"/>
        <v>201.59765383372192</v>
      </c>
      <c r="F126" s="58">
        <f t="shared" si="10"/>
        <v>-441.1589178616093</v>
      </c>
      <c r="G126" s="58">
        <f t="shared" si="10"/>
        <v>195.97942396131108</v>
      </c>
      <c r="H126" s="58">
        <f t="shared" si="10"/>
        <v>-190.7407024859617</v>
      </c>
      <c r="I126" s="58" t="s">
        <v>41</v>
      </c>
      <c r="J126" s="59">
        <f t="shared" si="21"/>
        <v>81.3447458883923</v>
      </c>
      <c r="K126" s="1"/>
    </row>
    <row r="127" ht="28.5" customHeight="1">
      <c r="A127" s="1"/>
      <c r="B127" s="24" t="s">
        <v>295</v>
      </c>
      <c r="C127" s="47">
        <v>685</v>
      </c>
      <c r="D127" s="47">
        <v>704</v>
      </c>
      <c r="E127" s="47">
        <v>804</v>
      </c>
      <c r="F127" s="47">
        <v>609</v>
      </c>
      <c r="G127" s="47">
        <v>688</v>
      </c>
      <c r="H127" s="47">
        <v>605</v>
      </c>
      <c r="I127" s="47">
        <v>2802</v>
      </c>
      <c r="J127" s="27" t="s">
        <v>41</v>
      </c>
      <c r="K127" s="1"/>
    </row>
    <row r="128" ht="28.5" customHeight="1">
      <c r="A128" s="1"/>
      <c r="B128" s="24" t="s">
        <v>296</v>
      </c>
      <c r="C128" s="26">
        <f t="shared" si="46" ref="C128:I128">_xlfn.IFERROR(IF(ABS(C121-C127)&lt;=5,0,C121-C127),1)</f>
        <v>0</v>
      </c>
      <c r="D128" s="26">
        <f t="shared" si="46"/>
        <v>0</v>
      </c>
      <c r="E128" s="26">
        <f t="shared" si="46"/>
        <v>0</v>
      </c>
      <c r="F128" s="26">
        <f t="shared" si="46"/>
        <v>0</v>
      </c>
      <c r="G128" s="26">
        <f t="shared" si="46"/>
        <v>0</v>
      </c>
      <c r="H128" s="26">
        <f t="shared" si="46"/>
        <v>0</v>
      </c>
      <c r="I128" s="26">
        <f t="shared" si="46"/>
        <v>0</v>
      </c>
      <c r="J128" s="27"/>
      <c r="K128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EDAC8058-A275-B6D9-3928-F9DEF766149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</row>
    <row r="3" ht="15" customHeight="1">
      <c r="A3" s="1"/>
      <c r="B3" s="4" t="s">
        <v>297</v>
      </c>
      <c r="C3" s="1"/>
      <c r="D3" s="1"/>
      <c r="E3" s="1"/>
      <c r="F3" s="1"/>
      <c r="G3" s="1"/>
      <c r="H3" s="1"/>
      <c r="I3" s="1"/>
      <c r="J3" s="1"/>
      <c r="K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</row>
    <row r="5" ht="15" customHeight="1">
      <c r="A5" s="1"/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8" t="s">
        <v>12</v>
      </c>
      <c r="K5" s="6" t="s">
        <v>13</v>
      </c>
    </row>
    <row r="6" ht="15" customHeight="1">
      <c r="A6" s="1"/>
      <c r="B6" s="9" t="s">
        <v>14</v>
      </c>
      <c r="C6" s="10">
        <f>DATE(2025,3,31)</f>
        <v>45747</v>
      </c>
      <c r="D6" s="10">
        <f>DATE(2025,6,30)</f>
        <v>45838</v>
      </c>
      <c r="E6" s="10">
        <f>DATE(2025,9,30)</f>
        <v>45930</v>
      </c>
      <c r="F6" s="10">
        <f t="shared" si="0" ref="F6:I6">DATE(2025,12,31)</f>
        <v>46022</v>
      </c>
      <c r="G6" s="10">
        <f>DATE(2026,3,31)</f>
        <v>46112</v>
      </c>
      <c r="H6" s="10">
        <f>DATE(2026,6,30)</f>
        <v>46203</v>
      </c>
      <c r="I6" s="10">
        <f t="shared" si="0"/>
        <v>46022</v>
      </c>
      <c r="J6" s="11">
        <f>DATE(2026,9,30)</f>
        <v>46295</v>
      </c>
      <c r="K6" s="9"/>
    </row>
    <row r="7" ht="15" customHeight="1">
      <c r="A7" s="1"/>
      <c r="B7" s="12" t="s">
        <v>15</v>
      </c>
      <c r="C7" s="13">
        <f t="shared" si="1" ref="C7:J7">C6-EOMONTH(C6,-3)</f>
        <v>90</v>
      </c>
      <c r="D7" s="13">
        <f t="shared" si="1"/>
        <v>91</v>
      </c>
      <c r="E7" s="13">
        <f t="shared" si="1"/>
        <v>92</v>
      </c>
      <c r="F7" s="13">
        <f t="shared" si="1"/>
        <v>92</v>
      </c>
      <c r="G7" s="13">
        <f t="shared" si="1"/>
        <v>90</v>
      </c>
      <c r="H7" s="13">
        <f t="shared" si="1"/>
        <v>91</v>
      </c>
      <c r="I7" s="13">
        <f>I6-EOMONTH(I6,-12)</f>
        <v>365</v>
      </c>
      <c r="J7" s="14">
        <f t="shared" si="1"/>
        <v>92</v>
      </c>
      <c r="K7" s="12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5"/>
      <c r="K8" s="1"/>
    </row>
    <row r="9" ht="15" customHeight="1">
      <c r="A9" s="1"/>
      <c r="B9" s="16" t="s">
        <v>298</v>
      </c>
      <c r="C9" s="17"/>
      <c r="D9" s="17"/>
      <c r="E9" s="17"/>
      <c r="F9" s="17"/>
      <c r="G9" s="17"/>
      <c r="H9" s="17"/>
      <c r="I9" s="17"/>
      <c r="J9" s="18"/>
      <c r="K9" s="1" t="s">
        <v>299</v>
      </c>
    </row>
    <row r="10" ht="28.5" customHeight="1">
      <c r="A10" s="1"/>
      <c r="B10" s="24" t="s">
        <v>300</v>
      </c>
      <c r="C10" s="25">
        <f>'Revenue summary'!C44</f>
        <v>39862</v>
      </c>
      <c r="D10" s="25">
        <f>'Revenue summary'!D44</f>
        <v>42870</v>
      </c>
      <c r="E10" s="25">
        <f>'Revenue summary'!E44</f>
        <v>44257</v>
      </c>
      <c r="F10" s="25">
        <f>'Revenue summary'!F44</f>
        <v>40986</v>
      </c>
      <c r="G10" s="25">
        <f>'Revenue summary'!G44</f>
        <v>39350</v>
      </c>
      <c r="H10" s="25">
        <f>'Revenue summary'!H44</f>
        <v>43762</v>
      </c>
      <c r="I10" s="25">
        <f>'Revenue summary'!I44</f>
        <v>167971</v>
      </c>
      <c r="J10" s="48">
        <f>'Revenue summary'!J44</f>
        <v>44739.592359999995</v>
      </c>
      <c r="K10" s="1"/>
    </row>
    <row r="11" ht="28.5" customHeight="1">
      <c r="A11" s="1"/>
      <c r="B11" s="24" t="s">
        <v>301</v>
      </c>
      <c r="C11" s="25">
        <f>'Revenue summary'!C62</f>
        <v>4159</v>
      </c>
      <c r="D11" s="25">
        <f>'Revenue summary'!D62</f>
        <v>4253</v>
      </c>
      <c r="E11" s="25">
        <f>'Revenue summary'!E62</f>
        <v>4335</v>
      </c>
      <c r="F11" s="25">
        <f>'Revenue summary'!F62</f>
        <v>4301</v>
      </c>
      <c r="G11" s="25">
        <f>'Revenue summary'!G62</f>
        <v>4276</v>
      </c>
      <c r="H11" s="25">
        <f>'Revenue summary'!H62</f>
        <v>4264</v>
      </c>
      <c r="I11" s="25">
        <f>'Revenue summary'!I62</f>
        <v>17048</v>
      </c>
      <c r="J11" s="48">
        <f>'Revenue summary'!J62</f>
        <v>4323.177925378311</v>
      </c>
      <c r="K11" s="1"/>
    </row>
    <row r="12" ht="15" customHeight="1">
      <c r="A12" s="1"/>
      <c r="B12" s="4" t="s">
        <v>107</v>
      </c>
      <c r="C12" s="52">
        <f t="shared" si="2" ref="C12:J133">C10+C11</f>
        <v>44021</v>
      </c>
      <c r="D12" s="52">
        <f t="shared" si="2"/>
        <v>47123</v>
      </c>
      <c r="E12" s="52">
        <f t="shared" si="2"/>
        <v>48592</v>
      </c>
      <c r="F12" s="52">
        <f t="shared" si="2"/>
        <v>45287</v>
      </c>
      <c r="G12" s="52">
        <f t="shared" si="2"/>
        <v>43626</v>
      </c>
      <c r="H12" s="52">
        <f t="shared" si="2"/>
        <v>48026</v>
      </c>
      <c r="I12" s="52">
        <f t="shared" si="2"/>
        <v>185019</v>
      </c>
      <c r="J12" s="53">
        <f t="shared" si="2"/>
        <v>49062.770285378305</v>
      </c>
      <c r="K12" s="1"/>
    </row>
    <row r="13" ht="15" customHeight="1">
      <c r="A13" s="1"/>
      <c r="B13" s="28" t="s">
        <v>80</v>
      </c>
      <c r="C13" s="29" t="s">
        <v>41</v>
      </c>
      <c r="D13" s="29" t="s">
        <v>41</v>
      </c>
      <c r="E13" s="29" t="s">
        <v>41</v>
      </c>
      <c r="F13" s="29" t="s">
        <v>41</v>
      </c>
      <c r="G13" s="29">
        <f t="shared" si="3" ref="G13:H119">_xlfn.IFERROR(G12/C12-1,"n.a.")</f>
        <v>-0.0089729901637855</v>
      </c>
      <c r="H13" s="29">
        <f t="shared" si="3"/>
        <v>0.019162616981092118</v>
      </c>
      <c r="I13" s="29" t="s">
        <v>41</v>
      </c>
      <c r="J13" s="30">
        <f t="shared" si="6" ref="J13:J119">_xlfn.IFERROR(J12/E12-1,"n.a.")</f>
        <v>0.009688226156122415</v>
      </c>
      <c r="K13" s="1"/>
    </row>
    <row r="14" ht="15" customHeight="1">
      <c r="A14" s="1"/>
      <c r="B14" s="28" t="s">
        <v>81</v>
      </c>
      <c r="C14" s="29" t="s">
        <v>41</v>
      </c>
      <c r="D14" s="29">
        <f t="shared" si="4" ref="D14:H120">_xlfn.IFERROR(D12/C12-1,"n.a.")</f>
        <v>0.07046636832420883</v>
      </c>
      <c r="E14" s="29">
        <f t="shared" si="4"/>
        <v>0.031173736816416664</v>
      </c>
      <c r="F14" s="29">
        <f t="shared" si="4"/>
        <v>-0.06801531116233128</v>
      </c>
      <c r="G14" s="29">
        <f t="shared" si="4"/>
        <v>-0.03667719213019194</v>
      </c>
      <c r="H14" s="29">
        <f t="shared" si="4"/>
        <v>0.10085728693898144</v>
      </c>
      <c r="I14" s="29" t="s">
        <v>41</v>
      </c>
      <c r="J14" s="30">
        <f t="shared" si="35" ref="J14:J120">_xlfn.IFERROR(J12/H12-1,"n.a.")</f>
        <v>0.02158768761459018</v>
      </c>
      <c r="K14" s="1"/>
    </row>
    <row r="15" ht="28.5" customHeight="1">
      <c r="A15" s="1"/>
      <c r="B15" s="24" t="s">
        <v>302</v>
      </c>
      <c r="C15" s="47">
        <v>35191</v>
      </c>
      <c r="D15" s="47">
        <v>39289</v>
      </c>
      <c r="E15" s="47">
        <v>41936</v>
      </c>
      <c r="F15" s="26">
        <f t="shared" si="5" ref="F15:F46">I15-C15-D15-E15</f>
        <v>42712</v>
      </c>
      <c r="G15" s="47">
        <v>35028</v>
      </c>
      <c r="H15" s="47">
        <v>40696</v>
      </c>
      <c r="I15" s="47">
        <v>159128</v>
      </c>
      <c r="J15" s="27">
        <f>J20-J16-J17</f>
        <v>39487.70435999999</v>
      </c>
      <c r="K15" s="1" t="s">
        <v>303</v>
      </c>
    </row>
    <row r="16" ht="28.5" customHeight="1">
      <c r="A16" s="1"/>
      <c r="B16" s="24" t="s">
        <v>304</v>
      </c>
      <c r="C16" s="47">
        <v>3491</v>
      </c>
      <c r="D16" s="47">
        <v>3567</v>
      </c>
      <c r="E16" s="47">
        <v>3542</v>
      </c>
      <c r="F16" s="26">
        <f t="shared" si="5"/>
        <v>3695</v>
      </c>
      <c r="G16" s="47">
        <v>3601</v>
      </c>
      <c r="H16" s="47">
        <v>3674</v>
      </c>
      <c r="I16" s="47">
        <v>14295</v>
      </c>
      <c r="J16" s="48">
        <f>'Segment - GM Financial'!J117</f>
        <v>3689.5822828619257</v>
      </c>
      <c r="K16" s="1"/>
    </row>
    <row r="17" ht="15" customHeight="1">
      <c r="A17" s="1"/>
      <c r="B17" s="19" t="s">
        <v>305</v>
      </c>
      <c r="C17" s="47">
        <v>1985</v>
      </c>
      <c r="D17" s="47">
        <v>2139</v>
      </c>
      <c r="E17" s="47">
        <v>2037</v>
      </c>
      <c r="F17" s="26">
        <f t="shared" si="5"/>
        <v>2526</v>
      </c>
      <c r="G17" s="47">
        <v>2069</v>
      </c>
      <c r="H17" s="47">
        <v>2197</v>
      </c>
      <c r="I17" s="47">
        <v>8687</v>
      </c>
      <c r="J17" s="49">
        <v>2150</v>
      </c>
      <c r="K17" s="1" t="s">
        <v>306</v>
      </c>
    </row>
    <row r="18" ht="15" customHeight="1">
      <c r="A18" s="1"/>
      <c r="B18" s="28" t="s">
        <v>80</v>
      </c>
      <c r="C18" s="29" t="s">
        <v>41</v>
      </c>
      <c r="D18" s="29" t="s">
        <v>41</v>
      </c>
      <c r="E18" s="29" t="s">
        <v>41</v>
      </c>
      <c r="F18" s="29" t="s">
        <v>41</v>
      </c>
      <c r="G18" s="29">
        <f t="shared" si="3"/>
        <v>0.04231738035264487</v>
      </c>
      <c r="H18" s="29">
        <f t="shared" si="3"/>
        <v>0.027115474520804206</v>
      </c>
      <c r="I18" s="29" t="s">
        <v>41</v>
      </c>
      <c r="J18" s="30">
        <f t="shared" si="6"/>
        <v>0.055473735886107045</v>
      </c>
      <c r="K18" s="1"/>
    </row>
    <row r="19" ht="15" customHeight="1">
      <c r="A19" s="1"/>
      <c r="B19" s="28" t="s">
        <v>93</v>
      </c>
      <c r="C19" s="50" t="s">
        <v>41</v>
      </c>
      <c r="D19" s="50">
        <f t="shared" si="7" ref="D19:H103">_xlfn.IFERROR(D17-C17,"n.a.")</f>
        <v>154</v>
      </c>
      <c r="E19" s="50">
        <f t="shared" si="7"/>
        <v>-102</v>
      </c>
      <c r="F19" s="50">
        <f t="shared" si="7"/>
        <v>489</v>
      </c>
      <c r="G19" s="50">
        <f t="shared" si="7"/>
        <v>-457</v>
      </c>
      <c r="H19" s="50">
        <f t="shared" si="7"/>
        <v>128</v>
      </c>
      <c r="I19" s="50" t="s">
        <v>41</v>
      </c>
      <c r="J19" s="51">
        <f t="shared" si="17" ref="J19:J103">_xlfn.IFERROR(J17-H17,"n.a.")</f>
        <v>-47</v>
      </c>
      <c r="K19" s="1"/>
    </row>
    <row r="20" ht="15" customHeight="1">
      <c r="A20" s="1"/>
      <c r="B20" s="4" t="s">
        <v>291</v>
      </c>
      <c r="C20" s="52">
        <f t="shared" si="8" ref="C20:I20">C15+C16+C17</f>
        <v>40667</v>
      </c>
      <c r="D20" s="52">
        <f t="shared" si="8"/>
        <v>44995</v>
      </c>
      <c r="E20" s="52">
        <f t="shared" si="8"/>
        <v>47515</v>
      </c>
      <c r="F20" s="52">
        <f t="shared" si="8"/>
        <v>48933</v>
      </c>
      <c r="G20" s="52">
        <f t="shared" si="8"/>
        <v>40698</v>
      </c>
      <c r="H20" s="52">
        <f t="shared" si="8"/>
        <v>46567</v>
      </c>
      <c r="I20" s="52">
        <f t="shared" si="8"/>
        <v>182110</v>
      </c>
      <c r="J20" s="53">
        <f>J12-J21</f>
        <v>45327.286642861916</v>
      </c>
      <c r="K20" s="1"/>
    </row>
    <row r="21" ht="15" customHeight="1">
      <c r="A21" s="1"/>
      <c r="B21" s="4" t="s">
        <v>307</v>
      </c>
      <c r="C21" s="52">
        <f t="shared" si="9" ref="C21:I21">C12-C20</f>
        <v>3354</v>
      </c>
      <c r="D21" s="52">
        <f t="shared" si="9"/>
        <v>2128</v>
      </c>
      <c r="E21" s="52">
        <f t="shared" si="9"/>
        <v>1077</v>
      </c>
      <c r="F21" s="52">
        <f t="shared" si="9"/>
        <v>-3646</v>
      </c>
      <c r="G21" s="52">
        <f t="shared" si="9"/>
        <v>2928</v>
      </c>
      <c r="H21" s="52">
        <f t="shared" si="9"/>
        <v>1459</v>
      </c>
      <c r="I21" s="52">
        <f t="shared" si="9"/>
        <v>2909</v>
      </c>
      <c r="J21" s="53">
        <f>J40+J30-J33-J36</f>
        <v>3735.4836425163853</v>
      </c>
      <c r="K21" s="1" t="s">
        <v>308</v>
      </c>
    </row>
    <row r="22" ht="15" customHeight="1">
      <c r="A22" s="1"/>
      <c r="B22" s="28" t="s">
        <v>80</v>
      </c>
      <c r="C22" s="29" t="s">
        <v>41</v>
      </c>
      <c r="D22" s="29" t="s">
        <v>41</v>
      </c>
      <c r="E22" s="29" t="s">
        <v>41</v>
      </c>
      <c r="F22" s="29" t="s">
        <v>41</v>
      </c>
      <c r="G22" s="29">
        <f t="shared" si="3"/>
        <v>-0.12701252236135963</v>
      </c>
      <c r="H22" s="29">
        <f t="shared" si="3"/>
        <v>-0.31437969924812026</v>
      </c>
      <c r="I22" s="29" t="s">
        <v>41</v>
      </c>
      <c r="J22" s="30">
        <f t="shared" si="6"/>
        <v>2.4684156383624747</v>
      </c>
      <c r="K22" s="1"/>
    </row>
    <row r="23" ht="15" customHeight="1">
      <c r="A23" s="1"/>
      <c r="B23" s="57" t="s">
        <v>309</v>
      </c>
      <c r="C23" s="29">
        <f t="shared" si="10" ref="C23:J23">_xlfn.IFERROR(C21/C12,"n.a.")</f>
        <v>0.07619090888439609</v>
      </c>
      <c r="D23" s="29">
        <f t="shared" si="10"/>
        <v>0.04515841521125565</v>
      </c>
      <c r="E23" s="29">
        <f t="shared" si="10"/>
        <v>0.02216414224563714</v>
      </c>
      <c r="F23" s="29">
        <f t="shared" si="10"/>
        <v>-0.08050875527193234</v>
      </c>
      <c r="G23" s="29">
        <f t="shared" si="10"/>
        <v>0.06711594003575849</v>
      </c>
      <c r="H23" s="29">
        <f t="shared" si="10"/>
        <v>0.030379377837004954</v>
      </c>
      <c r="I23" s="29">
        <f t="shared" si="10"/>
        <v>0.015722709559558748</v>
      </c>
      <c r="J23" s="30">
        <f t="shared" si="10"/>
        <v>0.07613682677901364</v>
      </c>
      <c r="K23" s="1"/>
    </row>
    <row r="24" ht="15" customHeight="1">
      <c r="A24" s="1"/>
      <c r="B24" s="28" t="s">
        <v>129</v>
      </c>
      <c r="C24" s="58" t="s">
        <v>41</v>
      </c>
      <c r="D24" s="58" t="s">
        <v>41</v>
      </c>
      <c r="E24" s="58" t="s">
        <v>41</v>
      </c>
      <c r="F24" s="58" t="s">
        <v>41</v>
      </c>
      <c r="G24" s="58">
        <f t="shared" si="11" ref="G24:H137">_xlfn.IFERROR((G23-C23)*10000,"n.a.")</f>
        <v>-90.74968848637593</v>
      </c>
      <c r="H24" s="58">
        <f t="shared" si="11"/>
        <v>-147.79037374250697</v>
      </c>
      <c r="I24" s="58" t="s">
        <v>41</v>
      </c>
      <c r="J24" s="59">
        <f t="shared" si="15" ref="J24:J137">_xlfn.IFERROR((J23-E23)*10000,"n.a.")</f>
        <v>539.7268453337649</v>
      </c>
      <c r="K24" s="1"/>
    </row>
    <row r="25" ht="15" customHeight="1">
      <c r="A25" s="1"/>
      <c r="B25" s="28" t="s">
        <v>130</v>
      </c>
      <c r="C25" s="58" t="s">
        <v>41</v>
      </c>
      <c r="D25" s="58">
        <f t="shared" si="12" ref="D25:H138">_xlfn.IFERROR((D23-C23)*10000,"n.a.")</f>
        <v>-310.32493673140436</v>
      </c>
      <c r="E25" s="58">
        <f t="shared" si="12"/>
        <v>-229.94272965618512</v>
      </c>
      <c r="F25" s="58">
        <f t="shared" si="12"/>
        <v>-1026.7289751756948</v>
      </c>
      <c r="G25" s="58">
        <f t="shared" si="12"/>
        <v>1476.2469530769085</v>
      </c>
      <c r="H25" s="58">
        <f t="shared" si="12"/>
        <v>-367.3656219875354</v>
      </c>
      <c r="I25" s="58" t="s">
        <v>41</v>
      </c>
      <c r="J25" s="59">
        <f t="shared" si="16" ref="J25:J138">_xlfn.IFERROR((J23-H23)*10000,"n.a.")</f>
        <v>457.5744894200869</v>
      </c>
      <c r="K25" s="1"/>
    </row>
    <row r="26" ht="41.25" customHeight="1">
      <c r="A26" s="1"/>
      <c r="B26" s="24" t="s">
        <v>310</v>
      </c>
      <c r="C26" s="26">
        <f t="shared" si="13" ref="C26:J26">C10-C15</f>
        <v>4671</v>
      </c>
      <c r="D26" s="26">
        <f t="shared" si="13"/>
        <v>3581</v>
      </c>
      <c r="E26" s="26">
        <f t="shared" si="13"/>
        <v>2321</v>
      </c>
      <c r="F26" s="26">
        <f t="shared" si="13"/>
        <v>-1726</v>
      </c>
      <c r="G26" s="26">
        <f t="shared" si="13"/>
        <v>4322</v>
      </c>
      <c r="H26" s="26">
        <f t="shared" si="13"/>
        <v>3066</v>
      </c>
      <c r="I26" s="26">
        <f t="shared" si="13"/>
        <v>8843</v>
      </c>
      <c r="J26" s="27">
        <f t="shared" si="13"/>
        <v>5251.888000000006</v>
      </c>
      <c r="K26" s="1" t="s">
        <v>311</v>
      </c>
    </row>
    <row r="27" ht="28.5" customHeight="1">
      <c r="A27" s="1"/>
      <c r="B27" s="60" t="s">
        <v>312</v>
      </c>
      <c r="C27" s="29">
        <f t="shared" si="14" ref="C27:J27">_xlfn.IFERROR(C26/C10,"n.a.")</f>
        <v>0.11717926847624303</v>
      </c>
      <c r="D27" s="29">
        <f t="shared" si="14"/>
        <v>0.08353160718451132</v>
      </c>
      <c r="E27" s="29">
        <f t="shared" si="14"/>
        <v>0.05244368122556883</v>
      </c>
      <c r="F27" s="29">
        <f t="shared" si="14"/>
        <v>-0.0421119406626653</v>
      </c>
      <c r="G27" s="29">
        <f t="shared" si="14"/>
        <v>0.10983481575603558</v>
      </c>
      <c r="H27" s="29">
        <f t="shared" si="14"/>
        <v>0.07006078332800146</v>
      </c>
      <c r="I27" s="29">
        <f t="shared" si="14"/>
        <v>0.05264599246298468</v>
      </c>
      <c r="J27" s="30">
        <f t="shared" si="14"/>
        <v>0.11738792695606955</v>
      </c>
      <c r="K27" s="1" t="s">
        <v>313</v>
      </c>
    </row>
    <row r="28" ht="15" customHeight="1">
      <c r="A28" s="1"/>
      <c r="B28" s="28" t="s">
        <v>129</v>
      </c>
      <c r="C28" s="58" t="s">
        <v>41</v>
      </c>
      <c r="D28" s="58" t="s">
        <v>41</v>
      </c>
      <c r="E28" s="58" t="s">
        <v>41</v>
      </c>
      <c r="F28" s="58" t="s">
        <v>41</v>
      </c>
      <c r="G28" s="58">
        <f t="shared" si="11"/>
        <v>-73.44452720207451</v>
      </c>
      <c r="H28" s="58">
        <f t="shared" si="11"/>
        <v>-134.70823856509855</v>
      </c>
      <c r="I28" s="58" t="s">
        <v>41</v>
      </c>
      <c r="J28" s="59">
        <f t="shared" si="15"/>
        <v>649.4424573050071</v>
      </c>
      <c r="K28" s="1"/>
    </row>
    <row r="29" ht="15" customHeight="1">
      <c r="A29" s="1"/>
      <c r="B29" s="28" t="s">
        <v>130</v>
      </c>
      <c r="C29" s="58" t="s">
        <v>41</v>
      </c>
      <c r="D29" s="58">
        <f t="shared" si="12"/>
        <v>-336.4766129173172</v>
      </c>
      <c r="E29" s="58">
        <f t="shared" si="12"/>
        <v>-310.8792595894248</v>
      </c>
      <c r="F29" s="58">
        <f t="shared" si="12"/>
        <v>-945.5562188823413</v>
      </c>
      <c r="G29" s="58">
        <f t="shared" si="12"/>
        <v>1519.4675641870087</v>
      </c>
      <c r="H29" s="58">
        <f t="shared" si="12"/>
        <v>-397.7403242803412</v>
      </c>
      <c r="I29" s="58" t="s">
        <v>41</v>
      </c>
      <c r="J29" s="59">
        <f t="shared" si="16"/>
        <v>473.27143628068086</v>
      </c>
      <c r="K29" s="1"/>
    </row>
    <row r="30" ht="15" customHeight="1">
      <c r="A30" s="1"/>
      <c r="B30" s="19" t="s">
        <v>314</v>
      </c>
      <c r="C30" s="47">
        <v>152</v>
      </c>
      <c r="D30" s="47">
        <v>198</v>
      </c>
      <c r="E30" s="47">
        <v>209</v>
      </c>
      <c r="F30" s="47">
        <v>167</v>
      </c>
      <c r="G30" s="47">
        <v>158</v>
      </c>
      <c r="H30" s="47">
        <v>151</v>
      </c>
      <c r="I30" s="47">
        <v>727</v>
      </c>
      <c r="J30" s="49">
        <v>150</v>
      </c>
      <c r="K30" s="1"/>
    </row>
    <row r="31" ht="15" customHeight="1">
      <c r="A31" s="1"/>
      <c r="B31" s="28" t="s">
        <v>80</v>
      </c>
      <c r="C31" s="29" t="s">
        <v>41</v>
      </c>
      <c r="D31" s="29" t="s">
        <v>41</v>
      </c>
      <c r="E31" s="29" t="s">
        <v>41</v>
      </c>
      <c r="F31" s="29" t="s">
        <v>41</v>
      </c>
      <c r="G31" s="29">
        <f t="shared" si="3"/>
        <v>0.03947368421052633</v>
      </c>
      <c r="H31" s="29">
        <f t="shared" si="3"/>
        <v>-0.23737373737373735</v>
      </c>
      <c r="I31" s="29" t="s">
        <v>41</v>
      </c>
      <c r="J31" s="30">
        <f t="shared" si="6"/>
        <v>-0.2822966507177034</v>
      </c>
      <c r="K31" s="1"/>
    </row>
    <row r="32" ht="15" customHeight="1">
      <c r="A32" s="1"/>
      <c r="B32" s="28" t="s">
        <v>93</v>
      </c>
      <c r="C32" s="50" t="s">
        <v>41</v>
      </c>
      <c r="D32" s="50">
        <f t="shared" si="7"/>
        <v>46</v>
      </c>
      <c r="E32" s="50">
        <f t="shared" si="7"/>
        <v>11</v>
      </c>
      <c r="F32" s="50">
        <f t="shared" si="7"/>
        <v>-42</v>
      </c>
      <c r="G32" s="50">
        <f t="shared" si="7"/>
        <v>-9</v>
      </c>
      <c r="H32" s="50">
        <f t="shared" si="7"/>
        <v>-7</v>
      </c>
      <c r="I32" s="50" t="s">
        <v>41</v>
      </c>
      <c r="J32" s="51">
        <f t="shared" si="17"/>
        <v>-1</v>
      </c>
      <c r="K32" s="1"/>
    </row>
    <row r="33" ht="28.5" customHeight="1">
      <c r="A33" s="1"/>
      <c r="B33" s="24" t="s">
        <v>315</v>
      </c>
      <c r="C33" s="47">
        <v>310</v>
      </c>
      <c r="D33" s="47">
        <v>366</v>
      </c>
      <c r="E33" s="47">
        <v>475</v>
      </c>
      <c r="F33" s="26">
        <f t="shared" si="5"/>
        <v>384</v>
      </c>
      <c r="G33" s="47">
        <v>307</v>
      </c>
      <c r="H33" s="47">
        <v>223</v>
      </c>
      <c r="I33" s="47">
        <v>1535</v>
      </c>
      <c r="J33" s="49">
        <v>215</v>
      </c>
      <c r="K33" s="1" t="s">
        <v>316</v>
      </c>
    </row>
    <row r="34" ht="15" customHeight="1">
      <c r="A34" s="1"/>
      <c r="B34" s="28" t="s">
        <v>80</v>
      </c>
      <c r="C34" s="29" t="s">
        <v>41</v>
      </c>
      <c r="D34" s="29" t="s">
        <v>41</v>
      </c>
      <c r="E34" s="29" t="s">
        <v>41</v>
      </c>
      <c r="F34" s="29" t="s">
        <v>41</v>
      </c>
      <c r="G34" s="29">
        <f t="shared" si="3"/>
        <v>-0.009677419354838679</v>
      </c>
      <c r="H34" s="29">
        <f t="shared" si="3"/>
        <v>-0.3907103825136612</v>
      </c>
      <c r="I34" s="29" t="s">
        <v>41</v>
      </c>
      <c r="J34" s="30">
        <f t="shared" si="6"/>
        <v>-0.5473684210526315</v>
      </c>
      <c r="K34" s="1"/>
    </row>
    <row r="35" ht="15" customHeight="1">
      <c r="A35" s="1"/>
      <c r="B35" s="28" t="s">
        <v>93</v>
      </c>
      <c r="C35" s="50" t="s">
        <v>41</v>
      </c>
      <c r="D35" s="50">
        <f t="shared" si="7"/>
        <v>56</v>
      </c>
      <c r="E35" s="50">
        <f t="shared" si="7"/>
        <v>109</v>
      </c>
      <c r="F35" s="50">
        <f t="shared" si="7"/>
        <v>-91</v>
      </c>
      <c r="G35" s="50">
        <f t="shared" si="7"/>
        <v>-77</v>
      </c>
      <c r="H35" s="50">
        <f t="shared" si="7"/>
        <v>-84</v>
      </c>
      <c r="I35" s="50" t="s">
        <v>41</v>
      </c>
      <c r="J35" s="51">
        <f t="shared" si="17"/>
        <v>-8</v>
      </c>
      <c r="K35" s="1"/>
    </row>
    <row r="36" ht="15" customHeight="1">
      <c r="A36" s="1"/>
      <c r="B36" s="19" t="s">
        <v>317</v>
      </c>
      <c r="C36" s="47">
        <v>62</v>
      </c>
      <c r="D36" s="47">
        <v>80</v>
      </c>
      <c r="E36" s="47">
        <v>77</v>
      </c>
      <c r="F36" s="26">
        <f t="shared" si="5"/>
        <v>-819</v>
      </c>
      <c r="G36" s="47">
        <v>272</v>
      </c>
      <c r="H36" s="47">
        <v>36</v>
      </c>
      <c r="I36" s="47">
        <v>-600</v>
      </c>
      <c r="J36" s="48">
        <f>'Segment - GMI'!J24+'Segment - GM Financial'!J118+J39</f>
        <v>84.6</v>
      </c>
      <c r="K36" s="1" t="s">
        <v>318</v>
      </c>
    </row>
    <row r="37" ht="15" customHeight="1">
      <c r="A37" s="1"/>
      <c r="B37" s="28" t="s">
        <v>80</v>
      </c>
      <c r="C37" s="29" t="s">
        <v>41</v>
      </c>
      <c r="D37" s="29" t="s">
        <v>41</v>
      </c>
      <c r="E37" s="29" t="s">
        <v>41</v>
      </c>
      <c r="F37" s="29" t="s">
        <v>41</v>
      </c>
      <c r="G37" s="29">
        <f t="shared" si="3"/>
        <v>3.387096774193548</v>
      </c>
      <c r="H37" s="29">
        <f t="shared" si="3"/>
        <v>-0.55</v>
      </c>
      <c r="I37" s="29" t="s">
        <v>41</v>
      </c>
      <c r="J37" s="30">
        <f t="shared" si="6"/>
        <v>0.09870129870129873</v>
      </c>
      <c r="K37" s="1"/>
    </row>
    <row r="38" ht="15" customHeight="1">
      <c r="A38" s="1"/>
      <c r="B38" s="28" t="s">
        <v>93</v>
      </c>
      <c r="C38" s="50" t="s">
        <v>41</v>
      </c>
      <c r="D38" s="50">
        <f t="shared" si="7"/>
        <v>18</v>
      </c>
      <c r="E38" s="50">
        <f t="shared" si="7"/>
        <v>-3</v>
      </c>
      <c r="F38" s="50">
        <f t="shared" si="7"/>
        <v>-896</v>
      </c>
      <c r="G38" s="50">
        <f t="shared" si="7"/>
        <v>1091</v>
      </c>
      <c r="H38" s="50">
        <f t="shared" si="7"/>
        <v>-236</v>
      </c>
      <c r="I38" s="50" t="s">
        <v>41</v>
      </c>
      <c r="J38" s="51">
        <f t="shared" si="17"/>
        <v>48.599999999999994</v>
      </c>
      <c r="K38" s="1"/>
    </row>
    <row r="39" ht="41.25" customHeight="1">
      <c r="A39" s="1"/>
      <c r="B39" s="46" t="s">
        <v>319</v>
      </c>
      <c r="C39" s="25">
        <f>C36-'Segment - GMI'!C24-'Segment - GM Financial'!C118</f>
        <v>5</v>
      </c>
      <c r="D39" s="25">
        <f>D36-'Segment - GMI'!D24-'Segment - GM Financial'!D118</f>
        <v>-7</v>
      </c>
      <c r="E39" s="25">
        <f>E36-'Segment - GMI'!E24-'Segment - GM Financial'!E118</f>
        <v>-12</v>
      </c>
      <c r="F39" s="25">
        <f>F36-'Segment - GMI'!F24-'Segment - GM Financial'!F118</f>
        <v>-308</v>
      </c>
      <c r="G39" s="25">
        <f>G36-'Segment - GMI'!G24-'Segment - GM Financial'!G118</f>
        <v>93</v>
      </c>
      <c r="H39" s="25">
        <f>H36-'Segment - GMI'!H24-'Segment - GM Financial'!H118</f>
        <v>-60</v>
      </c>
      <c r="I39" s="25">
        <f>I36-'Segment - GMI'!I24-'Segment - GM Financial'!I118</f>
        <v>-323</v>
      </c>
      <c r="J39" s="49">
        <v>0</v>
      </c>
      <c r="K39" s="1" t="s">
        <v>320</v>
      </c>
    </row>
    <row r="40" ht="15" customHeight="1">
      <c r="A40" s="1"/>
      <c r="B40" s="4" t="s">
        <v>321</v>
      </c>
      <c r="C40" s="52">
        <f t="shared" si="18" ref="C40:I40">C21-C30+C33+C36</f>
        <v>3574</v>
      </c>
      <c r="D40" s="52">
        <f t="shared" si="18"/>
        <v>2376</v>
      </c>
      <c r="E40" s="52">
        <f t="shared" si="18"/>
        <v>1420</v>
      </c>
      <c r="F40" s="52">
        <f t="shared" si="18"/>
        <v>-4248</v>
      </c>
      <c r="G40" s="52">
        <f t="shared" si="18"/>
        <v>3349</v>
      </c>
      <c r="H40" s="52">
        <f t="shared" si="18"/>
        <v>1567</v>
      </c>
      <c r="I40" s="52">
        <f t="shared" si="18"/>
        <v>3117</v>
      </c>
      <c r="J40" s="53">
        <f>J89-J88-J30+J73-J46</f>
        <v>3885.083642516385</v>
      </c>
      <c r="K40" s="1"/>
    </row>
    <row r="41" ht="15" customHeight="1">
      <c r="A41" s="1"/>
      <c r="B41" s="19" t="s">
        <v>322</v>
      </c>
      <c r="C41" s="47">
        <v>719</v>
      </c>
      <c r="D41" s="47">
        <v>481</v>
      </c>
      <c r="E41" s="47">
        <v>127</v>
      </c>
      <c r="F41" s="47">
        <v>-989</v>
      </c>
      <c r="G41" s="47">
        <v>642</v>
      </c>
      <c r="H41" s="47">
        <v>214</v>
      </c>
      <c r="I41" s="47">
        <v>338</v>
      </c>
      <c r="J41" s="27">
        <f>J134-J135</f>
        <v>725.7404738655313</v>
      </c>
      <c r="K41" s="1"/>
    </row>
    <row r="42" ht="15" customHeight="1">
      <c r="A42" s="1"/>
      <c r="B42" s="57" t="s">
        <v>323</v>
      </c>
      <c r="C42" s="29">
        <f t="shared" si="19" ref="C42:J42">_xlfn.IFERROR(C41/C40,"n.a.")</f>
        <v>0.20117515388919976</v>
      </c>
      <c r="D42" s="29">
        <f t="shared" si="19"/>
        <v>0.20244107744107745</v>
      </c>
      <c r="E42" s="29">
        <f t="shared" si="19"/>
        <v>0.08943661971830986</v>
      </c>
      <c r="F42" s="29">
        <f t="shared" si="19"/>
        <v>0.23281544256120526</v>
      </c>
      <c r="G42" s="29">
        <f t="shared" si="19"/>
        <v>0.1916990146312332</v>
      </c>
      <c r="H42" s="29">
        <f t="shared" si="19"/>
        <v>0.13656668793873644</v>
      </c>
      <c r="I42" s="29">
        <f t="shared" si="19"/>
        <v>0.10843760025665704</v>
      </c>
      <c r="J42" s="30">
        <f t="shared" si="19"/>
        <v>0.18680176301055543</v>
      </c>
      <c r="K42" s="1"/>
    </row>
    <row r="43" ht="15" customHeight="1">
      <c r="A43" s="1"/>
      <c r="B43" s="28" t="s">
        <v>129</v>
      </c>
      <c r="C43" s="58" t="s">
        <v>41</v>
      </c>
      <c r="D43" s="58" t="s">
        <v>41</v>
      </c>
      <c r="E43" s="58" t="s">
        <v>41</v>
      </c>
      <c r="F43" s="58" t="s">
        <v>41</v>
      </c>
      <c r="G43" s="58">
        <f t="shared" si="11"/>
        <v>-94.7613925796656</v>
      </c>
      <c r="H43" s="58">
        <f t="shared" si="11"/>
        <v>-658.7438950234101</v>
      </c>
      <c r="I43" s="58" t="s">
        <v>41</v>
      </c>
      <c r="J43" s="59">
        <f t="shared" si="15"/>
        <v>973.6514329224556</v>
      </c>
      <c r="K43" s="1"/>
    </row>
    <row r="44" ht="15" customHeight="1">
      <c r="A44" s="1"/>
      <c r="B44" s="28" t="s">
        <v>130</v>
      </c>
      <c r="C44" s="58" t="s">
        <v>41</v>
      </c>
      <c r="D44" s="58">
        <f t="shared" si="12"/>
        <v>12.659235518776846</v>
      </c>
      <c r="E44" s="58">
        <f t="shared" si="12"/>
        <v>-1130.0445772276757</v>
      </c>
      <c r="F44" s="58">
        <f t="shared" si="12"/>
        <v>1433.7882284289537</v>
      </c>
      <c r="G44" s="58">
        <f t="shared" si="12"/>
        <v>-411.16427929972053</v>
      </c>
      <c r="H44" s="58">
        <f t="shared" si="12"/>
        <v>-551.3232669249676</v>
      </c>
      <c r="I44" s="58" t="s">
        <v>41</v>
      </c>
      <c r="J44" s="59">
        <f t="shared" si="16"/>
        <v>502.35075071818983</v>
      </c>
      <c r="K44" s="1"/>
    </row>
    <row r="45" ht="15" customHeight="1">
      <c r="A45" s="1"/>
      <c r="B45" s="4" t="s">
        <v>324</v>
      </c>
      <c r="C45" s="52">
        <f t="shared" si="20" ref="C45:J45">C40-C41</f>
        <v>2855</v>
      </c>
      <c r="D45" s="52">
        <f t="shared" si="20"/>
        <v>1895</v>
      </c>
      <c r="E45" s="52">
        <f t="shared" si="20"/>
        <v>1293</v>
      </c>
      <c r="F45" s="52">
        <f t="shared" si="20"/>
        <v>-3259</v>
      </c>
      <c r="G45" s="52">
        <f t="shared" si="20"/>
        <v>2707</v>
      </c>
      <c r="H45" s="52">
        <f t="shared" si="20"/>
        <v>1353</v>
      </c>
      <c r="I45" s="52">
        <f t="shared" si="20"/>
        <v>2779</v>
      </c>
      <c r="J45" s="53">
        <f t="shared" si="20"/>
        <v>3159.343168650854</v>
      </c>
      <c r="K45" s="1"/>
    </row>
    <row r="46" ht="41.25" customHeight="1">
      <c r="A46" s="1"/>
      <c r="B46" s="24" t="s">
        <v>325</v>
      </c>
      <c r="C46" s="47">
        <v>-69</v>
      </c>
      <c r="D46" s="47">
        <v>1</v>
      </c>
      <c r="E46" s="47">
        <v>35</v>
      </c>
      <c r="F46" s="26">
        <f t="shared" si="5"/>
        <v>-50</v>
      </c>
      <c r="G46" s="47">
        <v>-78</v>
      </c>
      <c r="H46" s="47">
        <v>-48</v>
      </c>
      <c r="I46" s="47">
        <v>-83</v>
      </c>
      <c r="J46" s="49">
        <v>-45</v>
      </c>
      <c r="K46" s="1" t="s">
        <v>326</v>
      </c>
    </row>
    <row r="47" ht="15" customHeight="1">
      <c r="A47" s="1"/>
      <c r="B47" s="28" t="s">
        <v>80</v>
      </c>
      <c r="C47" s="29" t="s">
        <v>41</v>
      </c>
      <c r="D47" s="29" t="s">
        <v>41</v>
      </c>
      <c r="E47" s="29" t="s">
        <v>41</v>
      </c>
      <c r="F47" s="29" t="s">
        <v>41</v>
      </c>
      <c r="G47" s="29">
        <f t="shared" si="3"/>
        <v>0.13043478260869557</v>
      </c>
      <c r="H47" s="29">
        <f t="shared" si="3"/>
        <v>-49</v>
      </c>
      <c r="I47" s="29" t="s">
        <v>41</v>
      </c>
      <c r="J47" s="30">
        <f t="shared" si="6"/>
        <v>-2.2857142857142856</v>
      </c>
      <c r="K47" s="1"/>
    </row>
    <row r="48" ht="15" customHeight="1">
      <c r="A48" s="1"/>
      <c r="B48" s="28" t="s">
        <v>93</v>
      </c>
      <c r="C48" s="50" t="s">
        <v>41</v>
      </c>
      <c r="D48" s="50">
        <f t="shared" si="7"/>
        <v>70</v>
      </c>
      <c r="E48" s="50">
        <f t="shared" si="7"/>
        <v>34</v>
      </c>
      <c r="F48" s="50">
        <f t="shared" si="7"/>
        <v>-85</v>
      </c>
      <c r="G48" s="50">
        <f t="shared" si="7"/>
        <v>-28</v>
      </c>
      <c r="H48" s="50">
        <f t="shared" si="7"/>
        <v>30</v>
      </c>
      <c r="I48" s="50" t="s">
        <v>41</v>
      </c>
      <c r="J48" s="51">
        <f t="shared" si="17"/>
        <v>3</v>
      </c>
      <c r="K48" s="1"/>
    </row>
    <row r="49" ht="28.5" customHeight="1">
      <c r="A49" s="1"/>
      <c r="B49" s="55" t="s">
        <v>327</v>
      </c>
      <c r="C49" s="52">
        <f t="shared" si="21" ref="C49:J104">C45+C46</f>
        <v>2786</v>
      </c>
      <c r="D49" s="52">
        <f t="shared" si="21"/>
        <v>1896</v>
      </c>
      <c r="E49" s="52">
        <f t="shared" si="21"/>
        <v>1328</v>
      </c>
      <c r="F49" s="52">
        <f t="shared" si="21"/>
        <v>-3309</v>
      </c>
      <c r="G49" s="52">
        <f t="shared" si="21"/>
        <v>2629</v>
      </c>
      <c r="H49" s="52">
        <f t="shared" si="21"/>
        <v>1305</v>
      </c>
      <c r="I49" s="52">
        <f t="shared" si="21"/>
        <v>2696</v>
      </c>
      <c r="J49" s="53">
        <f t="shared" si="21"/>
        <v>3114.343168650854</v>
      </c>
      <c r="K49" s="1"/>
    </row>
    <row r="50" ht="15" customHeight="1">
      <c r="A50" s="1"/>
      <c r="B50" s="28" t="s">
        <v>80</v>
      </c>
      <c r="C50" s="29" t="s">
        <v>41</v>
      </c>
      <c r="D50" s="29" t="s">
        <v>41</v>
      </c>
      <c r="E50" s="29" t="s">
        <v>41</v>
      </c>
      <c r="F50" s="29" t="s">
        <v>41</v>
      </c>
      <c r="G50" s="29">
        <f t="shared" si="3"/>
        <v>-0.05635319454414933</v>
      </c>
      <c r="H50" s="29">
        <f t="shared" si="3"/>
        <v>-0.31170886075949367</v>
      </c>
      <c r="I50" s="29" t="s">
        <v>41</v>
      </c>
      <c r="J50" s="30">
        <f t="shared" si="6"/>
        <v>1.3451379282009444</v>
      </c>
      <c r="K50" s="1"/>
    </row>
    <row r="51" ht="28.5" customHeight="1">
      <c r="A51" s="1"/>
      <c r="B51" s="60" t="s">
        <v>328</v>
      </c>
      <c r="C51" s="29">
        <f t="shared" si="22" ref="C51:J51">_xlfn.IFERROR(C49/C12,"n.a.")</f>
        <v>0.06328797619318052</v>
      </c>
      <c r="D51" s="29">
        <f t="shared" si="22"/>
        <v>0.04023512934235936</v>
      </c>
      <c r="E51" s="29">
        <f t="shared" si="22"/>
        <v>0.02732960158050708</v>
      </c>
      <c r="F51" s="29">
        <f t="shared" si="22"/>
        <v>-0.0730673261642414</v>
      </c>
      <c r="G51" s="29">
        <f t="shared" si="22"/>
        <v>0.06026222894604135</v>
      </c>
      <c r="H51" s="29">
        <f t="shared" si="22"/>
        <v>0.027172781410069544</v>
      </c>
      <c r="I51" s="29">
        <f t="shared" si="22"/>
        <v>0.014571476442959912</v>
      </c>
      <c r="J51" s="30">
        <f t="shared" si="22"/>
        <v>0.06347670852126731</v>
      </c>
      <c r="K51" s="1"/>
    </row>
    <row r="52" ht="15" customHeight="1">
      <c r="A52" s="1"/>
      <c r="B52" s="28" t="s">
        <v>129</v>
      </c>
      <c r="C52" s="58" t="s">
        <v>41</v>
      </c>
      <c r="D52" s="58" t="s">
        <v>41</v>
      </c>
      <c r="E52" s="58" t="s">
        <v>41</v>
      </c>
      <c r="F52" s="58" t="s">
        <v>41</v>
      </c>
      <c r="G52" s="58">
        <f t="shared" si="11"/>
        <v>-30.257472471391726</v>
      </c>
      <c r="H52" s="58">
        <f t="shared" si="11"/>
        <v>-130.62347932289813</v>
      </c>
      <c r="I52" s="58" t="s">
        <v>41</v>
      </c>
      <c r="J52" s="59">
        <f t="shared" si="15"/>
        <v>361.47106940760233</v>
      </c>
      <c r="K52" s="1"/>
    </row>
    <row r="53" ht="15" customHeight="1">
      <c r="A53" s="1"/>
      <c r="B53" s="28" t="s">
        <v>130</v>
      </c>
      <c r="C53" s="58" t="s">
        <v>41</v>
      </c>
      <c r="D53" s="58">
        <f t="shared" si="12"/>
        <v>-230.52846850821166</v>
      </c>
      <c r="E53" s="58">
        <f t="shared" si="12"/>
        <v>-129.05527761852278</v>
      </c>
      <c r="F53" s="58">
        <f t="shared" si="12"/>
        <v>-1003.9692774474848</v>
      </c>
      <c r="G53" s="58">
        <f t="shared" si="12"/>
        <v>1333.2955511028274</v>
      </c>
      <c r="H53" s="58">
        <f t="shared" si="12"/>
        <v>-330.894475359718</v>
      </c>
      <c r="I53" s="58" t="s">
        <v>41</v>
      </c>
      <c r="J53" s="59">
        <f t="shared" si="16"/>
        <v>363.0392711119777</v>
      </c>
      <c r="K53" s="1"/>
    </row>
    <row r="54" ht="28.5" customHeight="1">
      <c r="A54" s="1"/>
      <c r="B54" s="24" t="s">
        <v>329</v>
      </c>
      <c r="C54" s="47">
        <v>577</v>
      </c>
      <c r="D54" s="47">
        <v>-30</v>
      </c>
      <c r="E54" s="47">
        <v>-30</v>
      </c>
      <c r="F54" s="47">
        <v>-20</v>
      </c>
      <c r="G54" s="47">
        <v>-13</v>
      </c>
      <c r="H54" s="47">
        <v>-18</v>
      </c>
      <c r="I54" s="47">
        <v>483</v>
      </c>
      <c r="J54" s="49">
        <v>-20</v>
      </c>
      <c r="K54" s="1" t="s">
        <v>330</v>
      </c>
    </row>
    <row r="55" ht="15" customHeight="1">
      <c r="A55" s="1"/>
      <c r="B55" s="28" t="s">
        <v>80</v>
      </c>
      <c r="C55" s="29" t="s">
        <v>41</v>
      </c>
      <c r="D55" s="29" t="s">
        <v>41</v>
      </c>
      <c r="E55" s="29" t="s">
        <v>41</v>
      </c>
      <c r="F55" s="29" t="s">
        <v>41</v>
      </c>
      <c r="G55" s="29">
        <f t="shared" si="3"/>
        <v>-1.022530329289428</v>
      </c>
      <c r="H55" s="29">
        <f t="shared" si="3"/>
        <v>-0.4</v>
      </c>
      <c r="I55" s="29" t="s">
        <v>41</v>
      </c>
      <c r="J55" s="30">
        <f t="shared" si="6"/>
        <v>-0.33333333333333337</v>
      </c>
      <c r="K55" s="1"/>
    </row>
    <row r="56" ht="15" customHeight="1">
      <c r="A56" s="1"/>
      <c r="B56" s="28" t="s">
        <v>93</v>
      </c>
      <c r="C56" s="50" t="s">
        <v>41</v>
      </c>
      <c r="D56" s="50">
        <f t="shared" si="7"/>
        <v>-607</v>
      </c>
      <c r="E56" s="50">
        <f t="shared" si="7"/>
        <v>0</v>
      </c>
      <c r="F56" s="50">
        <f t="shared" si="7"/>
        <v>10</v>
      </c>
      <c r="G56" s="50">
        <f t="shared" si="7"/>
        <v>7</v>
      </c>
      <c r="H56" s="50">
        <f t="shared" si="7"/>
        <v>-5</v>
      </c>
      <c r="I56" s="50" t="s">
        <v>41</v>
      </c>
      <c r="J56" s="51">
        <f t="shared" si="17"/>
        <v>-2</v>
      </c>
      <c r="K56" s="1"/>
    </row>
    <row r="57" ht="28.5" customHeight="1">
      <c r="A57" s="1"/>
      <c r="B57" s="55" t="s">
        <v>331</v>
      </c>
      <c r="C57" s="52">
        <f t="shared" si="23" ref="C57:J57">C49+C54</f>
        <v>3363</v>
      </c>
      <c r="D57" s="52">
        <f t="shared" si="23"/>
        <v>1866</v>
      </c>
      <c r="E57" s="52">
        <f t="shared" si="23"/>
        <v>1298</v>
      </c>
      <c r="F57" s="52">
        <f t="shared" si="23"/>
        <v>-3329</v>
      </c>
      <c r="G57" s="52">
        <f t="shared" si="23"/>
        <v>2616</v>
      </c>
      <c r="H57" s="52">
        <f t="shared" si="23"/>
        <v>1287</v>
      </c>
      <c r="I57" s="52">
        <f t="shared" si="23"/>
        <v>3179</v>
      </c>
      <c r="J57" s="53">
        <f t="shared" si="23"/>
        <v>3094.343168650854</v>
      </c>
      <c r="K57" s="1"/>
    </row>
    <row r="58" ht="28.5" customHeight="1">
      <c r="A58" s="1"/>
      <c r="B58" s="24" t="s">
        <v>332</v>
      </c>
      <c r="C58" s="25">
        <f>'Share Count'!C10</f>
        <v>988</v>
      </c>
      <c r="D58" s="25">
        <f>'Share Count'!D10</f>
        <v>963</v>
      </c>
      <c r="E58" s="25">
        <f>'Share Count'!E10</f>
        <v>944</v>
      </c>
      <c r="F58" s="25">
        <f>'Share Count'!F10</f>
        <v>925</v>
      </c>
      <c r="G58" s="25">
        <f>'Share Count'!G10</f>
        <v>911</v>
      </c>
      <c r="H58" s="25">
        <f>'Share Count'!H10</f>
        <v>896</v>
      </c>
      <c r="I58" s="25">
        <f>'Share Count'!I10</f>
        <v>955</v>
      </c>
      <c r="J58" s="48">
        <f>'Share Count'!J10</f>
        <v>868.8361563846154</v>
      </c>
      <c r="K58" s="1"/>
    </row>
    <row r="59" ht="28.5" customHeight="1">
      <c r="A59" s="1"/>
      <c r="B59" s="24" t="s">
        <v>333</v>
      </c>
      <c r="C59" s="25">
        <f>'Share Count'!C16</f>
        <v>1002</v>
      </c>
      <c r="D59" s="25">
        <f>'Share Count'!D16</f>
        <v>976</v>
      </c>
      <c r="E59" s="25">
        <f>'Share Count'!E16</f>
        <v>964</v>
      </c>
      <c r="F59" s="25">
        <f>'Share Count'!F16</f>
        <v>925</v>
      </c>
      <c r="G59" s="25">
        <f>'Share Count'!G16</f>
        <v>926</v>
      </c>
      <c r="H59" s="25">
        <f>'Share Count'!H16</f>
        <v>910</v>
      </c>
      <c r="I59" s="25">
        <f>'Share Count'!I16</f>
        <v>973</v>
      </c>
      <c r="J59" s="48">
        <f>'Share Count'!J16</f>
        <v>882.8361563846154</v>
      </c>
      <c r="K59" s="1"/>
    </row>
    <row r="60" ht="15" customHeight="1">
      <c r="A60" s="1"/>
      <c r="B60" s="19" t="s">
        <v>334</v>
      </c>
      <c r="C60" s="32">
        <f t="shared" si="24" ref="C60:J60">_xlfn.IFERROR(C57/C58,"n.a.")</f>
        <v>3.4038461538461537</v>
      </c>
      <c r="D60" s="32">
        <f t="shared" si="24"/>
        <v>1.9376947040498442</v>
      </c>
      <c r="E60" s="32">
        <f t="shared" si="24"/>
        <v>1.375</v>
      </c>
      <c r="F60" s="32">
        <f t="shared" si="24"/>
        <v>-3.598918918918919</v>
      </c>
      <c r="G60" s="32">
        <f t="shared" si="24"/>
        <v>2.871569703622393</v>
      </c>
      <c r="H60" s="32">
        <f t="shared" si="24"/>
        <v>1.4363839285714286</v>
      </c>
      <c r="I60" s="32">
        <f t="shared" si="24"/>
        <v>3.3287958115183245</v>
      </c>
      <c r="J60" s="33">
        <f t="shared" si="24"/>
        <v>3.5614806611260015</v>
      </c>
      <c r="K60" s="1"/>
    </row>
    <row r="61" ht="15" customHeight="1">
      <c r="A61" s="1"/>
      <c r="B61" s="4" t="s">
        <v>335</v>
      </c>
      <c r="C61" s="72">
        <f t="shared" si="25" ref="C61:J61">_xlfn.IFERROR(C57/C59,"n.a.")</f>
        <v>3.356287425149701</v>
      </c>
      <c r="D61" s="72">
        <f t="shared" si="25"/>
        <v>1.9118852459016393</v>
      </c>
      <c r="E61" s="72">
        <f t="shared" si="25"/>
        <v>1.3464730290456433</v>
      </c>
      <c r="F61" s="72">
        <f t="shared" si="25"/>
        <v>-3.598918918918919</v>
      </c>
      <c r="G61" s="72">
        <f t="shared" si="25"/>
        <v>2.8250539956803458</v>
      </c>
      <c r="H61" s="72">
        <f t="shared" si="25"/>
        <v>1.4142857142857144</v>
      </c>
      <c r="I61" s="72">
        <f t="shared" si="25"/>
        <v>3.2672147995889005</v>
      </c>
      <c r="J61" s="73">
        <f t="shared" si="25"/>
        <v>3.5050027644119006</v>
      </c>
      <c r="K61" s="1"/>
    </row>
    <row r="62" ht="15" customHeight="1">
      <c r="A62" s="1"/>
      <c r="B62" s="28" t="s">
        <v>80</v>
      </c>
      <c r="C62" s="29" t="s">
        <v>41</v>
      </c>
      <c r="D62" s="29" t="s">
        <v>41</v>
      </c>
      <c r="E62" s="29" t="s">
        <v>41</v>
      </c>
      <c r="F62" s="29" t="s">
        <v>41</v>
      </c>
      <c r="G62" s="29">
        <f t="shared" si="3"/>
        <v>-0.15828007622012896</v>
      </c>
      <c r="H62" s="29">
        <f t="shared" si="3"/>
        <v>-0.2602664216812126</v>
      </c>
      <c r="I62" s="29" t="s">
        <v>41</v>
      </c>
      <c r="J62" s="30">
        <f t="shared" si="6"/>
        <v>1.603099125495433</v>
      </c>
      <c r="K62" s="1"/>
    </row>
    <row r="63" ht="28.5" customHeight="1">
      <c r="A63" s="1"/>
      <c r="B63" s="24" t="s">
        <v>336</v>
      </c>
      <c r="C63" s="47">
        <v>2784</v>
      </c>
      <c r="D63" s="47">
        <v>1895</v>
      </c>
      <c r="E63" s="47">
        <v>1327</v>
      </c>
      <c r="F63" s="47">
        <v>-3310</v>
      </c>
      <c r="G63" s="47">
        <v>2627</v>
      </c>
      <c r="H63" s="47">
        <v>1305</v>
      </c>
      <c r="I63" s="47">
        <v>2697</v>
      </c>
      <c r="J63" s="27" t="s">
        <v>41</v>
      </c>
      <c r="K63" s="1"/>
    </row>
    <row r="64" ht="28.5" customHeight="1">
      <c r="A64" s="1"/>
      <c r="B64" s="24" t="s">
        <v>337</v>
      </c>
      <c r="C64" s="26">
        <f t="shared" si="26" ref="C64:I64">_xlfn.IFERROR(IF(ABS(C49-C63)&lt;=5,0,C49-C63),1)</f>
        <v>0</v>
      </c>
      <c r="D64" s="26">
        <f t="shared" si="26"/>
        <v>0</v>
      </c>
      <c r="E64" s="26">
        <f t="shared" si="26"/>
        <v>0</v>
      </c>
      <c r="F64" s="26">
        <f t="shared" si="26"/>
        <v>0</v>
      </c>
      <c r="G64" s="26">
        <f t="shared" si="26"/>
        <v>0</v>
      </c>
      <c r="H64" s="26">
        <f t="shared" si="26"/>
        <v>0</v>
      </c>
      <c r="I64" s="26">
        <f t="shared" si="26"/>
        <v>0</v>
      </c>
      <c r="J64" s="27"/>
      <c r="K64" s="1"/>
    </row>
    <row r="65" ht="28.5" customHeight="1">
      <c r="A65" s="1"/>
      <c r="B65" s="24" t="s">
        <v>338</v>
      </c>
      <c r="C65" s="31">
        <f>Inputs!C86</f>
        <v>3.35</v>
      </c>
      <c r="D65" s="31">
        <f>Inputs!D86</f>
        <v>1.91</v>
      </c>
      <c r="E65" s="31">
        <f>Inputs!E86</f>
        <v>1.35</v>
      </c>
      <c r="F65" s="31">
        <f>Inputs!F86</f>
        <v>-3.6</v>
      </c>
      <c r="G65" s="31">
        <f>Inputs!G86</f>
        <v>2.82</v>
      </c>
      <c r="H65" s="31">
        <f>Inputs!H86</f>
        <v>1.41</v>
      </c>
      <c r="I65" s="32"/>
      <c r="J65" s="33"/>
      <c r="K65" s="1"/>
    </row>
    <row r="66" ht="41.25" customHeight="1">
      <c r="A66" s="1"/>
      <c r="B66" s="24" t="s">
        <v>339</v>
      </c>
      <c r="C66" s="26">
        <f t="shared" si="27" ref="C66:H66">_xlfn.IFERROR(IF(ABS(C61-C65)&lt;=0.01,0,C61-C65),1)</f>
        <v>0</v>
      </c>
      <c r="D66" s="26">
        <f t="shared" si="27"/>
        <v>0</v>
      </c>
      <c r="E66" s="26">
        <f t="shared" si="27"/>
        <v>0</v>
      </c>
      <c r="F66" s="26">
        <f t="shared" si="27"/>
        <v>0</v>
      </c>
      <c r="G66" s="26">
        <f t="shared" si="27"/>
        <v>0</v>
      </c>
      <c r="H66" s="26">
        <f t="shared" si="27"/>
        <v>0</v>
      </c>
      <c r="I66" s="26"/>
      <c r="J66" s="27"/>
      <c r="K66" s="1"/>
    </row>
    <row r="67" ht="28.5" customHeight="1">
      <c r="A67" s="1"/>
      <c r="B67" s="24" t="s">
        <v>340</v>
      </c>
      <c r="C67" s="26">
        <f t="shared" si="28" ref="C67:J67">_xlfn.IFERROR(IF(ABS(C61-C57/C59)&lt;=0.0001,0,C61-C57/C59),1)</f>
        <v>0</v>
      </c>
      <c r="D67" s="26">
        <f t="shared" si="28"/>
        <v>0</v>
      </c>
      <c r="E67" s="26">
        <f t="shared" si="28"/>
        <v>0</v>
      </c>
      <c r="F67" s="26">
        <f t="shared" si="28"/>
        <v>0</v>
      </c>
      <c r="G67" s="26">
        <f t="shared" si="28"/>
        <v>0</v>
      </c>
      <c r="H67" s="26">
        <f t="shared" si="28"/>
        <v>0</v>
      </c>
      <c r="I67" s="26">
        <f t="shared" si="28"/>
        <v>0</v>
      </c>
      <c r="J67" s="27">
        <f t="shared" si="28"/>
        <v>0</v>
      </c>
      <c r="K67" s="1"/>
    </row>
    <row r="68" ht="15" customHeight="1">
      <c r="A68" s="1"/>
      <c r="B68" s="1"/>
      <c r="C68" s="17"/>
      <c r="D68" s="17"/>
      <c r="E68" s="17"/>
      <c r="F68" s="17"/>
      <c r="G68" s="17"/>
      <c r="H68" s="17"/>
      <c r="I68" s="17"/>
      <c r="J68" s="18"/>
      <c r="K68" s="1"/>
    </row>
    <row r="69" ht="15" customHeight="1">
      <c r="A69" s="1"/>
      <c r="B69" s="16" t="s">
        <v>341</v>
      </c>
      <c r="C69" s="17"/>
      <c r="D69" s="17"/>
      <c r="E69" s="17"/>
      <c r="F69" s="17"/>
      <c r="G69" s="17"/>
      <c r="H69" s="17"/>
      <c r="I69" s="17"/>
      <c r="J69" s="18"/>
      <c r="K69" s="1" t="s">
        <v>342</v>
      </c>
    </row>
    <row r="70" ht="28.5" customHeight="1">
      <c r="A70" s="1"/>
      <c r="B70" s="24" t="s">
        <v>343</v>
      </c>
      <c r="C70" s="26">
        <f t="shared" si="29" ref="C70:J109">C49</f>
        <v>2786</v>
      </c>
      <c r="D70" s="26">
        <f t="shared" si="29"/>
        <v>1896</v>
      </c>
      <c r="E70" s="26">
        <f t="shared" si="29"/>
        <v>1328</v>
      </c>
      <c r="F70" s="26">
        <f t="shared" si="29"/>
        <v>-3309</v>
      </c>
      <c r="G70" s="26">
        <f t="shared" si="29"/>
        <v>2629</v>
      </c>
      <c r="H70" s="26">
        <f t="shared" si="29"/>
        <v>1305</v>
      </c>
      <c r="I70" s="26">
        <f t="shared" si="29"/>
        <v>2696</v>
      </c>
      <c r="J70" s="27">
        <f t="shared" si="29"/>
        <v>3114.343168650854</v>
      </c>
      <c r="K70" s="1"/>
    </row>
    <row r="71" ht="15" customHeight="1">
      <c r="A71" s="1"/>
      <c r="B71" s="19" t="s">
        <v>344</v>
      </c>
      <c r="C71" s="26">
        <f t="shared" si="30" ref="C71:J71">C41</f>
        <v>719</v>
      </c>
      <c r="D71" s="26">
        <f t="shared" si="30"/>
        <v>481</v>
      </c>
      <c r="E71" s="26">
        <f t="shared" si="30"/>
        <v>127</v>
      </c>
      <c r="F71" s="26">
        <f t="shared" si="30"/>
        <v>-989</v>
      </c>
      <c r="G71" s="26">
        <f t="shared" si="30"/>
        <v>642</v>
      </c>
      <c r="H71" s="26">
        <f t="shared" si="30"/>
        <v>214</v>
      </c>
      <c r="I71" s="26">
        <f t="shared" si="30"/>
        <v>338</v>
      </c>
      <c r="J71" s="27">
        <f t="shared" si="30"/>
        <v>725.7404738655313</v>
      </c>
      <c r="K71" s="1"/>
    </row>
    <row r="72" ht="15" customHeight="1">
      <c r="A72" s="1"/>
      <c r="B72" s="19" t="s">
        <v>345</v>
      </c>
      <c r="C72" s="26">
        <f t="shared" si="31" ref="C72:J72">C30</f>
        <v>152</v>
      </c>
      <c r="D72" s="26">
        <f t="shared" si="31"/>
        <v>198</v>
      </c>
      <c r="E72" s="26">
        <f t="shared" si="31"/>
        <v>209</v>
      </c>
      <c r="F72" s="26">
        <f t="shared" si="31"/>
        <v>167</v>
      </c>
      <c r="G72" s="26">
        <f t="shared" si="31"/>
        <v>158</v>
      </c>
      <c r="H72" s="26">
        <f t="shared" si="31"/>
        <v>151</v>
      </c>
      <c r="I72" s="26">
        <f t="shared" si="31"/>
        <v>727</v>
      </c>
      <c r="J72" s="27">
        <f t="shared" si="31"/>
        <v>150</v>
      </c>
      <c r="K72" s="1"/>
    </row>
    <row r="73" ht="28.5" customHeight="1">
      <c r="A73" s="1"/>
      <c r="B73" s="24" t="s">
        <v>346</v>
      </c>
      <c r="C73" s="47">
        <v>191</v>
      </c>
      <c r="D73" s="47">
        <v>200</v>
      </c>
      <c r="E73" s="47">
        <v>220</v>
      </c>
      <c r="F73" s="47">
        <v>242</v>
      </c>
      <c r="G73" s="47">
        <v>173</v>
      </c>
      <c r="H73" s="47">
        <v>183</v>
      </c>
      <c r="I73" s="47">
        <v>854</v>
      </c>
      <c r="J73" s="49">
        <v>175</v>
      </c>
      <c r="K73" s="1" t="s">
        <v>347</v>
      </c>
    </row>
    <row r="74" ht="15" customHeight="1">
      <c r="A74" s="1"/>
      <c r="B74" s="28" t="s">
        <v>80</v>
      </c>
      <c r="C74" s="29" t="s">
        <v>41</v>
      </c>
      <c r="D74" s="29" t="s">
        <v>41</v>
      </c>
      <c r="E74" s="29" t="s">
        <v>41</v>
      </c>
      <c r="F74" s="29" t="s">
        <v>41</v>
      </c>
      <c r="G74" s="29">
        <f t="shared" si="3"/>
        <v>-0.09424083769633507</v>
      </c>
      <c r="H74" s="29">
        <f t="shared" si="3"/>
        <v>-0.08499999999999996</v>
      </c>
      <c r="I74" s="29" t="s">
        <v>41</v>
      </c>
      <c r="J74" s="30">
        <f t="shared" si="6"/>
        <v>-0.20454545454545459</v>
      </c>
      <c r="K74" s="1"/>
    </row>
    <row r="75" ht="15" customHeight="1">
      <c r="A75" s="1"/>
      <c r="B75" s="28" t="s">
        <v>93</v>
      </c>
      <c r="C75" s="50" t="s">
        <v>41</v>
      </c>
      <c r="D75" s="50">
        <f t="shared" si="7"/>
        <v>9</v>
      </c>
      <c r="E75" s="50">
        <f t="shared" si="7"/>
        <v>20</v>
      </c>
      <c r="F75" s="50">
        <f t="shared" si="7"/>
        <v>22</v>
      </c>
      <c r="G75" s="50">
        <f t="shared" si="7"/>
        <v>-69</v>
      </c>
      <c r="H75" s="50">
        <f t="shared" si="7"/>
        <v>10</v>
      </c>
      <c r="I75" s="50" t="s">
        <v>41</v>
      </c>
      <c r="J75" s="51">
        <f t="shared" si="17"/>
        <v>-8</v>
      </c>
      <c r="K75" s="1"/>
    </row>
    <row r="76" ht="15" customHeight="1">
      <c r="A76" s="1"/>
      <c r="B76" s="19" t="s">
        <v>348</v>
      </c>
      <c r="C76" s="26">
        <f t="shared" si="32" ref="C76:J76">-C73</f>
        <v>-191</v>
      </c>
      <c r="D76" s="26">
        <f t="shared" si="32"/>
        <v>-200</v>
      </c>
      <c r="E76" s="26">
        <f t="shared" si="32"/>
        <v>-220</v>
      </c>
      <c r="F76" s="26">
        <f t="shared" si="32"/>
        <v>-242</v>
      </c>
      <c r="G76" s="26">
        <f t="shared" si="32"/>
        <v>-173</v>
      </c>
      <c r="H76" s="26">
        <f t="shared" si="32"/>
        <v>-183</v>
      </c>
      <c r="I76" s="26">
        <f t="shared" si="32"/>
        <v>-854</v>
      </c>
      <c r="J76" s="27">
        <f t="shared" si="32"/>
        <v>-175</v>
      </c>
      <c r="K76" s="1"/>
    </row>
    <row r="77" ht="28.5" customHeight="1">
      <c r="A77" s="1"/>
      <c r="B77" s="46" t="s">
        <v>349</v>
      </c>
      <c r="C77" s="47">
        <v>0</v>
      </c>
      <c r="D77" s="47">
        <v>330</v>
      </c>
      <c r="E77" s="47">
        <v>1592</v>
      </c>
      <c r="F77" s="47">
        <v>5992</v>
      </c>
      <c r="G77" s="47">
        <v>1077</v>
      </c>
      <c r="H77" s="47">
        <v>2279</v>
      </c>
      <c r="I77" s="47">
        <v>7914</v>
      </c>
      <c r="J77" s="49">
        <v>150</v>
      </c>
      <c r="K77" s="1" t="s">
        <v>350</v>
      </c>
    </row>
    <row r="78" ht="15" customHeight="1">
      <c r="A78" s="1"/>
      <c r="B78" s="28" t="s">
        <v>80</v>
      </c>
      <c r="C78" s="29" t="s">
        <v>41</v>
      </c>
      <c r="D78" s="29" t="s">
        <v>41</v>
      </c>
      <c r="E78" s="29" t="s">
        <v>41</v>
      </c>
      <c r="F78" s="29" t="s">
        <v>41</v>
      </c>
      <c r="G78" s="29" t="str">
        <f t="shared" si="3"/>
        <v>n.a.</v>
      </c>
      <c r="H78" s="29">
        <f t="shared" si="3"/>
        <v>5.906060606060606</v>
      </c>
      <c r="I78" s="29" t="s">
        <v>41</v>
      </c>
      <c r="J78" s="30">
        <f t="shared" si="6"/>
        <v>-0.9057788944723618</v>
      </c>
      <c r="K78" s="1"/>
    </row>
    <row r="79" ht="15" customHeight="1">
      <c r="A79" s="1"/>
      <c r="B79" s="28" t="s">
        <v>93</v>
      </c>
      <c r="C79" s="50" t="s">
        <v>41</v>
      </c>
      <c r="D79" s="50">
        <f t="shared" si="7"/>
        <v>330</v>
      </c>
      <c r="E79" s="50">
        <f t="shared" si="7"/>
        <v>1262</v>
      </c>
      <c r="F79" s="50">
        <f t="shared" si="7"/>
        <v>4400</v>
      </c>
      <c r="G79" s="50">
        <f t="shared" si="7"/>
        <v>-4915</v>
      </c>
      <c r="H79" s="50">
        <f t="shared" si="7"/>
        <v>1202</v>
      </c>
      <c r="I79" s="50" t="s">
        <v>41</v>
      </c>
      <c r="J79" s="51">
        <f t="shared" si="17"/>
        <v>-2129</v>
      </c>
      <c r="K79" s="1"/>
    </row>
    <row r="80" ht="28.5" customHeight="1">
      <c r="A80" s="1"/>
      <c r="B80" s="46" t="s">
        <v>351</v>
      </c>
      <c r="C80" s="47">
        <v>0</v>
      </c>
      <c r="D80" s="47">
        <v>140</v>
      </c>
      <c r="E80" s="47">
        <v>0</v>
      </c>
      <c r="F80" s="47">
        <v>702</v>
      </c>
      <c r="G80" s="47">
        <v>-78</v>
      </c>
      <c r="H80" s="47">
        <v>177</v>
      </c>
      <c r="I80" s="47">
        <v>842</v>
      </c>
      <c r="J80" s="49">
        <v>50</v>
      </c>
      <c r="K80" s="1" t="s">
        <v>352</v>
      </c>
    </row>
    <row r="81" ht="15" customHeight="1">
      <c r="A81" s="1"/>
      <c r="B81" s="28" t="s">
        <v>80</v>
      </c>
      <c r="C81" s="29" t="s">
        <v>41</v>
      </c>
      <c r="D81" s="29" t="s">
        <v>41</v>
      </c>
      <c r="E81" s="29" t="s">
        <v>41</v>
      </c>
      <c r="F81" s="29" t="s">
        <v>41</v>
      </c>
      <c r="G81" s="29" t="str">
        <f t="shared" si="3"/>
        <v>n.a.</v>
      </c>
      <c r="H81" s="29">
        <f t="shared" si="3"/>
        <v>0.26428571428571423</v>
      </c>
      <c r="I81" s="29" t="s">
        <v>41</v>
      </c>
      <c r="J81" s="30" t="str">
        <f t="shared" si="6"/>
        <v>n.a.</v>
      </c>
      <c r="K81" s="1"/>
    </row>
    <row r="82" ht="15" customHeight="1">
      <c r="A82" s="1"/>
      <c r="B82" s="28" t="s">
        <v>93</v>
      </c>
      <c r="C82" s="50" t="s">
        <v>41</v>
      </c>
      <c r="D82" s="50">
        <f t="shared" si="7"/>
        <v>140</v>
      </c>
      <c r="E82" s="50">
        <f t="shared" si="7"/>
        <v>-140</v>
      </c>
      <c r="F82" s="50">
        <f t="shared" si="7"/>
        <v>702</v>
      </c>
      <c r="G82" s="50">
        <f t="shared" si="7"/>
        <v>-780</v>
      </c>
      <c r="H82" s="50">
        <f t="shared" si="7"/>
        <v>255</v>
      </c>
      <c r="I82" s="50" t="s">
        <v>41</v>
      </c>
      <c r="J82" s="51">
        <f t="shared" si="17"/>
        <v>-127</v>
      </c>
      <c r="K82" s="1"/>
    </row>
    <row r="83" ht="28.5" customHeight="1">
      <c r="A83" s="1"/>
      <c r="B83" s="46" t="s">
        <v>353</v>
      </c>
      <c r="C83" s="47">
        <v>0</v>
      </c>
      <c r="D83" s="47">
        <v>0</v>
      </c>
      <c r="E83" s="47">
        <v>300</v>
      </c>
      <c r="F83" s="47">
        <v>357</v>
      </c>
      <c r="G83" s="47">
        <v>0</v>
      </c>
      <c r="H83" s="47">
        <v>0</v>
      </c>
      <c r="I83" s="47">
        <v>657</v>
      </c>
      <c r="J83" s="49">
        <v>0</v>
      </c>
      <c r="K83" s="1"/>
    </row>
    <row r="84" ht="28.5" customHeight="1">
      <c r="A84" s="1"/>
      <c r="B84" s="46" t="s">
        <v>354</v>
      </c>
      <c r="C84" s="47">
        <v>0</v>
      </c>
      <c r="D84" s="47">
        <v>87</v>
      </c>
      <c r="E84" s="47">
        <v>0</v>
      </c>
      <c r="F84" s="47">
        <v>0</v>
      </c>
      <c r="G84" s="47">
        <v>0</v>
      </c>
      <c r="H84" s="47">
        <v>0</v>
      </c>
      <c r="I84" s="47">
        <v>87</v>
      </c>
      <c r="J84" s="49">
        <v>0</v>
      </c>
      <c r="K84" s="1"/>
    </row>
    <row r="85" ht="15" customHeight="1">
      <c r="A85" s="1"/>
      <c r="B85" s="74" t="s">
        <v>355</v>
      </c>
      <c r="C85" s="47">
        <v>0</v>
      </c>
      <c r="D85" s="47">
        <v>65</v>
      </c>
      <c r="E85" s="47">
        <v>25</v>
      </c>
      <c r="F85" s="47">
        <v>133</v>
      </c>
      <c r="G85" s="47">
        <v>0</v>
      </c>
      <c r="H85" s="47">
        <v>0</v>
      </c>
      <c r="I85" s="47">
        <v>223</v>
      </c>
      <c r="J85" s="49">
        <v>0</v>
      </c>
      <c r="K85" s="1"/>
    </row>
    <row r="86" ht="28.5" customHeight="1">
      <c r="A86" s="1"/>
      <c r="B86" s="46" t="s">
        <v>356</v>
      </c>
      <c r="C86" s="47">
        <v>0</v>
      </c>
      <c r="D86" s="47">
        <v>33</v>
      </c>
      <c r="E86" s="47">
        <v>0</v>
      </c>
      <c r="F86" s="47">
        <v>28</v>
      </c>
      <c r="G86" s="47">
        <v>0</v>
      </c>
      <c r="H86" s="47">
        <v>0</v>
      </c>
      <c r="I86" s="47">
        <v>61</v>
      </c>
      <c r="J86" s="49">
        <v>0</v>
      </c>
      <c r="K86" s="1"/>
    </row>
    <row r="87" ht="15" customHeight="1">
      <c r="A87" s="1"/>
      <c r="B87" s="74" t="s">
        <v>357</v>
      </c>
      <c r="C87" s="47">
        <v>26</v>
      </c>
      <c r="D87" s="47">
        <v>8</v>
      </c>
      <c r="E87" s="47">
        <v>16</v>
      </c>
      <c r="F87" s="47">
        <v>5</v>
      </c>
      <c r="G87" s="47">
        <v>0</v>
      </c>
      <c r="H87" s="47">
        <v>0</v>
      </c>
      <c r="I87" s="47">
        <v>55</v>
      </c>
      <c r="J87" s="49">
        <v>0</v>
      </c>
      <c r="K87" s="1"/>
    </row>
    <row r="88" ht="15" customHeight="1">
      <c r="A88" s="1"/>
      <c r="B88" s="34" t="s">
        <v>358</v>
      </c>
      <c r="C88" s="52">
        <f t="shared" si="33" ref="C88:J88">C77+C80+C83+C84+C85+C86+C87</f>
        <v>26</v>
      </c>
      <c r="D88" s="52">
        <f t="shared" si="33"/>
        <v>663</v>
      </c>
      <c r="E88" s="52">
        <f t="shared" si="33"/>
        <v>1933</v>
      </c>
      <c r="F88" s="52">
        <f t="shared" si="33"/>
        <v>7217</v>
      </c>
      <c r="G88" s="52">
        <f t="shared" si="33"/>
        <v>999</v>
      </c>
      <c r="H88" s="52">
        <f t="shared" si="33"/>
        <v>2456</v>
      </c>
      <c r="I88" s="52">
        <f t="shared" si="33"/>
        <v>9839</v>
      </c>
      <c r="J88" s="53">
        <f t="shared" si="33"/>
        <v>200</v>
      </c>
      <c r="K88" s="1"/>
    </row>
    <row r="89" ht="15" customHeight="1">
      <c r="A89" s="1"/>
      <c r="B89" s="4" t="s">
        <v>359</v>
      </c>
      <c r="C89" s="52">
        <f t="shared" si="34" ref="C89:I89">C70+C71+C72+C76+C88</f>
        <v>3492</v>
      </c>
      <c r="D89" s="52">
        <f t="shared" si="34"/>
        <v>3038</v>
      </c>
      <c r="E89" s="52">
        <f t="shared" si="34"/>
        <v>3377</v>
      </c>
      <c r="F89" s="52">
        <f t="shared" si="34"/>
        <v>2844</v>
      </c>
      <c r="G89" s="52">
        <f t="shared" si="34"/>
        <v>4255</v>
      </c>
      <c r="H89" s="52">
        <f t="shared" si="34"/>
        <v>3943</v>
      </c>
      <c r="I89" s="52">
        <f t="shared" si="34"/>
        <v>12746</v>
      </c>
      <c r="J89" s="53">
        <f>J104</f>
        <v>4015.083642516385</v>
      </c>
      <c r="K89" s="1" t="s">
        <v>360</v>
      </c>
    </row>
    <row r="90" ht="15" customHeight="1">
      <c r="A90" s="1"/>
      <c r="B90" s="28" t="s">
        <v>80</v>
      </c>
      <c r="C90" s="29" t="s">
        <v>41</v>
      </c>
      <c r="D90" s="29" t="s">
        <v>41</v>
      </c>
      <c r="E90" s="29" t="s">
        <v>41</v>
      </c>
      <c r="F90" s="29" t="s">
        <v>41</v>
      </c>
      <c r="G90" s="29">
        <f t="shared" si="3"/>
        <v>0.21849942726231375</v>
      </c>
      <c r="H90" s="29">
        <f t="shared" si="3"/>
        <v>0.2978933508887427</v>
      </c>
      <c r="I90" s="29" t="s">
        <v>41</v>
      </c>
      <c r="J90" s="30">
        <f t="shared" si="6"/>
        <v>0.18894984972353712</v>
      </c>
      <c r="K90" s="1"/>
    </row>
    <row r="91" ht="15" customHeight="1">
      <c r="A91" s="1"/>
      <c r="B91" s="28" t="s">
        <v>81</v>
      </c>
      <c r="C91" s="29" t="s">
        <v>41</v>
      </c>
      <c r="D91" s="29">
        <f t="shared" si="4"/>
        <v>-0.13001145475372278</v>
      </c>
      <c r="E91" s="29">
        <f t="shared" si="4"/>
        <v>0.11158657011191564</v>
      </c>
      <c r="F91" s="29">
        <f t="shared" si="4"/>
        <v>-0.1578323956174119</v>
      </c>
      <c r="G91" s="29">
        <f t="shared" si="4"/>
        <v>0.49613220815752457</v>
      </c>
      <c r="H91" s="29">
        <f t="shared" si="4"/>
        <v>-0.07332549941245592</v>
      </c>
      <c r="I91" s="29" t="s">
        <v>41</v>
      </c>
      <c r="J91" s="30">
        <f t="shared" si="35"/>
        <v>0.018281420876587573</v>
      </c>
      <c r="K91" s="1"/>
    </row>
    <row r="92" ht="15" customHeight="1">
      <c r="A92" s="1"/>
      <c r="B92" s="57" t="s">
        <v>361</v>
      </c>
      <c r="C92" s="29">
        <f t="shared" si="36" ref="C92:J92">_xlfn.IFERROR(C89/C12,"n.a.")</f>
        <v>0.0793257763340224</v>
      </c>
      <c r="D92" s="29">
        <f t="shared" si="36"/>
        <v>0.06446957961080577</v>
      </c>
      <c r="E92" s="29">
        <f t="shared" si="36"/>
        <v>0.0694970365492262</v>
      </c>
      <c r="F92" s="29">
        <f t="shared" si="36"/>
        <v>0.06279947887914854</v>
      </c>
      <c r="G92" s="29">
        <f t="shared" si="36"/>
        <v>0.09753358089212855</v>
      </c>
      <c r="H92" s="29">
        <f t="shared" si="36"/>
        <v>0.08210136176237871</v>
      </c>
      <c r="I92" s="29">
        <f t="shared" si="36"/>
        <v>0.06889022208529935</v>
      </c>
      <c r="J92" s="30">
        <f t="shared" si="36"/>
        <v>0.08183564888737971</v>
      </c>
      <c r="K92" s="1"/>
    </row>
    <row r="93" ht="15" customHeight="1">
      <c r="A93" s="1"/>
      <c r="B93" s="28" t="s">
        <v>129</v>
      </c>
      <c r="C93" s="58" t="s">
        <v>41</v>
      </c>
      <c r="D93" s="58" t="s">
        <v>41</v>
      </c>
      <c r="E93" s="58" t="s">
        <v>41</v>
      </c>
      <c r="F93" s="58" t="s">
        <v>41</v>
      </c>
      <c r="G93" s="58">
        <f t="shared" si="11"/>
        <v>182.07804558106153</v>
      </c>
      <c r="H93" s="58">
        <f t="shared" si="11"/>
        <v>176.31782151572946</v>
      </c>
      <c r="I93" s="58" t="s">
        <v>41</v>
      </c>
      <c r="J93" s="59">
        <f t="shared" si="15"/>
        <v>123.38612338153504</v>
      </c>
      <c r="K93" s="1"/>
    </row>
    <row r="94" ht="15" customHeight="1">
      <c r="A94" s="1"/>
      <c r="B94" s="28" t="s">
        <v>130</v>
      </c>
      <c r="C94" s="58" t="s">
        <v>41</v>
      </c>
      <c r="D94" s="58">
        <f t="shared" si="12"/>
        <v>-148.56196723216627</v>
      </c>
      <c r="E94" s="58">
        <f t="shared" si="12"/>
        <v>50.27456938420438</v>
      </c>
      <c r="F94" s="58">
        <f t="shared" si="12"/>
        <v>-66.97557670077667</v>
      </c>
      <c r="G94" s="58">
        <f t="shared" si="12"/>
        <v>347.3410201298001</v>
      </c>
      <c r="H94" s="58">
        <f t="shared" si="12"/>
        <v>-154.32219129749834</v>
      </c>
      <c r="I94" s="58" t="s">
        <v>41</v>
      </c>
      <c r="J94" s="59">
        <f t="shared" si="16"/>
        <v>-2.6571287499900507</v>
      </c>
      <c r="K94" s="1"/>
    </row>
    <row r="95" ht="15" customHeight="1">
      <c r="A95" s="1"/>
      <c r="B95" s="16" t="s">
        <v>362</v>
      </c>
      <c r="C95" s="17"/>
      <c r="D95" s="17"/>
      <c r="E95" s="17"/>
      <c r="F95" s="17"/>
      <c r="G95" s="17"/>
      <c r="H95" s="17"/>
      <c r="I95" s="17"/>
      <c r="J95" s="18"/>
      <c r="K95" s="1"/>
    </row>
    <row r="96" ht="15" customHeight="1">
      <c r="A96" s="1"/>
      <c r="B96" s="19" t="s">
        <v>363</v>
      </c>
      <c r="C96" s="25">
        <f>'Segment - GMNA'!C119</f>
        <v>3286</v>
      </c>
      <c r="D96" s="25">
        <f>'Segment - GMNA'!D119</f>
        <v>2415</v>
      </c>
      <c r="E96" s="25">
        <f>'Segment - GMNA'!E119</f>
        <v>2506</v>
      </c>
      <c r="F96" s="25">
        <f>'Segment - GMNA'!F119</f>
        <v>2244</v>
      </c>
      <c r="G96" s="25">
        <f>'Segment - GMNA'!G119</f>
        <v>3661</v>
      </c>
      <c r="H96" s="25">
        <f>'Segment - GMNA'!H119</f>
        <v>3446</v>
      </c>
      <c r="I96" s="25">
        <f>'Segment - GMNA'!I119</f>
        <v>10452</v>
      </c>
      <c r="J96" s="48">
        <f>'Segment - GMNA'!J119</f>
        <v>3453.888</v>
      </c>
      <c r="K96" s="1"/>
    </row>
    <row r="97" ht="15" customHeight="1">
      <c r="A97" s="1"/>
      <c r="B97" s="19" t="s">
        <v>364</v>
      </c>
      <c r="C97" s="25">
        <f>'Segment - GMI'!C83</f>
        <v>30</v>
      </c>
      <c r="D97" s="25">
        <f>'Segment - GMI'!D83</f>
        <v>204</v>
      </c>
      <c r="E97" s="25">
        <f>'Segment - GMI'!E83</f>
        <v>226</v>
      </c>
      <c r="F97" s="25">
        <f>'Segment - GMI'!F83</f>
        <v>278</v>
      </c>
      <c r="G97" s="25">
        <f>'Segment - GMI'!G83</f>
        <v>123</v>
      </c>
      <c r="H97" s="25">
        <f>'Segment - GMI'!H83</f>
        <v>190</v>
      </c>
      <c r="I97" s="25">
        <f>'Segment - GMI'!I83</f>
        <v>737</v>
      </c>
      <c r="J97" s="48">
        <f>'Segment - GMI'!J83</f>
        <v>171.6</v>
      </c>
      <c r="K97" s="1"/>
    </row>
    <row r="98" ht="15" customHeight="1">
      <c r="A98" s="1"/>
      <c r="B98" s="19" t="s">
        <v>365</v>
      </c>
      <c r="C98" s="47">
        <v>-273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-273</v>
      </c>
      <c r="J98" s="49">
        <v>0</v>
      </c>
      <c r="K98" s="1"/>
    </row>
    <row r="99" ht="15" customHeight="1">
      <c r="A99" s="1"/>
      <c r="B99" s="19" t="s">
        <v>366</v>
      </c>
      <c r="C99" s="25">
        <f>'Segment - GM Financial'!C121</f>
        <v>684</v>
      </c>
      <c r="D99" s="25">
        <f>'Segment - GM Financial'!D121</f>
        <v>704</v>
      </c>
      <c r="E99" s="25">
        <f>'Segment - GM Financial'!E121</f>
        <v>805</v>
      </c>
      <c r="F99" s="25">
        <f>'Segment - GM Financial'!F121</f>
        <v>609</v>
      </c>
      <c r="G99" s="25">
        <f>'Segment - GM Financial'!G121</f>
        <v>689</v>
      </c>
      <c r="H99" s="25">
        <f>'Segment - GM Financial'!H121</f>
        <v>606</v>
      </c>
      <c r="I99" s="25">
        <f>'Segment - GM Financial'!I121</f>
        <v>2803</v>
      </c>
      <c r="J99" s="48">
        <f>'Segment - GM Financial'!J121</f>
        <v>649.5956425163849</v>
      </c>
      <c r="K99" s="1"/>
    </row>
    <row r="100" ht="15" customHeight="1">
      <c r="A100" s="1"/>
      <c r="B100" s="34" t="s">
        <v>367</v>
      </c>
      <c r="C100" s="52">
        <f t="shared" si="37" ref="C100:J100">C96+C97+C98+C99</f>
        <v>3727</v>
      </c>
      <c r="D100" s="52">
        <f t="shared" si="37"/>
        <v>3323</v>
      </c>
      <c r="E100" s="52">
        <f t="shared" si="37"/>
        <v>3537</v>
      </c>
      <c r="F100" s="52">
        <f t="shared" si="37"/>
        <v>3131</v>
      </c>
      <c r="G100" s="52">
        <f t="shared" si="37"/>
        <v>4473</v>
      </c>
      <c r="H100" s="52">
        <f t="shared" si="37"/>
        <v>4242</v>
      </c>
      <c r="I100" s="52">
        <f t="shared" si="37"/>
        <v>13719</v>
      </c>
      <c r="J100" s="53">
        <f t="shared" si="37"/>
        <v>4275.083642516385</v>
      </c>
      <c r="K100" s="1"/>
    </row>
    <row r="101" ht="15" customHeight="1">
      <c r="A101" s="1"/>
      <c r="B101" s="19" t="s">
        <v>368</v>
      </c>
      <c r="C101" s="47">
        <v>-238</v>
      </c>
      <c r="D101" s="47">
        <v>-286</v>
      </c>
      <c r="E101" s="47">
        <v>-160</v>
      </c>
      <c r="F101" s="47">
        <v>-288</v>
      </c>
      <c r="G101" s="47">
        <v>-219</v>
      </c>
      <c r="H101" s="47">
        <v>-298</v>
      </c>
      <c r="I101" s="47">
        <v>-972</v>
      </c>
      <c r="J101" s="49">
        <v>-260</v>
      </c>
      <c r="K101" s="1" t="s">
        <v>369</v>
      </c>
    </row>
    <row r="102" ht="15" customHeight="1">
      <c r="A102" s="1"/>
      <c r="B102" s="28" t="s">
        <v>80</v>
      </c>
      <c r="C102" s="29" t="s">
        <v>41</v>
      </c>
      <c r="D102" s="29" t="s">
        <v>41</v>
      </c>
      <c r="E102" s="29" t="s">
        <v>41</v>
      </c>
      <c r="F102" s="29" t="s">
        <v>41</v>
      </c>
      <c r="G102" s="29">
        <f t="shared" si="3"/>
        <v>-0.0798319327731093</v>
      </c>
      <c r="H102" s="29">
        <f t="shared" si="3"/>
        <v>0.04195804195804187</v>
      </c>
      <c r="I102" s="29" t="s">
        <v>41</v>
      </c>
      <c r="J102" s="30">
        <f t="shared" si="6"/>
        <v>0.625</v>
      </c>
      <c r="K102" s="1"/>
    </row>
    <row r="103" ht="15" customHeight="1">
      <c r="A103" s="1"/>
      <c r="B103" s="28" t="s">
        <v>93</v>
      </c>
      <c r="C103" s="50" t="s">
        <v>41</v>
      </c>
      <c r="D103" s="50">
        <f t="shared" si="7"/>
        <v>-48</v>
      </c>
      <c r="E103" s="50">
        <f t="shared" si="7"/>
        <v>126</v>
      </c>
      <c r="F103" s="50">
        <f t="shared" si="7"/>
        <v>-128</v>
      </c>
      <c r="G103" s="50">
        <f t="shared" si="7"/>
        <v>69</v>
      </c>
      <c r="H103" s="50">
        <f t="shared" si="7"/>
        <v>-79</v>
      </c>
      <c r="I103" s="50" t="s">
        <v>41</v>
      </c>
      <c r="J103" s="51">
        <f t="shared" si="17"/>
        <v>38</v>
      </c>
      <c r="K103" s="1"/>
    </row>
    <row r="104" ht="15" customHeight="1">
      <c r="A104" s="1"/>
      <c r="B104" s="4" t="s">
        <v>370</v>
      </c>
      <c r="C104" s="52">
        <f t="shared" si="21"/>
        <v>3489</v>
      </c>
      <c r="D104" s="52">
        <f t="shared" si="21"/>
        <v>3037</v>
      </c>
      <c r="E104" s="52">
        <f t="shared" si="21"/>
        <v>3377</v>
      </c>
      <c r="F104" s="52">
        <f t="shared" si="21"/>
        <v>2843</v>
      </c>
      <c r="G104" s="52">
        <f t="shared" si="21"/>
        <v>4254</v>
      </c>
      <c r="H104" s="52">
        <f t="shared" si="21"/>
        <v>3944</v>
      </c>
      <c r="I104" s="52">
        <f t="shared" si="21"/>
        <v>12747</v>
      </c>
      <c r="J104" s="53">
        <f t="shared" si="21"/>
        <v>4015.083642516385</v>
      </c>
      <c r="K104" s="1"/>
    </row>
    <row r="105" ht="41.25" customHeight="1">
      <c r="A105" s="1"/>
      <c r="B105" s="24" t="s">
        <v>371</v>
      </c>
      <c r="C105" s="26">
        <f t="shared" si="38" ref="C105:J105">_xlfn.IFERROR(IF(ABS(C89-C104)&lt;=5,0,C89-C104),1)</f>
        <v>0</v>
      </c>
      <c r="D105" s="26">
        <f t="shared" si="38"/>
        <v>0</v>
      </c>
      <c r="E105" s="26">
        <f t="shared" si="38"/>
        <v>0</v>
      </c>
      <c r="F105" s="26">
        <f t="shared" si="38"/>
        <v>0</v>
      </c>
      <c r="G105" s="26">
        <f t="shared" si="38"/>
        <v>0</v>
      </c>
      <c r="H105" s="26">
        <f t="shared" si="38"/>
        <v>0</v>
      </c>
      <c r="I105" s="26">
        <f t="shared" si="38"/>
        <v>0</v>
      </c>
      <c r="J105" s="27">
        <f t="shared" si="38"/>
        <v>0</v>
      </c>
      <c r="K105" s="1"/>
    </row>
    <row r="106" ht="15" customHeight="1">
      <c r="A106" s="1"/>
      <c r="B106" s="1"/>
      <c r="C106" s="17"/>
      <c r="D106" s="17"/>
      <c r="E106" s="17"/>
      <c r="F106" s="17"/>
      <c r="G106" s="17"/>
      <c r="H106" s="17"/>
      <c r="I106" s="17"/>
      <c r="J106" s="18"/>
      <c r="K106" s="1"/>
    </row>
    <row r="107" ht="15" customHeight="1">
      <c r="A107" s="1"/>
      <c r="B107" s="16" t="s">
        <v>372</v>
      </c>
      <c r="C107" s="17"/>
      <c r="D107" s="17"/>
      <c r="E107" s="17"/>
      <c r="F107" s="17"/>
      <c r="G107" s="17"/>
      <c r="H107" s="17"/>
      <c r="I107" s="17"/>
      <c r="J107" s="18"/>
      <c r="K107" s="1" t="s">
        <v>373</v>
      </c>
    </row>
    <row r="108" ht="28.5" customHeight="1">
      <c r="A108" s="1"/>
      <c r="B108" s="24" t="s">
        <v>374</v>
      </c>
      <c r="C108" s="26">
        <f t="shared" si="39" ref="C108:J108">C57</f>
        <v>3363</v>
      </c>
      <c r="D108" s="26">
        <f t="shared" si="39"/>
        <v>1866</v>
      </c>
      <c r="E108" s="26">
        <f t="shared" si="39"/>
        <v>1298</v>
      </c>
      <c r="F108" s="26">
        <f t="shared" si="39"/>
        <v>-3329</v>
      </c>
      <c r="G108" s="26">
        <f t="shared" si="39"/>
        <v>2616</v>
      </c>
      <c r="H108" s="26">
        <f t="shared" si="39"/>
        <v>1287</v>
      </c>
      <c r="I108" s="26">
        <f t="shared" si="39"/>
        <v>3179</v>
      </c>
      <c r="J108" s="27">
        <f t="shared" si="39"/>
        <v>3094.343168650854</v>
      </c>
      <c r="K108" s="1"/>
    </row>
    <row r="109" ht="28.5" customHeight="1">
      <c r="A109" s="1"/>
      <c r="B109" s="24" t="s">
        <v>375</v>
      </c>
      <c r="C109" s="26">
        <f t="shared" si="29"/>
        <v>26</v>
      </c>
      <c r="D109" s="26">
        <f t="shared" si="29"/>
        <v>663</v>
      </c>
      <c r="E109" s="26">
        <f t="shared" si="29"/>
        <v>1933</v>
      </c>
      <c r="F109" s="26">
        <f t="shared" si="29"/>
        <v>7217</v>
      </c>
      <c r="G109" s="26">
        <f t="shared" si="29"/>
        <v>999</v>
      </c>
      <c r="H109" s="26">
        <f t="shared" si="29"/>
        <v>2456</v>
      </c>
      <c r="I109" s="26">
        <f t="shared" si="29"/>
        <v>9839</v>
      </c>
      <c r="J109" s="27">
        <f t="shared" si="29"/>
        <v>200</v>
      </c>
      <c r="K109" s="1"/>
    </row>
    <row r="110" ht="15" customHeight="1">
      <c r="A110" s="1"/>
      <c r="B110" s="19" t="s">
        <v>376</v>
      </c>
      <c r="C110" s="47">
        <v>-6</v>
      </c>
      <c r="D110" s="47">
        <v>-64</v>
      </c>
      <c r="E110" s="47">
        <v>-536</v>
      </c>
      <c r="F110" s="47">
        <v>-1509</v>
      </c>
      <c r="G110" s="47">
        <v>-183</v>
      </c>
      <c r="H110" s="47">
        <v>-496</v>
      </c>
      <c r="I110" s="47">
        <v>-2115</v>
      </c>
      <c r="J110" s="27">
        <f>-J88*J111</f>
        <v>-30</v>
      </c>
      <c r="K110" s="1"/>
    </row>
    <row r="111" ht="15" customHeight="1">
      <c r="A111" s="1"/>
      <c r="B111" s="57" t="s">
        <v>377</v>
      </c>
      <c r="C111" s="29">
        <f t="shared" si="40" ref="C111:I111">_xlfn.IFERROR(-C110/C109,"n.a.")</f>
        <v>0.23076923076923078</v>
      </c>
      <c r="D111" s="29">
        <f t="shared" si="40"/>
        <v>0.09653092006033183</v>
      </c>
      <c r="E111" s="29">
        <f t="shared" si="40"/>
        <v>0.2772891877909984</v>
      </c>
      <c r="F111" s="29">
        <f t="shared" si="40"/>
        <v>0.209089649438825</v>
      </c>
      <c r="G111" s="29">
        <f t="shared" si="40"/>
        <v>0.1831831831831832</v>
      </c>
      <c r="H111" s="29">
        <f t="shared" si="40"/>
        <v>0.20195439739413681</v>
      </c>
      <c r="I111" s="29">
        <f t="shared" si="40"/>
        <v>0.21496087000711456</v>
      </c>
      <c r="J111" s="56">
        <v>0.15</v>
      </c>
      <c r="K111" s="1" t="s">
        <v>378</v>
      </c>
    </row>
    <row r="112" ht="15" customHeight="1">
      <c r="A112" s="1"/>
      <c r="B112" s="28" t="s">
        <v>129</v>
      </c>
      <c r="C112" s="58" t="s">
        <v>41</v>
      </c>
      <c r="D112" s="58" t="s">
        <v>41</v>
      </c>
      <c r="E112" s="58" t="s">
        <v>41</v>
      </c>
      <c r="F112" s="58" t="s">
        <v>41</v>
      </c>
      <c r="G112" s="58">
        <f t="shared" si="11"/>
        <v>-475.8604758604759</v>
      </c>
      <c r="H112" s="58">
        <f t="shared" si="11"/>
        <v>1054.2347733380498</v>
      </c>
      <c r="I112" s="58" t="s">
        <v>41</v>
      </c>
      <c r="J112" s="59">
        <f t="shared" si="15"/>
        <v>-1272.8918779099843</v>
      </c>
      <c r="K112" s="1"/>
    </row>
    <row r="113" ht="15" customHeight="1">
      <c r="A113" s="1"/>
      <c r="B113" s="28" t="s">
        <v>130</v>
      </c>
      <c r="C113" s="58" t="s">
        <v>41</v>
      </c>
      <c r="D113" s="58">
        <f t="shared" si="12"/>
        <v>-1342.3831070889896</v>
      </c>
      <c r="E113" s="58">
        <f t="shared" si="12"/>
        <v>1807.582677306666</v>
      </c>
      <c r="F113" s="58">
        <f t="shared" si="12"/>
        <v>-681.9953835217343</v>
      </c>
      <c r="G113" s="58">
        <f t="shared" si="12"/>
        <v>-259.064662556418</v>
      </c>
      <c r="H113" s="58">
        <f t="shared" si="12"/>
        <v>187.71214210953625</v>
      </c>
      <c r="I113" s="58" t="s">
        <v>41</v>
      </c>
      <c r="J113" s="59">
        <f t="shared" si="16"/>
        <v>-519.5439739413682</v>
      </c>
      <c r="K113" s="1"/>
    </row>
    <row r="114" ht="28.5" customHeight="1">
      <c r="A114" s="1"/>
      <c r="B114" s="24" t="s">
        <v>379</v>
      </c>
      <c r="C114" s="47">
        <v>-593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-593</v>
      </c>
      <c r="J114" s="49">
        <v>0</v>
      </c>
      <c r="K114" s="1"/>
    </row>
    <row r="115" ht="28.5" customHeight="1">
      <c r="A115" s="1"/>
      <c r="B115" s="55" t="s">
        <v>380</v>
      </c>
      <c r="C115" s="52">
        <f t="shared" si="41" ref="C115:J115">C108+C109+C110+C114</f>
        <v>2790</v>
      </c>
      <c r="D115" s="52">
        <f t="shared" si="41"/>
        <v>2465</v>
      </c>
      <c r="E115" s="52">
        <f t="shared" si="41"/>
        <v>2695</v>
      </c>
      <c r="F115" s="52">
        <f t="shared" si="41"/>
        <v>2379</v>
      </c>
      <c r="G115" s="52">
        <f t="shared" si="41"/>
        <v>3432</v>
      </c>
      <c r="H115" s="52">
        <f t="shared" si="41"/>
        <v>3247</v>
      </c>
      <c r="I115" s="52">
        <f t="shared" si="41"/>
        <v>10310</v>
      </c>
      <c r="J115" s="53">
        <f t="shared" si="41"/>
        <v>3264.343168650854</v>
      </c>
      <c r="K115" s="1"/>
    </row>
    <row r="116" ht="15" customHeight="1">
      <c r="A116" s="1"/>
      <c r="B116" s="28" t="s">
        <v>80</v>
      </c>
      <c r="C116" s="29" t="s">
        <v>41</v>
      </c>
      <c r="D116" s="29" t="s">
        <v>41</v>
      </c>
      <c r="E116" s="29" t="s">
        <v>41</v>
      </c>
      <c r="F116" s="29" t="s">
        <v>41</v>
      </c>
      <c r="G116" s="29">
        <f t="shared" si="3"/>
        <v>0.23010752688172054</v>
      </c>
      <c r="H116" s="29">
        <f t="shared" si="3"/>
        <v>0.3172413793103448</v>
      </c>
      <c r="I116" s="29" t="s">
        <v>41</v>
      </c>
      <c r="J116" s="30">
        <f t="shared" si="6"/>
        <v>0.2112590607238789</v>
      </c>
      <c r="K116" s="1"/>
    </row>
    <row r="117" ht="28.5" customHeight="1">
      <c r="A117" s="1"/>
      <c r="B117" s="24" t="s">
        <v>381</v>
      </c>
      <c r="C117" s="25">
        <f>'Share Count'!C19</f>
        <v>1002</v>
      </c>
      <c r="D117" s="25">
        <f>'Share Count'!D19</f>
        <v>976</v>
      </c>
      <c r="E117" s="25">
        <f>'Share Count'!E19</f>
        <v>964</v>
      </c>
      <c r="F117" s="25">
        <f>'Share Count'!F19</f>
        <v>949</v>
      </c>
      <c r="G117" s="25">
        <f>'Share Count'!G19</f>
        <v>926</v>
      </c>
      <c r="H117" s="25">
        <f>'Share Count'!H19</f>
        <v>910</v>
      </c>
      <c r="I117" s="25">
        <f>'Share Count'!I19</f>
        <v>973</v>
      </c>
      <c r="J117" s="48">
        <f>'Share Count'!J19</f>
        <v>882.8361563846154</v>
      </c>
      <c r="K117" s="1"/>
    </row>
    <row r="118" ht="28.5" customHeight="1">
      <c r="A118" s="1"/>
      <c r="B118" s="55" t="s">
        <v>382</v>
      </c>
      <c r="C118" s="72">
        <f t="shared" si="42" ref="C118:J118">_xlfn.IFERROR(C115/C117,"n.a.")</f>
        <v>2.784431137724551</v>
      </c>
      <c r="D118" s="72">
        <f t="shared" si="42"/>
        <v>2.5256147540983607</v>
      </c>
      <c r="E118" s="72">
        <f t="shared" si="42"/>
        <v>2.795643153526971</v>
      </c>
      <c r="F118" s="72">
        <f t="shared" si="42"/>
        <v>2.506849315068493</v>
      </c>
      <c r="G118" s="72">
        <f t="shared" si="42"/>
        <v>3.7062634989200864</v>
      </c>
      <c r="H118" s="72">
        <f t="shared" si="42"/>
        <v>3.5681318681318683</v>
      </c>
      <c r="I118" s="72">
        <f t="shared" si="42"/>
        <v>10.596094552929085</v>
      </c>
      <c r="J118" s="73">
        <f t="shared" si="42"/>
        <v>3.697563976105113</v>
      </c>
      <c r="K118" s="1"/>
    </row>
    <row r="119" ht="15" customHeight="1">
      <c r="A119" s="1"/>
      <c r="B119" s="28" t="s">
        <v>80</v>
      </c>
      <c r="C119" s="29" t="s">
        <v>41</v>
      </c>
      <c r="D119" s="29" t="s">
        <v>41</v>
      </c>
      <c r="E119" s="29" t="s">
        <v>41</v>
      </c>
      <c r="F119" s="29" t="s">
        <v>41</v>
      </c>
      <c r="G119" s="29">
        <f t="shared" si="3"/>
        <v>0.33106667595624617</v>
      </c>
      <c r="H119" s="29">
        <f t="shared" si="3"/>
        <v>0.412777567260326</v>
      </c>
      <c r="I119" s="29" t="s">
        <v>41</v>
      </c>
      <c r="J119" s="30">
        <f t="shared" si="6"/>
        <v>0.32261657623945417</v>
      </c>
      <c r="K119" s="1"/>
    </row>
    <row r="120" ht="15" customHeight="1">
      <c r="A120" s="1"/>
      <c r="B120" s="28" t="s">
        <v>81</v>
      </c>
      <c r="C120" s="29" t="s">
        <v>41</v>
      </c>
      <c r="D120" s="29">
        <f t="shared" si="4"/>
        <v>-0.0929512603560726</v>
      </c>
      <c r="E120" s="29">
        <f t="shared" si="4"/>
        <v>0.10691590987518196</v>
      </c>
      <c r="F120" s="29">
        <f t="shared" si="4"/>
        <v>-0.10330139527791193</v>
      </c>
      <c r="G120" s="29">
        <f t="shared" si="4"/>
        <v>0.47845483836702907</v>
      </c>
      <c r="H120" s="29">
        <f t="shared" si="4"/>
        <v>-0.037269781500550714</v>
      </c>
      <c r="I120" s="29" t="s">
        <v>41</v>
      </c>
      <c r="J120" s="30">
        <f t="shared" si="35"/>
        <v>0.03627447436268949</v>
      </c>
      <c r="K120" s="1"/>
    </row>
    <row r="121" ht="28.5" customHeight="1">
      <c r="A121" s="1"/>
      <c r="B121" s="46" t="s">
        <v>383</v>
      </c>
      <c r="C121" s="32">
        <f t="shared" si="43" ref="C121:J121">C61</f>
        <v>3.356287425149701</v>
      </c>
      <c r="D121" s="32">
        <f t="shared" si="43"/>
        <v>1.9118852459016393</v>
      </c>
      <c r="E121" s="32">
        <f t="shared" si="43"/>
        <v>1.3464730290456433</v>
      </c>
      <c r="F121" s="32">
        <f t="shared" si="43"/>
        <v>-3.598918918918919</v>
      </c>
      <c r="G121" s="32">
        <f t="shared" si="43"/>
        <v>2.8250539956803458</v>
      </c>
      <c r="H121" s="32">
        <f t="shared" si="43"/>
        <v>1.4142857142857144</v>
      </c>
      <c r="I121" s="32">
        <f t="shared" si="43"/>
        <v>3.2672147995889005</v>
      </c>
      <c r="J121" s="33">
        <f t="shared" si="43"/>
        <v>3.5050027644119006</v>
      </c>
      <c r="K121" s="1"/>
    </row>
    <row r="122" ht="15" customHeight="1">
      <c r="A122" s="1"/>
      <c r="B122" s="74" t="s">
        <v>384</v>
      </c>
      <c r="C122" s="32">
        <f t="shared" si="44" ref="C122:J122">_xlfn.IFERROR(C109/C117,"n.a.")</f>
        <v>0.02594810379241517</v>
      </c>
      <c r="D122" s="32">
        <f t="shared" si="44"/>
        <v>0.6793032786885246</v>
      </c>
      <c r="E122" s="32">
        <f t="shared" si="44"/>
        <v>2.0051867219917012</v>
      </c>
      <c r="F122" s="32">
        <f t="shared" si="44"/>
        <v>7.604847207586934</v>
      </c>
      <c r="G122" s="32">
        <f t="shared" si="44"/>
        <v>1.0788336933045357</v>
      </c>
      <c r="H122" s="32">
        <f t="shared" si="44"/>
        <v>2.698901098901099</v>
      </c>
      <c r="I122" s="32">
        <f t="shared" si="44"/>
        <v>10.112024665981501</v>
      </c>
      <c r="J122" s="33">
        <f t="shared" si="44"/>
        <v>0.22654260199201473</v>
      </c>
      <c r="K122" s="1"/>
    </row>
    <row r="123" ht="15" customHeight="1">
      <c r="A123" s="1"/>
      <c r="B123" s="74" t="s">
        <v>385</v>
      </c>
      <c r="C123" s="32">
        <f t="shared" si="45" ref="C123:J123">_xlfn.IFERROR(C110/C117,"n.a.")</f>
        <v>-0.005988023952095809</v>
      </c>
      <c r="D123" s="32">
        <f t="shared" si="45"/>
        <v>-0.06557377049180328</v>
      </c>
      <c r="E123" s="32">
        <f t="shared" si="45"/>
        <v>-0.5560165975103735</v>
      </c>
      <c r="F123" s="32">
        <f t="shared" si="45"/>
        <v>-1.590094836670179</v>
      </c>
      <c r="G123" s="32">
        <f t="shared" si="45"/>
        <v>-0.1976241900647948</v>
      </c>
      <c r="H123" s="32">
        <f t="shared" si="45"/>
        <v>-0.545054945054945</v>
      </c>
      <c r="I123" s="32">
        <f t="shared" si="45"/>
        <v>-2.173689619732785</v>
      </c>
      <c r="J123" s="33">
        <f t="shared" si="45"/>
        <v>-0.03398139029880221</v>
      </c>
      <c r="K123" s="1"/>
    </row>
    <row r="124" ht="28.5" customHeight="1">
      <c r="A124" s="1"/>
      <c r="B124" s="46" t="s">
        <v>386</v>
      </c>
      <c r="C124" s="32">
        <f t="shared" si="46" ref="C124:J124">_xlfn.IFERROR(C114/C117,"n.a.")</f>
        <v>-0.591816367265469</v>
      </c>
      <c r="D124" s="32">
        <f t="shared" si="46"/>
        <v>0</v>
      </c>
      <c r="E124" s="32">
        <f t="shared" si="46"/>
        <v>0</v>
      </c>
      <c r="F124" s="32">
        <f t="shared" si="46"/>
        <v>0</v>
      </c>
      <c r="G124" s="32">
        <f t="shared" si="46"/>
        <v>0</v>
      </c>
      <c r="H124" s="32">
        <f t="shared" si="46"/>
        <v>0</v>
      </c>
      <c r="I124" s="32">
        <f t="shared" si="46"/>
        <v>-0.6094552929085303</v>
      </c>
      <c r="J124" s="33">
        <f t="shared" si="46"/>
        <v>0</v>
      </c>
      <c r="K124" s="1"/>
    </row>
    <row r="125" ht="41.25" customHeight="1">
      <c r="A125" s="1"/>
      <c r="B125" s="46" t="s">
        <v>387</v>
      </c>
      <c r="C125" s="32">
        <f t="shared" si="47" ref="C125:J125">C118-C121-C122-C123-C124</f>
        <v>0</v>
      </c>
      <c r="D125" s="32">
        <f t="shared" si="47"/>
        <v>0</v>
      </c>
      <c r="E125" s="32">
        <f t="shared" si="47"/>
        <v>0</v>
      </c>
      <c r="F125" s="32">
        <f t="shared" si="47"/>
        <v>0.09101586307065723</v>
      </c>
      <c r="G125" s="32">
        <f t="shared" si="47"/>
        <v>0</v>
      </c>
      <c r="H125" s="32">
        <f t="shared" si="47"/>
        <v>0</v>
      </c>
      <c r="I125" s="32">
        <f t="shared" si="47"/>
        <v>0</v>
      </c>
      <c r="J125" s="33">
        <f t="shared" si="47"/>
        <v>0</v>
      </c>
      <c r="K125" s="1" t="s">
        <v>388</v>
      </c>
    </row>
    <row r="126" ht="28.5" customHeight="1">
      <c r="A126" s="1"/>
      <c r="B126" s="24" t="s">
        <v>389</v>
      </c>
      <c r="C126" s="31">
        <f>Inputs!C84</f>
        <v>2.78</v>
      </c>
      <c r="D126" s="31">
        <f>Inputs!D84</f>
        <v>2.53</v>
      </c>
      <c r="E126" s="31">
        <f>Inputs!E84</f>
        <v>2.8</v>
      </c>
      <c r="F126" s="31">
        <f>Inputs!F84</f>
        <v>2.51</v>
      </c>
      <c r="G126" s="31">
        <f>Inputs!G84</f>
        <v>3.7</v>
      </c>
      <c r="H126" s="31">
        <f>Inputs!H84</f>
        <v>3.57</v>
      </c>
      <c r="I126" s="32"/>
      <c r="J126" s="33"/>
      <c r="K126" s="1"/>
    </row>
    <row r="127" ht="54" customHeight="1">
      <c r="A127" s="1"/>
      <c r="B127" s="24" t="s">
        <v>390</v>
      </c>
      <c r="C127" s="26">
        <f t="shared" si="48" ref="C127:H127">_xlfn.IFERROR(IF(ABS(C118-C126)&lt;=0.01,0,C118-C126),1)</f>
        <v>0</v>
      </c>
      <c r="D127" s="26">
        <f t="shared" si="48"/>
        <v>0</v>
      </c>
      <c r="E127" s="26">
        <f t="shared" si="48"/>
        <v>0</v>
      </c>
      <c r="F127" s="26">
        <f t="shared" si="48"/>
        <v>0</v>
      </c>
      <c r="G127" s="26">
        <f t="shared" si="48"/>
        <v>0</v>
      </c>
      <c r="H127" s="26">
        <f t="shared" si="48"/>
        <v>0</v>
      </c>
      <c r="I127" s="26"/>
      <c r="J127" s="27"/>
      <c r="K127" s="1"/>
    </row>
    <row r="128" ht="41.25" customHeight="1">
      <c r="A128" s="1"/>
      <c r="B128" s="24" t="s">
        <v>391</v>
      </c>
      <c r="C128" s="26">
        <f t="shared" si="49" ref="C128:J128">_xlfn.IFERROR(IF(ABS(C118-C115/C117)&lt;=0.0001,0,C118-C115/C117),1)</f>
        <v>0</v>
      </c>
      <c r="D128" s="26">
        <f t="shared" si="49"/>
        <v>0</v>
      </c>
      <c r="E128" s="26">
        <f t="shared" si="49"/>
        <v>0</v>
      </c>
      <c r="F128" s="26">
        <f t="shared" si="49"/>
        <v>0</v>
      </c>
      <c r="G128" s="26">
        <f t="shared" si="49"/>
        <v>0</v>
      </c>
      <c r="H128" s="26">
        <f t="shared" si="49"/>
        <v>0</v>
      </c>
      <c r="I128" s="26">
        <f t="shared" si="49"/>
        <v>0</v>
      </c>
      <c r="J128" s="27">
        <f t="shared" si="49"/>
        <v>0</v>
      </c>
      <c r="K128" s="1"/>
    </row>
    <row r="129" ht="15" customHeight="1">
      <c r="A129" s="1"/>
      <c r="B129" s="1"/>
      <c r="C129" s="17"/>
      <c r="D129" s="17"/>
      <c r="E129" s="17"/>
      <c r="F129" s="17"/>
      <c r="G129" s="17"/>
      <c r="H129" s="17"/>
      <c r="I129" s="17"/>
      <c r="J129" s="18"/>
      <c r="K129" s="1"/>
    </row>
    <row r="130" ht="15" customHeight="1">
      <c r="A130" s="1"/>
      <c r="B130" s="16" t="s">
        <v>392</v>
      </c>
      <c r="C130" s="17"/>
      <c r="D130" s="17"/>
      <c r="E130" s="17"/>
      <c r="F130" s="17"/>
      <c r="G130" s="17"/>
      <c r="H130" s="17"/>
      <c r="I130" s="17"/>
      <c r="J130" s="18"/>
      <c r="K130" s="1"/>
    </row>
    <row r="131" ht="15" customHeight="1">
      <c r="A131" s="1"/>
      <c r="B131" s="19" t="s">
        <v>393</v>
      </c>
      <c r="C131" s="26">
        <f t="shared" si="50" ref="C131:J150">C40</f>
        <v>3574</v>
      </c>
      <c r="D131" s="26">
        <f t="shared" si="50"/>
        <v>2376</v>
      </c>
      <c r="E131" s="26">
        <f t="shared" si="50"/>
        <v>1420</v>
      </c>
      <c r="F131" s="26">
        <f t="shared" si="50"/>
        <v>-4248</v>
      </c>
      <c r="G131" s="26">
        <f t="shared" si="50"/>
        <v>3349</v>
      </c>
      <c r="H131" s="26">
        <f t="shared" si="50"/>
        <v>1567</v>
      </c>
      <c r="I131" s="26">
        <f t="shared" si="50"/>
        <v>3117</v>
      </c>
      <c r="J131" s="27">
        <f t="shared" si="50"/>
        <v>3885.083642516385</v>
      </c>
      <c r="K131" s="1"/>
    </row>
    <row r="132" ht="15" customHeight="1">
      <c r="A132" s="1"/>
      <c r="B132" s="19" t="s">
        <v>394</v>
      </c>
      <c r="C132" s="26">
        <f t="shared" si="51" ref="C132:J132">C88</f>
        <v>26</v>
      </c>
      <c r="D132" s="26">
        <f t="shared" si="51"/>
        <v>663</v>
      </c>
      <c r="E132" s="26">
        <f t="shared" si="51"/>
        <v>1933</v>
      </c>
      <c r="F132" s="26">
        <f t="shared" si="51"/>
        <v>7217</v>
      </c>
      <c r="G132" s="26">
        <f t="shared" si="51"/>
        <v>999</v>
      </c>
      <c r="H132" s="26">
        <f t="shared" si="51"/>
        <v>2456</v>
      </c>
      <c r="I132" s="26">
        <f t="shared" si="51"/>
        <v>9839</v>
      </c>
      <c r="J132" s="27">
        <f t="shared" si="51"/>
        <v>200</v>
      </c>
      <c r="K132" s="1"/>
    </row>
    <row r="133" ht="28.5" customHeight="1">
      <c r="A133" s="1"/>
      <c r="B133" s="44" t="s">
        <v>395</v>
      </c>
      <c r="C133" s="52">
        <f t="shared" si="2"/>
        <v>3600</v>
      </c>
      <c r="D133" s="52">
        <f t="shared" si="2"/>
        <v>3039</v>
      </c>
      <c r="E133" s="52">
        <f t="shared" si="2"/>
        <v>3353</v>
      </c>
      <c r="F133" s="52">
        <f t="shared" si="2"/>
        <v>2969</v>
      </c>
      <c r="G133" s="52">
        <f t="shared" si="2"/>
        <v>4348</v>
      </c>
      <c r="H133" s="52">
        <f t="shared" si="2"/>
        <v>4023</v>
      </c>
      <c r="I133" s="52">
        <f t="shared" si="2"/>
        <v>12956</v>
      </c>
      <c r="J133" s="53">
        <f t="shared" si="2"/>
        <v>4085.083642516385</v>
      </c>
      <c r="K133" s="1"/>
    </row>
    <row r="134" ht="15" customHeight="1">
      <c r="A134" s="1"/>
      <c r="B134" s="19" t="s">
        <v>396</v>
      </c>
      <c r="C134" s="26">
        <f t="shared" si="52" ref="C134:I134">C41+C135</f>
        <v>725</v>
      </c>
      <c r="D134" s="26">
        <f t="shared" si="52"/>
        <v>545</v>
      </c>
      <c r="E134" s="26">
        <f t="shared" si="52"/>
        <v>663</v>
      </c>
      <c r="F134" s="26">
        <f t="shared" si="52"/>
        <v>520</v>
      </c>
      <c r="G134" s="26">
        <f t="shared" si="52"/>
        <v>825</v>
      </c>
      <c r="H134" s="26">
        <f t="shared" si="52"/>
        <v>710</v>
      </c>
      <c r="I134" s="26">
        <f t="shared" si="52"/>
        <v>2453</v>
      </c>
      <c r="J134" s="27">
        <f>J133*J136</f>
        <v>755.7404738655313</v>
      </c>
      <c r="K134" s="1"/>
    </row>
    <row r="135" ht="15" customHeight="1">
      <c r="A135" s="1"/>
      <c r="B135" s="19" t="s">
        <v>397</v>
      </c>
      <c r="C135" s="26">
        <f t="shared" si="53" ref="C135:J135">-C110</f>
        <v>6</v>
      </c>
      <c r="D135" s="26">
        <f t="shared" si="53"/>
        <v>64</v>
      </c>
      <c r="E135" s="26">
        <f t="shared" si="53"/>
        <v>536</v>
      </c>
      <c r="F135" s="26">
        <f t="shared" si="53"/>
        <v>1509</v>
      </c>
      <c r="G135" s="26">
        <f t="shared" si="53"/>
        <v>183</v>
      </c>
      <c r="H135" s="26">
        <f t="shared" si="53"/>
        <v>496</v>
      </c>
      <c r="I135" s="26">
        <f t="shared" si="53"/>
        <v>2115</v>
      </c>
      <c r="J135" s="27">
        <f t="shared" si="53"/>
        <v>30</v>
      </c>
      <c r="K135" s="1"/>
    </row>
    <row r="136" ht="15" customHeight="1">
      <c r="A136" s="1"/>
      <c r="B136" s="57" t="s">
        <v>398</v>
      </c>
      <c r="C136" s="29">
        <f t="shared" si="54" ref="C136:I136">_xlfn.IFERROR(C134/C133,"n.a.")</f>
        <v>0.2013888888888889</v>
      </c>
      <c r="D136" s="29">
        <f t="shared" si="54"/>
        <v>0.17933530766699574</v>
      </c>
      <c r="E136" s="29">
        <f t="shared" si="54"/>
        <v>0.19773337309871758</v>
      </c>
      <c r="F136" s="29">
        <f t="shared" si="54"/>
        <v>0.1751431458403503</v>
      </c>
      <c r="G136" s="29">
        <f t="shared" si="54"/>
        <v>0.18974241030358785</v>
      </c>
      <c r="H136" s="29">
        <f t="shared" si="54"/>
        <v>0.17648521004225703</v>
      </c>
      <c r="I136" s="29">
        <f t="shared" si="54"/>
        <v>0.18933312750849027</v>
      </c>
      <c r="J136" s="56">
        <v>0.185</v>
      </c>
      <c r="K136" s="1" t="s">
        <v>399</v>
      </c>
    </row>
    <row r="137" ht="15" customHeight="1">
      <c r="A137" s="1"/>
      <c r="B137" s="28" t="s">
        <v>129</v>
      </c>
      <c r="C137" s="58" t="s">
        <v>41</v>
      </c>
      <c r="D137" s="58" t="s">
        <v>41</v>
      </c>
      <c r="E137" s="58" t="s">
        <v>41</v>
      </c>
      <c r="F137" s="58" t="s">
        <v>41</v>
      </c>
      <c r="G137" s="58">
        <f t="shared" si="11"/>
        <v>-116.46478585301045</v>
      </c>
      <c r="H137" s="58">
        <f t="shared" si="11"/>
        <v>-28.500976247387012</v>
      </c>
      <c r="I137" s="58" t="s">
        <v>41</v>
      </c>
      <c r="J137" s="59">
        <f t="shared" si="15"/>
        <v>-127.33373098717581</v>
      </c>
      <c r="K137" s="1"/>
    </row>
    <row r="138" ht="15" customHeight="1">
      <c r="A138" s="1"/>
      <c r="B138" s="28" t="s">
        <v>130</v>
      </c>
      <c r="C138" s="58" t="s">
        <v>41</v>
      </c>
      <c r="D138" s="58">
        <f t="shared" si="12"/>
        <v>-220.5358122189316</v>
      </c>
      <c r="E138" s="58">
        <f t="shared" si="12"/>
        <v>183.98065431721844</v>
      </c>
      <c r="F138" s="58">
        <f t="shared" si="12"/>
        <v>-225.9022725836729</v>
      </c>
      <c r="G138" s="58">
        <f t="shared" si="12"/>
        <v>145.9926446323756</v>
      </c>
      <c r="H138" s="58">
        <f t="shared" si="12"/>
        <v>-132.57200261330814</v>
      </c>
      <c r="I138" s="58" t="s">
        <v>41</v>
      </c>
      <c r="J138" s="59">
        <f t="shared" si="16"/>
        <v>85.14789957742963</v>
      </c>
      <c r="K138" s="1"/>
    </row>
    <row r="139" ht="15" customHeight="1">
      <c r="A139" s="1"/>
      <c r="B139" s="1"/>
      <c r="C139" s="17"/>
      <c r="D139" s="17"/>
      <c r="E139" s="17"/>
      <c r="F139" s="17"/>
      <c r="G139" s="17"/>
      <c r="H139" s="17"/>
      <c r="I139" s="17"/>
      <c r="J139" s="18"/>
      <c r="K139" s="1"/>
    </row>
    <row r="140" ht="15" customHeight="1">
      <c r="A140" s="1"/>
      <c r="B140" s="16" t="s">
        <v>400</v>
      </c>
      <c r="C140" s="17"/>
      <c r="D140" s="17"/>
      <c r="E140" s="17"/>
      <c r="F140" s="17"/>
      <c r="G140" s="17"/>
      <c r="H140" s="17"/>
      <c r="I140" s="17"/>
      <c r="J140" s="18"/>
      <c r="K140" s="1"/>
    </row>
    <row r="141" ht="15" customHeight="1">
      <c r="A141" s="1"/>
      <c r="B141" s="19" t="s">
        <v>107</v>
      </c>
      <c r="C141" s="26"/>
      <c r="D141" s="26"/>
      <c r="E141" s="26"/>
      <c r="F141" s="26"/>
      <c r="G141" s="26"/>
      <c r="H141" s="26"/>
      <c r="I141" s="26">
        <f>I12-SUM(C12:F12)</f>
        <v>-4</v>
      </c>
      <c r="J141" s="27"/>
      <c r="K141" s="1"/>
    </row>
    <row r="142" ht="28.5" customHeight="1">
      <c r="A142" s="1"/>
      <c r="B142" s="24" t="s">
        <v>401</v>
      </c>
      <c r="C142" s="26"/>
      <c r="D142" s="26"/>
      <c r="E142" s="26"/>
      <c r="F142" s="26"/>
      <c r="G142" s="26"/>
      <c r="H142" s="26"/>
      <c r="I142" s="26">
        <f>I49-SUM(C49:F49)</f>
        <v>-5</v>
      </c>
      <c r="J142" s="27"/>
      <c r="K142" s="1"/>
    </row>
    <row r="143" ht="15" customHeight="1">
      <c r="A143" s="1"/>
      <c r="B143" s="19" t="s">
        <v>359</v>
      </c>
      <c r="C143" s="26"/>
      <c r="D143" s="26"/>
      <c r="E143" s="26"/>
      <c r="F143" s="26"/>
      <c r="G143" s="26"/>
      <c r="H143" s="26"/>
      <c r="I143" s="26">
        <f>I89-SUM(C89:F89)</f>
        <v>-5</v>
      </c>
      <c r="J143" s="27"/>
      <c r="K143" s="1"/>
    </row>
    <row r="144" ht="28.5" customHeight="1">
      <c r="A144" s="1"/>
      <c r="B144" s="24" t="s">
        <v>402</v>
      </c>
      <c r="C144" s="26"/>
      <c r="D144" s="26"/>
      <c r="E144" s="26"/>
      <c r="F144" s="26"/>
      <c r="G144" s="26"/>
      <c r="H144" s="26"/>
      <c r="I144" s="26">
        <f>I115-SUM(C115:F115)</f>
        <v>-19</v>
      </c>
      <c r="J144" s="27"/>
      <c r="K144" s="1" t="s">
        <v>403</v>
      </c>
    </row>
    <row r="146" ht="15" customHeight="1">
      <c r="B146" s="16" t="s">
        <v>404</v>
      </c>
      <c r="C146" s="17"/>
      <c r="D146" s="17"/>
      <c r="E146" s="17"/>
      <c r="F146" s="17"/>
      <c r="G146" s="17"/>
      <c r="H146" s="17"/>
      <c r="I146" s="17"/>
      <c r="J146" s="18"/>
      <c r="K146" s="1" t="s">
        <v>405</v>
      </c>
    </row>
    <row r="147" ht="15" customHeight="1">
      <c r="B147" s="19" t="s">
        <v>406</v>
      </c>
      <c r="C147" s="26"/>
      <c r="D147" s="26"/>
      <c r="E147" s="26"/>
      <c r="F147" s="26">
        <f t="shared" si="55" ref="F147:I147">F63</f>
        <v>-3310</v>
      </c>
      <c r="G147" s="26"/>
      <c r="H147" s="26"/>
      <c r="I147" s="26">
        <f t="shared" si="55"/>
        <v>2697</v>
      </c>
      <c r="J147" s="27"/>
      <c r="K147" s="1"/>
    </row>
    <row r="148" ht="15" customHeight="1">
      <c r="B148" s="19" t="s">
        <v>407</v>
      </c>
      <c r="C148" s="26"/>
      <c r="D148" s="26"/>
      <c r="E148" s="26"/>
      <c r="F148" s="26">
        <f t="shared" si="56" ref="F148:I148">F54</f>
        <v>-20</v>
      </c>
      <c r="G148" s="26"/>
      <c r="H148" s="26"/>
      <c r="I148" s="26">
        <f t="shared" si="56"/>
        <v>483</v>
      </c>
      <c r="J148" s="27"/>
      <c r="K148" s="1"/>
    </row>
    <row r="149" ht="15" customHeight="1">
      <c r="B149" s="19" t="s">
        <v>408</v>
      </c>
      <c r="C149" s="26"/>
      <c r="D149" s="26"/>
      <c r="E149" s="26"/>
      <c r="F149" s="47">
        <v>-3330</v>
      </c>
      <c r="G149" s="26"/>
      <c r="H149" s="26"/>
      <c r="I149" s="47">
        <v>3180</v>
      </c>
      <c r="J149" s="27"/>
      <c r="K149" s="1"/>
    </row>
    <row r="150" ht="15" customHeight="1">
      <c r="B150" s="19" t="s">
        <v>409</v>
      </c>
      <c r="C150" s="26"/>
      <c r="D150" s="26"/>
      <c r="E150" s="26"/>
      <c r="F150" s="26">
        <f t="shared" si="50"/>
        <v>925</v>
      </c>
      <c r="G150" s="26"/>
      <c r="H150" s="26"/>
      <c r="I150" s="26">
        <f t="shared" si="50"/>
        <v>973</v>
      </c>
      <c r="J150" s="27"/>
      <c r="K150" s="1"/>
    </row>
    <row r="151" ht="15" customHeight="1">
      <c r="B151" s="19" t="s">
        <v>410</v>
      </c>
      <c r="C151" s="26"/>
      <c r="D151" s="26"/>
      <c r="E151" s="26"/>
      <c r="F151" s="45">
        <v>-3.6</v>
      </c>
      <c r="G151" s="26"/>
      <c r="H151" s="26"/>
      <c r="I151" s="45">
        <v>3.27</v>
      </c>
      <c r="J151" s="27"/>
      <c r="K151" s="1"/>
    </row>
    <row r="152" ht="15" customHeight="1">
      <c r="B152" s="19" t="s">
        <v>411</v>
      </c>
      <c r="C152" s="26"/>
      <c r="D152" s="26"/>
      <c r="E152" s="26"/>
      <c r="F152" s="47">
        <v>2378</v>
      </c>
      <c r="G152" s="26"/>
      <c r="H152" s="26"/>
      <c r="I152" s="47">
        <v>10311</v>
      </c>
      <c r="J152" s="27"/>
      <c r="K152" s="1"/>
    </row>
    <row r="153" ht="15" customHeight="1">
      <c r="B153" s="19" t="s">
        <v>412</v>
      </c>
      <c r="C153" s="26"/>
      <c r="D153" s="26"/>
      <c r="E153" s="26"/>
      <c r="F153" s="45">
        <v>2.51</v>
      </c>
      <c r="G153" s="26"/>
      <c r="H153" s="26"/>
      <c r="I153" s="45">
        <v>10.6</v>
      </c>
      <c r="J153" s="27"/>
      <c r="K153" s="1"/>
    </row>
    <row r="154" ht="15" customHeight="1">
      <c r="B154" s="19" t="s">
        <v>413</v>
      </c>
      <c r="C154" s="26"/>
      <c r="D154" s="26"/>
      <c r="E154" s="26"/>
      <c r="F154" s="26">
        <f t="shared" si="57" ref="F154:I154">F57-F149</f>
        <v>1</v>
      </c>
      <c r="G154" s="26"/>
      <c r="H154" s="26"/>
      <c r="I154" s="26">
        <f t="shared" si="57"/>
        <v>-1</v>
      </c>
      <c r="J154" s="27"/>
      <c r="K154" s="1" t="s">
        <v>414</v>
      </c>
    </row>
    <row r="155" ht="15" customHeight="1">
      <c r="B155" s="19" t="s">
        <v>415</v>
      </c>
      <c r="C155" s="26"/>
      <c r="D155" s="26"/>
      <c r="E155" s="26"/>
      <c r="F155" s="26">
        <f t="shared" si="58" ref="F155:I155">F115-F152</f>
        <v>1</v>
      </c>
      <c r="G155" s="26"/>
      <c r="H155" s="26"/>
      <c r="I155" s="26">
        <f t="shared" si="58"/>
        <v>-1</v>
      </c>
      <c r="J155" s="27"/>
      <c r="K155" s="1" t="s">
        <v>416</v>
      </c>
    </row>
    <row r="156" ht="15" customHeight="1">
      <c r="B156" s="19" t="s">
        <v>417</v>
      </c>
      <c r="C156" s="26"/>
      <c r="D156" s="26"/>
      <c r="E156" s="26"/>
      <c r="F156" s="26"/>
      <c r="G156" s="26"/>
      <c r="H156" s="26"/>
      <c r="I156" s="26">
        <f>SUM(C54:F54)-I54</f>
        <v>14</v>
      </c>
      <c r="J156" s="27"/>
      <c r="K156" s="1" t="s">
        <v>418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CA39C14-F579-A9F8-88E8-66913CC8FC6C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</row>
    <row r="3" ht="15" customHeight="1">
      <c r="A3" s="1"/>
      <c r="B3" s="4" t="s">
        <v>419</v>
      </c>
      <c r="C3" s="1"/>
      <c r="D3" s="1"/>
      <c r="E3" s="1"/>
      <c r="F3" s="1"/>
      <c r="G3" s="1"/>
      <c r="H3" s="1"/>
      <c r="I3" s="1"/>
      <c r="J3" s="1"/>
      <c r="K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</row>
    <row r="5" ht="15" customHeight="1">
      <c r="A5" s="1"/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8" t="s">
        <v>12</v>
      </c>
      <c r="K5" s="6" t="s">
        <v>13</v>
      </c>
    </row>
    <row r="6" ht="15" customHeight="1">
      <c r="A6" s="1"/>
      <c r="B6" s="9" t="s">
        <v>14</v>
      </c>
      <c r="C6" s="10">
        <f>DATE(2025,3,31)</f>
        <v>45747</v>
      </c>
      <c r="D6" s="10">
        <f>DATE(2025,6,30)</f>
        <v>45838</v>
      </c>
      <c r="E6" s="10">
        <f>DATE(2025,9,30)</f>
        <v>45930</v>
      </c>
      <c r="F6" s="10">
        <f t="shared" si="0" ref="F6:I6">DATE(2025,12,31)</f>
        <v>46022</v>
      </c>
      <c r="G6" s="10">
        <f>DATE(2026,3,31)</f>
        <v>46112</v>
      </c>
      <c r="H6" s="10">
        <f>DATE(2026,6,30)</f>
        <v>46203</v>
      </c>
      <c r="I6" s="10">
        <f t="shared" si="0"/>
        <v>46022</v>
      </c>
      <c r="J6" s="11">
        <f>DATE(2026,9,30)</f>
        <v>46295</v>
      </c>
      <c r="K6" s="9"/>
    </row>
    <row r="7" ht="15" customHeight="1">
      <c r="A7" s="1"/>
      <c r="B7" s="12" t="s">
        <v>15</v>
      </c>
      <c r="C7" s="13">
        <f t="shared" si="1" ref="C7:J7">C6-EOMONTH(C6,-3)</f>
        <v>90</v>
      </c>
      <c r="D7" s="13">
        <f t="shared" si="1"/>
        <v>91</v>
      </c>
      <c r="E7" s="13">
        <f t="shared" si="1"/>
        <v>92</v>
      </c>
      <c r="F7" s="13">
        <f t="shared" si="1"/>
        <v>92</v>
      </c>
      <c r="G7" s="13">
        <f t="shared" si="1"/>
        <v>90</v>
      </c>
      <c r="H7" s="13">
        <f t="shared" si="1"/>
        <v>91</v>
      </c>
      <c r="I7" s="13">
        <f>I6-EOMONTH(I6,-12)</f>
        <v>365</v>
      </c>
      <c r="J7" s="14">
        <f t="shared" si="1"/>
        <v>92</v>
      </c>
      <c r="K7" s="12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5"/>
      <c r="K8" s="1"/>
    </row>
    <row r="9" ht="15" customHeight="1">
      <c r="A9" s="1"/>
      <c r="B9" s="16" t="s">
        <v>420</v>
      </c>
      <c r="C9" s="17"/>
      <c r="D9" s="17"/>
      <c r="E9" s="17"/>
      <c r="F9" s="17"/>
      <c r="G9" s="17"/>
      <c r="H9" s="17"/>
      <c r="I9" s="17"/>
      <c r="J9" s="18"/>
      <c r="K9" s="1" t="s">
        <v>421</v>
      </c>
    </row>
    <row r="10" ht="15" customHeight="1">
      <c r="A10" s="1"/>
      <c r="B10" s="19" t="s">
        <v>422</v>
      </c>
      <c r="C10" s="47">
        <v>20570</v>
      </c>
      <c r="D10" s="47">
        <v>22381</v>
      </c>
      <c r="E10" s="47">
        <v>22910</v>
      </c>
      <c r="F10" s="47">
        <v>20945</v>
      </c>
      <c r="G10" s="47">
        <v>19800</v>
      </c>
      <c r="H10" s="47">
        <v>20134</v>
      </c>
      <c r="I10" s="26">
        <f t="shared" si="2" ref="I10:I52">F10</f>
        <v>20945</v>
      </c>
      <c r="J10" s="48">
        <f>H10+'Cash Flow Statement'!J40</f>
        <v>19253.972126731536</v>
      </c>
      <c r="K10" s="1"/>
    </row>
    <row r="11" ht="15" customHeight="1">
      <c r="A11" s="1"/>
      <c r="B11" s="19" t="s">
        <v>423</v>
      </c>
      <c r="C11" s="47">
        <v>6919</v>
      </c>
      <c r="D11" s="47">
        <v>6958</v>
      </c>
      <c r="E11" s="47">
        <v>6792</v>
      </c>
      <c r="F11" s="47">
        <v>6724</v>
      </c>
      <c r="G11" s="47">
        <v>4618</v>
      </c>
      <c r="H11" s="47">
        <v>4585</v>
      </c>
      <c r="I11" s="26">
        <f t="shared" si="2"/>
        <v>6724</v>
      </c>
      <c r="J11" s="48">
        <f>H11-'Cash Flow Statement'!J22-'Cash Flow Statement'!J23</f>
        <v>4585</v>
      </c>
      <c r="K11" s="1"/>
    </row>
    <row r="12" ht="28.5" customHeight="1">
      <c r="A12" s="1"/>
      <c r="B12" s="24" t="s">
        <v>424</v>
      </c>
      <c r="C12" s="47">
        <v>14936</v>
      </c>
      <c r="D12" s="47">
        <v>16722</v>
      </c>
      <c r="E12" s="47">
        <v>17125</v>
      </c>
      <c r="F12" s="47">
        <v>13054</v>
      </c>
      <c r="G12" s="47">
        <v>16381</v>
      </c>
      <c r="H12" s="47">
        <v>16770</v>
      </c>
      <c r="I12" s="26">
        <f t="shared" si="2"/>
        <v>13054</v>
      </c>
      <c r="J12" s="27">
        <f t="shared" si="3" ref="J12:J52">H12</f>
        <v>16770</v>
      </c>
      <c r="K12" s="1"/>
    </row>
    <row r="13" ht="28.5" customHeight="1">
      <c r="A13" s="1"/>
      <c r="B13" s="24" t="s">
        <v>425</v>
      </c>
      <c r="C13" s="47">
        <v>44517</v>
      </c>
      <c r="D13" s="47">
        <v>44473</v>
      </c>
      <c r="E13" s="47">
        <v>44521</v>
      </c>
      <c r="F13" s="47">
        <v>45266</v>
      </c>
      <c r="G13" s="47">
        <v>43751</v>
      </c>
      <c r="H13" s="47">
        <v>44870</v>
      </c>
      <c r="I13" s="26">
        <f t="shared" si="2"/>
        <v>45266</v>
      </c>
      <c r="J13" s="27">
        <f t="shared" si="3"/>
        <v>44870</v>
      </c>
      <c r="K13" s="1"/>
    </row>
    <row r="14" ht="15" customHeight="1">
      <c r="A14" s="1"/>
      <c r="B14" s="19" t="s">
        <v>426</v>
      </c>
      <c r="C14" s="47">
        <v>15253</v>
      </c>
      <c r="D14" s="47">
        <v>15454</v>
      </c>
      <c r="E14" s="47">
        <v>15318</v>
      </c>
      <c r="F14" s="47">
        <v>14467</v>
      </c>
      <c r="G14" s="47">
        <v>15590</v>
      </c>
      <c r="H14" s="47">
        <v>15950</v>
      </c>
      <c r="I14" s="26">
        <f t="shared" si="2"/>
        <v>14467</v>
      </c>
      <c r="J14" s="27">
        <f t="shared" si="3"/>
        <v>15950</v>
      </c>
      <c r="K14" s="1"/>
    </row>
    <row r="15" ht="15" customHeight="1">
      <c r="A15" s="1"/>
      <c r="B15" s="19" t="s">
        <v>427</v>
      </c>
      <c r="C15" s="47">
        <v>7811</v>
      </c>
      <c r="D15" s="47">
        <v>8297</v>
      </c>
      <c r="E15" s="47">
        <v>7970</v>
      </c>
      <c r="F15" s="47">
        <v>8312</v>
      </c>
      <c r="G15" s="47">
        <v>8981</v>
      </c>
      <c r="H15" s="47">
        <v>7700</v>
      </c>
      <c r="I15" s="26">
        <f t="shared" si="2"/>
        <v>8312</v>
      </c>
      <c r="J15" s="27">
        <f t="shared" si="3"/>
        <v>7700</v>
      </c>
      <c r="K15" s="1"/>
    </row>
    <row r="16" ht="15" customHeight="1">
      <c r="A16" s="1"/>
      <c r="B16" s="4" t="s">
        <v>428</v>
      </c>
      <c r="C16" s="52">
        <f t="shared" si="4" ref="C16:J16">C10+C11+C12+C13+C14+C15</f>
        <v>110006</v>
      </c>
      <c r="D16" s="52">
        <f t="shared" si="4"/>
        <v>114285</v>
      </c>
      <c r="E16" s="52">
        <f t="shared" si="4"/>
        <v>114636</v>
      </c>
      <c r="F16" s="52">
        <f t="shared" si="4"/>
        <v>108768</v>
      </c>
      <c r="G16" s="52">
        <f t="shared" si="4"/>
        <v>109121</v>
      </c>
      <c r="H16" s="52">
        <f t="shared" si="4"/>
        <v>110009</v>
      </c>
      <c r="I16" s="52">
        <f t="shared" si="4"/>
        <v>108768</v>
      </c>
      <c r="J16" s="53">
        <f t="shared" si="4"/>
        <v>109128.97212673153</v>
      </c>
      <c r="K16" s="1"/>
    </row>
    <row r="17" ht="28.5" customHeight="1">
      <c r="A17" s="1"/>
      <c r="B17" s="24" t="s">
        <v>429</v>
      </c>
      <c r="C17" s="47">
        <v>46534</v>
      </c>
      <c r="D17" s="47">
        <v>47043</v>
      </c>
      <c r="E17" s="47">
        <v>45300</v>
      </c>
      <c r="F17" s="47">
        <v>44384</v>
      </c>
      <c r="G17" s="47">
        <v>43724</v>
      </c>
      <c r="H17" s="47">
        <v>44454</v>
      </c>
      <c r="I17" s="26">
        <f t="shared" si="2"/>
        <v>44384</v>
      </c>
      <c r="J17" s="48">
        <f>H17-'Cash Flow Statement'!J24-'Cash Flow Statement'!J25-'Cash Flow Statement'!J26</f>
        <v>46220.21805776241</v>
      </c>
      <c r="K17" s="1"/>
    </row>
    <row r="18" ht="28.5" customHeight="1">
      <c r="A18" s="1"/>
      <c r="B18" s="24" t="s">
        <v>430</v>
      </c>
      <c r="C18" s="47">
        <v>6877</v>
      </c>
      <c r="D18" s="47">
        <v>6103</v>
      </c>
      <c r="E18" s="47">
        <v>6272</v>
      </c>
      <c r="F18" s="47">
        <v>5681</v>
      </c>
      <c r="G18" s="47">
        <v>5978</v>
      </c>
      <c r="H18" s="47">
        <v>5663</v>
      </c>
      <c r="I18" s="26">
        <f t="shared" si="2"/>
        <v>5681</v>
      </c>
      <c r="J18" s="27">
        <f t="shared" si="3"/>
        <v>5663</v>
      </c>
      <c r="K18" s="1"/>
    </row>
    <row r="19" ht="15" customHeight="1">
      <c r="A19" s="1"/>
      <c r="B19" s="19" t="s">
        <v>431</v>
      </c>
      <c r="C19" s="47">
        <v>52128</v>
      </c>
      <c r="D19" s="47">
        <v>52159</v>
      </c>
      <c r="E19" s="47">
        <v>51938</v>
      </c>
      <c r="F19" s="47">
        <v>51683</v>
      </c>
      <c r="G19" s="47">
        <v>52166</v>
      </c>
      <c r="H19" s="47">
        <v>53316</v>
      </c>
      <c r="I19" s="26">
        <f t="shared" si="2"/>
        <v>51683</v>
      </c>
      <c r="J19" s="48">
        <f>H19-'Cash Flow Statement'!J21-'Cash Flow Statement'!J12</f>
        <v>54526</v>
      </c>
      <c r="K19" s="1"/>
    </row>
    <row r="20" ht="28.5" customHeight="1">
      <c r="A20" s="1"/>
      <c r="B20" s="24" t="s">
        <v>432</v>
      </c>
      <c r="C20" s="47">
        <v>4520</v>
      </c>
      <c r="D20" s="47">
        <v>4488</v>
      </c>
      <c r="E20" s="47">
        <v>4452</v>
      </c>
      <c r="F20" s="47">
        <v>4366</v>
      </c>
      <c r="G20" s="47">
        <v>4336</v>
      </c>
      <c r="H20" s="47">
        <v>4305</v>
      </c>
      <c r="I20" s="26">
        <f t="shared" si="2"/>
        <v>4366</v>
      </c>
      <c r="J20" s="27">
        <f t="shared" si="3"/>
        <v>4305</v>
      </c>
      <c r="K20" s="1"/>
    </row>
    <row r="21" ht="28.5" customHeight="1">
      <c r="A21" s="1"/>
      <c r="B21" s="24" t="s">
        <v>433</v>
      </c>
      <c r="C21" s="25">
        <f>'Segment - GM Financial'!C35</f>
        <v>32239</v>
      </c>
      <c r="D21" s="25">
        <f>'Segment - GM Financial'!D35</f>
        <v>33196</v>
      </c>
      <c r="E21" s="25">
        <f>'Segment - GM Financial'!E35</f>
        <v>33609</v>
      </c>
      <c r="F21" s="25">
        <f>'Segment - GM Financial'!F35</f>
        <v>33686</v>
      </c>
      <c r="G21" s="25">
        <f>'Segment - GM Financial'!G35</f>
        <v>33344</v>
      </c>
      <c r="H21" s="25">
        <f>'Segment - GM Financial'!H35</f>
        <v>32881</v>
      </c>
      <c r="I21" s="26">
        <f t="shared" si="2"/>
        <v>33686</v>
      </c>
      <c r="J21" s="48">
        <f>'Segment - GM Financial'!J35</f>
        <v>32552.76247600768</v>
      </c>
      <c r="K21" s="1" t="s">
        <v>434</v>
      </c>
    </row>
    <row r="22" ht="15" customHeight="1">
      <c r="A22" s="1"/>
      <c r="B22" s="19" t="s">
        <v>435</v>
      </c>
      <c r="C22" s="47">
        <v>21234</v>
      </c>
      <c r="D22" s="47">
        <v>21478</v>
      </c>
      <c r="E22" s="47">
        <v>21669</v>
      </c>
      <c r="F22" s="47">
        <v>22960</v>
      </c>
      <c r="G22" s="47">
        <v>22682</v>
      </c>
      <c r="H22" s="47">
        <v>22643</v>
      </c>
      <c r="I22" s="26">
        <f t="shared" si="2"/>
        <v>22960</v>
      </c>
      <c r="J22" s="27">
        <f t="shared" si="3"/>
        <v>22643</v>
      </c>
      <c r="K22" s="1"/>
    </row>
    <row r="23" ht="15" customHeight="1">
      <c r="A23" s="1"/>
      <c r="B23" s="19" t="s">
        <v>436</v>
      </c>
      <c r="C23" s="47">
        <v>8566</v>
      </c>
      <c r="D23" s="47">
        <v>10631</v>
      </c>
      <c r="E23" s="47">
        <v>10292</v>
      </c>
      <c r="F23" s="47">
        <v>9756</v>
      </c>
      <c r="G23" s="47">
        <v>9622</v>
      </c>
      <c r="H23" s="47">
        <v>9472</v>
      </c>
      <c r="I23" s="26">
        <f t="shared" si="2"/>
        <v>9756</v>
      </c>
      <c r="J23" s="27">
        <f t="shared" si="3"/>
        <v>9472</v>
      </c>
      <c r="K23" s="1"/>
    </row>
    <row r="24" ht="15" customHeight="1">
      <c r="A24" s="1"/>
      <c r="B24" s="4" t="s">
        <v>437</v>
      </c>
      <c r="C24" s="52">
        <f t="shared" si="5" ref="C24:J24">C17+C18+C19+C20+C21+C22+C23</f>
        <v>172098</v>
      </c>
      <c r="D24" s="52">
        <f t="shared" si="5"/>
        <v>175098</v>
      </c>
      <c r="E24" s="52">
        <f t="shared" si="5"/>
        <v>173532</v>
      </c>
      <c r="F24" s="52">
        <f t="shared" si="5"/>
        <v>172516</v>
      </c>
      <c r="G24" s="52">
        <f t="shared" si="5"/>
        <v>171852</v>
      </c>
      <c r="H24" s="52">
        <f t="shared" si="5"/>
        <v>172734</v>
      </c>
      <c r="I24" s="52">
        <f t="shared" si="5"/>
        <v>172516</v>
      </c>
      <c r="J24" s="53">
        <f t="shared" si="5"/>
        <v>175381.98053377008</v>
      </c>
      <c r="K24" s="1"/>
    </row>
    <row r="25" ht="15" customHeight="1">
      <c r="A25" s="1"/>
      <c r="B25" s="4" t="s">
        <v>438</v>
      </c>
      <c r="C25" s="52">
        <f t="shared" si="6" ref="C25:J47">C16+C24</f>
        <v>282104</v>
      </c>
      <c r="D25" s="52">
        <f t="shared" si="6"/>
        <v>289383</v>
      </c>
      <c r="E25" s="52">
        <f t="shared" si="6"/>
        <v>288168</v>
      </c>
      <c r="F25" s="52">
        <f t="shared" si="6"/>
        <v>281284</v>
      </c>
      <c r="G25" s="52">
        <f t="shared" si="6"/>
        <v>280973</v>
      </c>
      <c r="H25" s="52">
        <f t="shared" si="6"/>
        <v>282743</v>
      </c>
      <c r="I25" s="52">
        <f t="shared" si="6"/>
        <v>281284</v>
      </c>
      <c r="J25" s="53">
        <f t="shared" si="6"/>
        <v>284510.9526605016</v>
      </c>
      <c r="K25" s="1"/>
    </row>
    <row r="26" ht="15" customHeight="1">
      <c r="A26" s="1"/>
      <c r="B26" s="16" t="s">
        <v>439</v>
      </c>
      <c r="C26" s="17"/>
      <c r="D26" s="17"/>
      <c r="E26" s="17"/>
      <c r="F26" s="17"/>
      <c r="G26" s="17"/>
      <c r="H26" s="17"/>
      <c r="I26" s="17"/>
      <c r="J26" s="18"/>
      <c r="K26" s="1"/>
    </row>
    <row r="27" ht="28.5" customHeight="1">
      <c r="A27" s="1"/>
      <c r="B27" s="24" t="s">
        <v>440</v>
      </c>
      <c r="C27" s="47">
        <v>26948</v>
      </c>
      <c r="D27" s="47">
        <v>27077</v>
      </c>
      <c r="E27" s="47">
        <v>27317</v>
      </c>
      <c r="F27" s="47">
        <v>23919</v>
      </c>
      <c r="G27" s="47">
        <v>27912</v>
      </c>
      <c r="H27" s="47">
        <v>28840</v>
      </c>
      <c r="I27" s="26">
        <f t="shared" si="2"/>
        <v>23919</v>
      </c>
      <c r="J27" s="27">
        <f t="shared" si="3"/>
        <v>28840</v>
      </c>
      <c r="K27" s="1"/>
    </row>
    <row r="28" ht="15" customHeight="1">
      <c r="A28" s="1"/>
      <c r="B28" s="19" t="s">
        <v>441</v>
      </c>
      <c r="C28" s="47">
        <v>2166</v>
      </c>
      <c r="D28" s="47">
        <v>1687</v>
      </c>
      <c r="E28" s="47">
        <v>424</v>
      </c>
      <c r="F28" s="47">
        <v>656</v>
      </c>
      <c r="G28" s="47">
        <v>406</v>
      </c>
      <c r="H28" s="47">
        <v>514</v>
      </c>
      <c r="I28" s="26">
        <f t="shared" si="2"/>
        <v>656</v>
      </c>
      <c r="J28" s="27">
        <f t="shared" si="3"/>
        <v>514</v>
      </c>
      <c r="K28" s="1"/>
    </row>
    <row r="29" ht="15" customHeight="1">
      <c r="A29" s="1"/>
      <c r="B29" s="19" t="s">
        <v>442</v>
      </c>
      <c r="C29" s="47">
        <v>33768</v>
      </c>
      <c r="D29" s="47">
        <v>36627</v>
      </c>
      <c r="E29" s="47">
        <v>36053</v>
      </c>
      <c r="F29" s="47">
        <v>35012</v>
      </c>
      <c r="G29" s="47">
        <v>35888</v>
      </c>
      <c r="H29" s="47">
        <v>36498</v>
      </c>
      <c r="I29" s="26">
        <f t="shared" si="2"/>
        <v>35012</v>
      </c>
      <c r="J29" s="27">
        <f t="shared" si="3"/>
        <v>36498</v>
      </c>
      <c r="K29" s="1"/>
    </row>
    <row r="30" ht="15" customHeight="1">
      <c r="A30" s="1"/>
      <c r="B30" s="19" t="s">
        <v>443</v>
      </c>
      <c r="C30" s="47">
        <v>27865</v>
      </c>
      <c r="D30" s="47">
        <v>28421</v>
      </c>
      <c r="E30" s="47">
        <v>29501</v>
      </c>
      <c r="F30" s="47">
        <v>33754</v>
      </c>
      <c r="G30" s="47">
        <v>30514</v>
      </c>
      <c r="H30" s="47">
        <v>30982</v>
      </c>
      <c r="I30" s="26">
        <f t="shared" si="2"/>
        <v>33754</v>
      </c>
      <c r="J30" s="27">
        <f t="shared" si="3"/>
        <v>30982</v>
      </c>
      <c r="K30" s="1"/>
    </row>
    <row r="31" ht="15" customHeight="1">
      <c r="A31" s="1"/>
      <c r="B31" s="4" t="s">
        <v>444</v>
      </c>
      <c r="C31" s="52">
        <f t="shared" si="7" ref="C31:J44">C27+C28+C29+C30</f>
        <v>90747</v>
      </c>
      <c r="D31" s="52">
        <f t="shared" si="7"/>
        <v>93812</v>
      </c>
      <c r="E31" s="52">
        <f t="shared" si="7"/>
        <v>93295</v>
      </c>
      <c r="F31" s="52">
        <f t="shared" si="7"/>
        <v>93341</v>
      </c>
      <c r="G31" s="52">
        <f t="shared" si="7"/>
        <v>94720</v>
      </c>
      <c r="H31" s="52">
        <f t="shared" si="7"/>
        <v>96834</v>
      </c>
      <c r="I31" s="52">
        <f t="shared" si="7"/>
        <v>93341</v>
      </c>
      <c r="J31" s="53">
        <f t="shared" si="7"/>
        <v>96834</v>
      </c>
      <c r="K31" s="1"/>
    </row>
    <row r="32" ht="15" customHeight="1">
      <c r="A32" s="1"/>
      <c r="B32" s="19" t="s">
        <v>445</v>
      </c>
      <c r="C32" s="47">
        <v>13474</v>
      </c>
      <c r="D32" s="47">
        <v>15512</v>
      </c>
      <c r="E32" s="47">
        <v>15690</v>
      </c>
      <c r="F32" s="47">
        <v>15591</v>
      </c>
      <c r="G32" s="47">
        <v>15522</v>
      </c>
      <c r="H32" s="47">
        <v>15465</v>
      </c>
      <c r="I32" s="26">
        <f t="shared" si="2"/>
        <v>15591</v>
      </c>
      <c r="J32" s="27">
        <f t="shared" si="3"/>
        <v>15465</v>
      </c>
      <c r="K32" s="1"/>
    </row>
    <row r="33" ht="15" customHeight="1">
      <c r="A33" s="1"/>
      <c r="B33" s="19" t="s">
        <v>446</v>
      </c>
      <c r="C33" s="47">
        <v>83270</v>
      </c>
      <c r="D33" s="47">
        <v>81905</v>
      </c>
      <c r="E33" s="47">
        <v>80336</v>
      </c>
      <c r="F33" s="47">
        <v>79018</v>
      </c>
      <c r="G33" s="47">
        <v>75940</v>
      </c>
      <c r="H33" s="47">
        <v>75220</v>
      </c>
      <c r="I33" s="26">
        <f t="shared" si="2"/>
        <v>79018</v>
      </c>
      <c r="J33" s="48">
        <f>H33+'Cash Flow Statement'!J32+'Cash Flow Statement'!J33+'Cash Flow Statement'!J31</f>
        <v>75720</v>
      </c>
      <c r="K33" s="1"/>
    </row>
    <row r="34" ht="28.5" customHeight="1">
      <c r="A34" s="1"/>
      <c r="B34" s="24" t="s">
        <v>447</v>
      </c>
      <c r="C34" s="47">
        <v>3967</v>
      </c>
      <c r="D34" s="47">
        <v>3989</v>
      </c>
      <c r="E34" s="47">
        <v>3947</v>
      </c>
      <c r="F34" s="47">
        <v>4025</v>
      </c>
      <c r="G34" s="47">
        <v>3982</v>
      </c>
      <c r="H34" s="47">
        <v>3939</v>
      </c>
      <c r="I34" s="26">
        <f t="shared" si="2"/>
        <v>4025</v>
      </c>
      <c r="J34" s="27">
        <f t="shared" si="3"/>
        <v>3939</v>
      </c>
      <c r="K34" s="1"/>
    </row>
    <row r="35" ht="15" customHeight="1">
      <c r="A35" s="1"/>
      <c r="B35" s="19" t="s">
        <v>448</v>
      </c>
      <c r="C35" s="47">
        <v>5768</v>
      </c>
      <c r="D35" s="47">
        <v>6085</v>
      </c>
      <c r="E35" s="47">
        <v>5985</v>
      </c>
      <c r="F35" s="47">
        <v>4988</v>
      </c>
      <c r="G35" s="47">
        <v>4712</v>
      </c>
      <c r="H35" s="47">
        <v>4541</v>
      </c>
      <c r="I35" s="26">
        <f t="shared" si="2"/>
        <v>4988</v>
      </c>
      <c r="J35" s="48">
        <f>H35+'Cash Flow Statement'!J15+'Cash Flow Statement'!J16</f>
        <v>4351</v>
      </c>
      <c r="K35" s="1"/>
    </row>
    <row r="36" ht="15" customHeight="1">
      <c r="A36" s="1"/>
      <c r="B36" s="19" t="s">
        <v>449</v>
      </c>
      <c r="C36" s="47">
        <v>18453</v>
      </c>
      <c r="D36" s="47">
        <v>19622</v>
      </c>
      <c r="E36" s="47">
        <v>20512</v>
      </c>
      <c r="F36" s="47">
        <v>21151</v>
      </c>
      <c r="G36" s="47">
        <v>21405</v>
      </c>
      <c r="H36" s="47">
        <v>23101</v>
      </c>
      <c r="I36" s="26">
        <f t="shared" si="2"/>
        <v>21151</v>
      </c>
      <c r="J36" s="27">
        <f t="shared" si="3"/>
        <v>23101</v>
      </c>
      <c r="K36" s="1"/>
    </row>
    <row r="37" ht="15" customHeight="1">
      <c r="A37" s="1"/>
      <c r="B37" s="4" t="s">
        <v>450</v>
      </c>
      <c r="C37" s="52">
        <f t="shared" si="8" ref="C37:J37">C32+C33+C34+C35+C36</f>
        <v>124932</v>
      </c>
      <c r="D37" s="52">
        <f t="shared" si="8"/>
        <v>127113</v>
      </c>
      <c r="E37" s="52">
        <f t="shared" si="8"/>
        <v>126470</v>
      </c>
      <c r="F37" s="52">
        <f t="shared" si="8"/>
        <v>124773</v>
      </c>
      <c r="G37" s="52">
        <f t="shared" si="8"/>
        <v>121561</v>
      </c>
      <c r="H37" s="52">
        <f t="shared" si="8"/>
        <v>122266</v>
      </c>
      <c r="I37" s="52">
        <f t="shared" si="8"/>
        <v>124773</v>
      </c>
      <c r="J37" s="53">
        <f t="shared" si="8"/>
        <v>122576</v>
      </c>
      <c r="K37" s="1"/>
    </row>
    <row r="38" ht="15" customHeight="1">
      <c r="A38" s="1"/>
      <c r="B38" s="4" t="s">
        <v>451</v>
      </c>
      <c r="C38" s="52">
        <f t="shared" si="9" ref="C38:J38">C31+C37</f>
        <v>215679</v>
      </c>
      <c r="D38" s="52">
        <f t="shared" si="9"/>
        <v>220925</v>
      </c>
      <c r="E38" s="52">
        <f t="shared" si="9"/>
        <v>219765</v>
      </c>
      <c r="F38" s="52">
        <f t="shared" si="9"/>
        <v>218114</v>
      </c>
      <c r="G38" s="52">
        <f t="shared" si="9"/>
        <v>216281</v>
      </c>
      <c r="H38" s="52">
        <f t="shared" si="9"/>
        <v>219100</v>
      </c>
      <c r="I38" s="52">
        <f t="shared" si="9"/>
        <v>218114</v>
      </c>
      <c r="J38" s="53">
        <f t="shared" si="9"/>
        <v>219410</v>
      </c>
      <c r="K38" s="1"/>
    </row>
    <row r="39" ht="15" customHeight="1">
      <c r="A39" s="1"/>
      <c r="B39" s="16" t="s">
        <v>452</v>
      </c>
      <c r="C39" s="17"/>
      <c r="D39" s="17"/>
      <c r="E39" s="17"/>
      <c r="F39" s="17"/>
      <c r="G39" s="17"/>
      <c r="H39" s="17"/>
      <c r="I39" s="17"/>
      <c r="J39" s="18"/>
      <c r="K39" s="1"/>
    </row>
    <row r="40" ht="15" customHeight="1">
      <c r="A40" s="1"/>
      <c r="B40" s="19" t="s">
        <v>453</v>
      </c>
      <c r="C40" s="47">
        <v>10</v>
      </c>
      <c r="D40" s="47">
        <v>10</v>
      </c>
      <c r="E40" s="47">
        <v>9</v>
      </c>
      <c r="F40" s="47">
        <v>9</v>
      </c>
      <c r="G40" s="47">
        <v>9</v>
      </c>
      <c r="H40" s="47">
        <v>9</v>
      </c>
      <c r="I40" s="26">
        <f t="shared" si="2"/>
        <v>9</v>
      </c>
      <c r="J40" s="27">
        <f t="shared" si="3"/>
        <v>9</v>
      </c>
      <c r="K40" s="1"/>
    </row>
    <row r="41" ht="15" customHeight="1">
      <c r="A41" s="1"/>
      <c r="B41" s="19" t="s">
        <v>454</v>
      </c>
      <c r="C41" s="47">
        <v>20345</v>
      </c>
      <c r="D41" s="47">
        <v>20610</v>
      </c>
      <c r="E41" s="47">
        <v>20295</v>
      </c>
      <c r="F41" s="47">
        <v>19928</v>
      </c>
      <c r="G41" s="47">
        <v>19541</v>
      </c>
      <c r="H41" s="47">
        <v>19185</v>
      </c>
      <c r="I41" s="26">
        <f t="shared" si="2"/>
        <v>19928</v>
      </c>
      <c r="J41" s="27">
        <f t="shared" si="3"/>
        <v>19185</v>
      </c>
      <c r="K41" s="1"/>
    </row>
    <row r="42" ht="15" customHeight="1">
      <c r="A42" s="1"/>
      <c r="B42" s="19" t="s">
        <v>455</v>
      </c>
      <c r="C42" s="47">
        <v>55140</v>
      </c>
      <c r="D42" s="47">
        <v>56675</v>
      </c>
      <c r="E42" s="47">
        <v>56862</v>
      </c>
      <c r="F42" s="47">
        <v>51524</v>
      </c>
      <c r="G42" s="47">
        <v>53386</v>
      </c>
      <c r="H42" s="47">
        <v>52990</v>
      </c>
      <c r="I42" s="26">
        <f t="shared" si="2"/>
        <v>51524</v>
      </c>
      <c r="J42" s="48">
        <f>H42+'Income Statement'!J49+'Cash Flow Statement'!J36+'Cash Flow Statement'!J34</f>
        <v>54447.95266050162</v>
      </c>
      <c r="K42" s="1" t="s">
        <v>456</v>
      </c>
    </row>
    <row r="43" ht="28.5" customHeight="1">
      <c r="A43" s="1"/>
      <c r="B43" s="24" t="s">
        <v>457</v>
      </c>
      <c r="C43" s="47">
        <v>-11122</v>
      </c>
      <c r="D43" s="47">
        <v>-10932</v>
      </c>
      <c r="E43" s="47">
        <v>-10792</v>
      </c>
      <c r="F43" s="47">
        <v>-10343</v>
      </c>
      <c r="G43" s="47">
        <v>-10277</v>
      </c>
      <c r="H43" s="47">
        <v>-10183</v>
      </c>
      <c r="I43" s="26">
        <f t="shared" si="2"/>
        <v>-10343</v>
      </c>
      <c r="J43" s="27">
        <f t="shared" si="3"/>
        <v>-10183</v>
      </c>
      <c r="K43" s="1"/>
    </row>
    <row r="44" ht="15" customHeight="1">
      <c r="A44" s="1"/>
      <c r="B44" s="4" t="s">
        <v>458</v>
      </c>
      <c r="C44" s="52">
        <f t="shared" si="7"/>
        <v>64373</v>
      </c>
      <c r="D44" s="52">
        <f t="shared" si="7"/>
        <v>66363</v>
      </c>
      <c r="E44" s="52">
        <f t="shared" si="7"/>
        <v>66374</v>
      </c>
      <c r="F44" s="52">
        <f t="shared" si="7"/>
        <v>61118</v>
      </c>
      <c r="G44" s="52">
        <f t="shared" si="7"/>
        <v>62659</v>
      </c>
      <c r="H44" s="52">
        <f t="shared" si="7"/>
        <v>62001</v>
      </c>
      <c r="I44" s="52">
        <f t="shared" si="7"/>
        <v>61118</v>
      </c>
      <c r="J44" s="53">
        <f t="shared" si="7"/>
        <v>63458.952660501614</v>
      </c>
      <c r="K44" s="1"/>
    </row>
    <row r="45" ht="28.5" customHeight="1">
      <c r="A45" s="1"/>
      <c r="B45" s="24" t="s">
        <v>459</v>
      </c>
      <c r="C45" s="47">
        <v>2054</v>
      </c>
      <c r="D45" s="47">
        <v>2096</v>
      </c>
      <c r="E45" s="47">
        <v>2028</v>
      </c>
      <c r="F45" s="47">
        <v>2049</v>
      </c>
      <c r="G45" s="47">
        <v>2036</v>
      </c>
      <c r="H45" s="47">
        <v>1641</v>
      </c>
      <c r="I45" s="26">
        <f t="shared" si="2"/>
        <v>2049</v>
      </c>
      <c r="J45" s="48">
        <f>H45-'Income Statement'!J46+'Cash Flow Statement'!J37</f>
        <v>1641</v>
      </c>
      <c r="K45" s="1"/>
    </row>
    <row r="46" ht="15" customHeight="1">
      <c r="A46" s="1"/>
      <c r="B46" s="4" t="s">
        <v>460</v>
      </c>
      <c r="C46" s="52">
        <f t="shared" si="10" ref="C46:J46">C44+C45</f>
        <v>66427</v>
      </c>
      <c r="D46" s="52">
        <f t="shared" si="10"/>
        <v>68459</v>
      </c>
      <c r="E46" s="52">
        <f t="shared" si="10"/>
        <v>68402</v>
      </c>
      <c r="F46" s="52">
        <f t="shared" si="10"/>
        <v>63167</v>
      </c>
      <c r="G46" s="52">
        <f t="shared" si="10"/>
        <v>64695</v>
      </c>
      <c r="H46" s="52">
        <f t="shared" si="10"/>
        <v>63642</v>
      </c>
      <c r="I46" s="52">
        <f t="shared" si="10"/>
        <v>63167</v>
      </c>
      <c r="J46" s="53">
        <f t="shared" si="10"/>
        <v>65099.952660501614</v>
      </c>
      <c r="K46" s="1"/>
    </row>
    <row r="47" ht="15" customHeight="1">
      <c r="A47" s="1"/>
      <c r="B47" s="4" t="s">
        <v>461</v>
      </c>
      <c r="C47" s="52">
        <f t="shared" si="6"/>
        <v>282106</v>
      </c>
      <c r="D47" s="52">
        <f t="shared" si="6"/>
        <v>289384</v>
      </c>
      <c r="E47" s="52">
        <f t="shared" si="6"/>
        <v>288167</v>
      </c>
      <c r="F47" s="52">
        <f t="shared" si="6"/>
        <v>281281</v>
      </c>
      <c r="G47" s="52">
        <f t="shared" si="6"/>
        <v>280976</v>
      </c>
      <c r="H47" s="52">
        <f t="shared" si="6"/>
        <v>282742</v>
      </c>
      <c r="I47" s="52">
        <f t="shared" si="6"/>
        <v>281281</v>
      </c>
      <c r="J47" s="53">
        <f t="shared" si="6"/>
        <v>284509.9526605016</v>
      </c>
      <c r="K47" s="1"/>
    </row>
    <row r="48" ht="54" customHeight="1">
      <c r="A48" s="1"/>
      <c r="B48" s="24" t="s">
        <v>462</v>
      </c>
      <c r="C48" s="26">
        <f t="shared" si="11" ref="C48:J48">_xlfn.IFERROR(IF(ABS(C25-C38-C46)&lt;=5,0,C25-C38-C46),1)</f>
        <v>0</v>
      </c>
      <c r="D48" s="26">
        <f t="shared" si="11"/>
        <v>0</v>
      </c>
      <c r="E48" s="26">
        <f t="shared" si="11"/>
        <v>0</v>
      </c>
      <c r="F48" s="26">
        <f t="shared" si="11"/>
        <v>0</v>
      </c>
      <c r="G48" s="26">
        <f t="shared" si="11"/>
        <v>0</v>
      </c>
      <c r="H48" s="26">
        <f t="shared" si="11"/>
        <v>0</v>
      </c>
      <c r="I48" s="26">
        <f t="shared" si="11"/>
        <v>0</v>
      </c>
      <c r="J48" s="27">
        <f t="shared" si="11"/>
        <v>0</v>
      </c>
      <c r="K48" s="1"/>
    </row>
    <row r="49" ht="15" customHeight="1">
      <c r="A49" s="1"/>
      <c r="B49" s="19" t="s">
        <v>463</v>
      </c>
      <c r="C49" s="47">
        <v>282104</v>
      </c>
      <c r="D49" s="47">
        <v>289384</v>
      </c>
      <c r="E49" s="47">
        <v>288168</v>
      </c>
      <c r="F49" s="47">
        <v>281284</v>
      </c>
      <c r="G49" s="47">
        <v>280974</v>
      </c>
      <c r="H49" s="47">
        <v>282742</v>
      </c>
      <c r="I49" s="26">
        <f t="shared" si="2"/>
        <v>281284</v>
      </c>
      <c r="J49" s="27" t="s">
        <v>41</v>
      </c>
      <c r="K49" s="1"/>
    </row>
    <row r="50" ht="28.5" customHeight="1">
      <c r="A50" s="1"/>
      <c r="B50" s="24" t="s">
        <v>464</v>
      </c>
      <c r="C50" s="26">
        <f t="shared" si="12" ref="C50:I50">_xlfn.IFERROR(IF(ABS(C25-C49)&lt;=2,0,C25-C49),1)</f>
        <v>0</v>
      </c>
      <c r="D50" s="26">
        <f t="shared" si="12"/>
        <v>0</v>
      </c>
      <c r="E50" s="26">
        <f t="shared" si="12"/>
        <v>0</v>
      </c>
      <c r="F50" s="26">
        <f t="shared" si="12"/>
        <v>0</v>
      </c>
      <c r="G50" s="26">
        <f t="shared" si="12"/>
        <v>0</v>
      </c>
      <c r="H50" s="26">
        <f t="shared" si="12"/>
        <v>0</v>
      </c>
      <c r="I50" s="26">
        <f t="shared" si="12"/>
        <v>0</v>
      </c>
      <c r="J50" s="27"/>
      <c r="K50" s="1"/>
    </row>
    <row r="51" ht="15" customHeight="1">
      <c r="A51" s="1"/>
      <c r="B51" s="16" t="s">
        <v>465</v>
      </c>
      <c r="C51" s="17"/>
      <c r="D51" s="17"/>
      <c r="E51" s="17"/>
      <c r="F51" s="17"/>
      <c r="G51" s="17"/>
      <c r="H51" s="17"/>
      <c r="I51" s="17"/>
      <c r="J51" s="18"/>
      <c r="K51" s="1"/>
    </row>
    <row r="52" ht="28.5" customHeight="1">
      <c r="A52" s="1"/>
      <c r="B52" s="24" t="s">
        <v>466</v>
      </c>
      <c r="C52" s="25">
        <f>'Cash Flow Statement'!C42-C10</f>
        <v>3472</v>
      </c>
      <c r="D52" s="25">
        <f>'Cash Flow Statement'!D42-D10</f>
        <v>3419</v>
      </c>
      <c r="E52" s="47">
        <v>3300</v>
      </c>
      <c r="F52" s="47">
        <v>3338</v>
      </c>
      <c r="G52" s="47">
        <v>4262</v>
      </c>
      <c r="H52" s="47">
        <v>3442</v>
      </c>
      <c r="I52" s="26">
        <f t="shared" si="2"/>
        <v>3338</v>
      </c>
      <c r="J52" s="27">
        <f t="shared" si="3"/>
        <v>3442</v>
      </c>
      <c r="K52" s="1" t="s">
        <v>467</v>
      </c>
    </row>
    <row r="53" ht="28.5" customHeight="1">
      <c r="A53" s="1"/>
      <c r="B53" s="44" t="s">
        <v>468</v>
      </c>
      <c r="C53" s="52">
        <f t="shared" si="13" ref="C53:J53">C10+C52</f>
        <v>24042</v>
      </c>
      <c r="D53" s="52">
        <f t="shared" si="13"/>
        <v>25800</v>
      </c>
      <c r="E53" s="52">
        <f t="shared" si="13"/>
        <v>26210</v>
      </c>
      <c r="F53" s="52">
        <f t="shared" si="13"/>
        <v>24283</v>
      </c>
      <c r="G53" s="52">
        <f t="shared" si="13"/>
        <v>24062</v>
      </c>
      <c r="H53" s="52">
        <f t="shared" si="13"/>
        <v>23576</v>
      </c>
      <c r="I53" s="52">
        <f t="shared" si="13"/>
        <v>24283</v>
      </c>
      <c r="J53" s="53">
        <f t="shared" si="13"/>
        <v>22695.972126731536</v>
      </c>
      <c r="K53" s="1"/>
    </row>
    <row r="54" ht="28.5" customHeight="1">
      <c r="A54" s="1"/>
      <c r="B54" s="24" t="s">
        <v>469</v>
      </c>
      <c r="C54" s="26">
        <f t="shared" si="14" ref="C54:J55">C28+C32</f>
        <v>15640</v>
      </c>
      <c r="D54" s="26">
        <f t="shared" si="14"/>
        <v>17199</v>
      </c>
      <c r="E54" s="26">
        <f t="shared" si="14"/>
        <v>16114</v>
      </c>
      <c r="F54" s="26">
        <f t="shared" si="14"/>
        <v>16247</v>
      </c>
      <c r="G54" s="26">
        <f t="shared" si="14"/>
        <v>15928</v>
      </c>
      <c r="H54" s="26">
        <f t="shared" si="14"/>
        <v>15979</v>
      </c>
      <c r="I54" s="26">
        <f t="shared" si="14"/>
        <v>16247</v>
      </c>
      <c r="J54" s="27">
        <f t="shared" si="14"/>
        <v>15979</v>
      </c>
      <c r="K54" s="1"/>
    </row>
    <row r="55" ht="28.5" customHeight="1">
      <c r="A55" s="1"/>
      <c r="B55" s="24" t="s">
        <v>470</v>
      </c>
      <c r="C55" s="26">
        <f t="shared" si="14"/>
        <v>117038</v>
      </c>
      <c r="D55" s="26">
        <f t="shared" si="14"/>
        <v>118532</v>
      </c>
      <c r="E55" s="26">
        <f t="shared" si="14"/>
        <v>116389</v>
      </c>
      <c r="F55" s="26">
        <f t="shared" si="14"/>
        <v>114030</v>
      </c>
      <c r="G55" s="26">
        <f t="shared" si="14"/>
        <v>111828</v>
      </c>
      <c r="H55" s="26">
        <f t="shared" si="14"/>
        <v>111718</v>
      </c>
      <c r="I55" s="26">
        <f t="shared" si="14"/>
        <v>114030</v>
      </c>
      <c r="J55" s="27">
        <f t="shared" si="14"/>
        <v>112218</v>
      </c>
      <c r="K55" s="1"/>
    </row>
    <row r="56" ht="15" customHeight="1">
      <c r="A56" s="1"/>
      <c r="B56" s="16" t="s">
        <v>471</v>
      </c>
      <c r="C56" s="17"/>
      <c r="D56" s="17"/>
      <c r="E56" s="17"/>
      <c r="F56" s="17"/>
      <c r="G56" s="17"/>
      <c r="H56" s="17"/>
      <c r="I56" s="17"/>
      <c r="J56" s="18"/>
      <c r="K56" s="1"/>
    </row>
    <row r="57" ht="15" customHeight="1">
      <c r="A57" s="1"/>
      <c r="B57" s="19" t="s">
        <v>472</v>
      </c>
      <c r="C57" s="75">
        <f t="shared" si="15" ref="C57:J57">_xlfn.IFERROR(C16/C31,"n.a.")</f>
        <v>1.2122274014567975</v>
      </c>
      <c r="D57" s="75">
        <f t="shared" si="15"/>
        <v>1.2182343410224705</v>
      </c>
      <c r="E57" s="75">
        <f t="shared" si="15"/>
        <v>1.2287475213033925</v>
      </c>
      <c r="F57" s="75">
        <f t="shared" si="15"/>
        <v>1.1652757094952915</v>
      </c>
      <c r="G57" s="75">
        <f t="shared" si="15"/>
        <v>1.1520375844594595</v>
      </c>
      <c r="H57" s="75">
        <f t="shared" si="15"/>
        <v>1.136057583080323</v>
      </c>
      <c r="I57" s="75">
        <f t="shared" si="15"/>
        <v>1.1652757094952915</v>
      </c>
      <c r="J57" s="76">
        <f t="shared" si="15"/>
        <v>1.126969578110287</v>
      </c>
      <c r="K57" s="1"/>
    </row>
    <row r="58" ht="15" customHeight="1">
      <c r="A58" s="1"/>
      <c r="B58" s="28" t="s">
        <v>473</v>
      </c>
      <c r="C58" s="77" t="s">
        <v>41</v>
      </c>
      <c r="D58" s="77">
        <f t="shared" si="16" ref="D58:H58">_xlfn.IFERROR(D57-C57,"n.a.")</f>
        <v>0.006006939565672997</v>
      </c>
      <c r="E58" s="77">
        <f t="shared" si="16"/>
        <v>0.010513180280921963</v>
      </c>
      <c r="F58" s="77">
        <f t="shared" si="16"/>
        <v>-0.06347181180810102</v>
      </c>
      <c r="G58" s="77">
        <f t="shared" si="16"/>
        <v>-0.013238125035831994</v>
      </c>
      <c r="H58" s="77">
        <f t="shared" si="16"/>
        <v>-0.015980001379136466</v>
      </c>
      <c r="I58" s="77" t="s">
        <v>41</v>
      </c>
      <c r="J58" s="78">
        <f>_xlfn.IFERROR(J57-H57,"n.a.")</f>
        <v>-0.009088004970035923</v>
      </c>
      <c r="K58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F6BFF708-53F9-A551-B708-27E520DDA99A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</row>
    <row r="3" ht="15" customHeight="1">
      <c r="A3" s="1"/>
      <c r="B3" s="4" t="s">
        <v>474</v>
      </c>
      <c r="C3" s="1"/>
      <c r="D3" s="1"/>
      <c r="E3" s="1"/>
      <c r="F3" s="1"/>
      <c r="G3" s="1"/>
      <c r="H3" s="1"/>
      <c r="I3" s="1"/>
      <c r="J3" s="1"/>
      <c r="K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</row>
    <row r="5" ht="15" customHeight="1">
      <c r="A5" s="1"/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8" t="s">
        <v>12</v>
      </c>
      <c r="K5" s="6" t="s">
        <v>13</v>
      </c>
    </row>
    <row r="6" ht="15" customHeight="1">
      <c r="A6" s="1"/>
      <c r="B6" s="9" t="s">
        <v>14</v>
      </c>
      <c r="C6" s="10">
        <f>DATE(2025,3,31)</f>
        <v>45747</v>
      </c>
      <c r="D6" s="10">
        <f>DATE(2025,6,30)</f>
        <v>45838</v>
      </c>
      <c r="E6" s="10">
        <f>DATE(2025,9,30)</f>
        <v>45930</v>
      </c>
      <c r="F6" s="10">
        <f t="shared" si="0" ref="F6:I6">DATE(2025,12,31)</f>
        <v>46022</v>
      </c>
      <c r="G6" s="10">
        <f>DATE(2026,3,31)</f>
        <v>46112</v>
      </c>
      <c r="H6" s="10">
        <f>DATE(2026,6,30)</f>
        <v>46203</v>
      </c>
      <c r="I6" s="10">
        <f t="shared" si="0"/>
        <v>46022</v>
      </c>
      <c r="J6" s="11">
        <f>DATE(2026,9,30)</f>
        <v>46295</v>
      </c>
      <c r="K6" s="9"/>
    </row>
    <row r="7" ht="15" customHeight="1">
      <c r="A7" s="1"/>
      <c r="B7" s="12" t="s">
        <v>15</v>
      </c>
      <c r="C7" s="13">
        <f t="shared" si="1" ref="C7:J7">C6-EOMONTH(C6,-3)</f>
        <v>90</v>
      </c>
      <c r="D7" s="13">
        <f t="shared" si="1"/>
        <v>91</v>
      </c>
      <c r="E7" s="13">
        <f t="shared" si="1"/>
        <v>92</v>
      </c>
      <c r="F7" s="13">
        <f t="shared" si="1"/>
        <v>92</v>
      </c>
      <c r="G7" s="13">
        <f t="shared" si="1"/>
        <v>90</v>
      </c>
      <c r="H7" s="13">
        <f t="shared" si="1"/>
        <v>91</v>
      </c>
      <c r="I7" s="13">
        <f>I6-EOMONTH(I6,-12)</f>
        <v>365</v>
      </c>
      <c r="J7" s="14">
        <f t="shared" si="1"/>
        <v>92</v>
      </c>
      <c r="K7" s="12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5"/>
      <c r="K8" s="1"/>
    </row>
    <row r="9" ht="15" customHeight="1">
      <c r="A9" s="1"/>
      <c r="B9" s="16" t="s">
        <v>475</v>
      </c>
      <c r="C9" s="17"/>
      <c r="D9" s="17"/>
      <c r="E9" s="17"/>
      <c r="F9" s="17"/>
      <c r="G9" s="17"/>
      <c r="H9" s="17"/>
      <c r="I9" s="17"/>
      <c r="J9" s="18"/>
      <c r="K9" s="1" t="s">
        <v>476</v>
      </c>
    </row>
    <row r="10" ht="15" customHeight="1">
      <c r="A10" s="1"/>
      <c r="B10" s="19" t="s">
        <v>324</v>
      </c>
      <c r="C10" s="26">
        <f t="shared" si="3" ref="C10:G18">C66</f>
        <v>2853</v>
      </c>
      <c r="D10" s="26">
        <f t="shared" si="2" ref="D10:H18">D66-C66</f>
        <v>1894</v>
      </c>
      <c r="E10" s="26">
        <f t="shared" si="2"/>
        <v>1293</v>
      </c>
      <c r="F10" s="26">
        <f t="shared" si="2"/>
        <v>-3260</v>
      </c>
      <c r="G10" s="26">
        <f t="shared" si="3"/>
        <v>2705</v>
      </c>
      <c r="H10" s="26">
        <f t="shared" si="2"/>
        <v>1353</v>
      </c>
      <c r="I10" s="26">
        <f t="shared" si="4" ref="I10:I18">F66</f>
        <v>2780</v>
      </c>
      <c r="J10" s="48">
        <f>'Income Statement'!J45</f>
        <v>3159.343168650854</v>
      </c>
      <c r="K10" s="1"/>
    </row>
    <row r="11" ht="41.25" customHeight="1">
      <c r="A11" s="1"/>
      <c r="B11" s="24" t="s">
        <v>477</v>
      </c>
      <c r="C11" s="26">
        <f t="shared" si="3"/>
        <v>1203</v>
      </c>
      <c r="D11" s="26">
        <f t="shared" si="2"/>
        <v>1235</v>
      </c>
      <c r="E11" s="26">
        <f t="shared" si="2"/>
        <v>1237</v>
      </c>
      <c r="F11" s="26">
        <f t="shared" si="2"/>
        <v>1267</v>
      </c>
      <c r="G11" s="26">
        <f t="shared" si="3"/>
        <v>1331</v>
      </c>
      <c r="H11" s="26">
        <f t="shared" si="2"/>
        <v>1316</v>
      </c>
      <c r="I11" s="26">
        <f t="shared" si="4"/>
        <v>4942</v>
      </c>
      <c r="J11" s="49">
        <v>1320</v>
      </c>
      <c r="K11" s="1"/>
    </row>
    <row r="12" ht="28.5" customHeight="1">
      <c r="A12" s="1"/>
      <c r="B12" s="24" t="s">
        <v>478</v>
      </c>
      <c r="C12" s="26">
        <f t="shared" si="3"/>
        <v>1731</v>
      </c>
      <c r="D12" s="26">
        <f t="shared" si="2"/>
        <v>1806</v>
      </c>
      <c r="E12" s="26">
        <f t="shared" si="2"/>
        <v>2875</v>
      </c>
      <c r="F12" s="26">
        <f t="shared" si="2"/>
        <v>3234</v>
      </c>
      <c r="G12" s="26">
        <f t="shared" si="3"/>
        <v>1699</v>
      </c>
      <c r="H12" s="26">
        <f t="shared" si="2"/>
        <v>1787</v>
      </c>
      <c r="I12" s="26">
        <f t="shared" si="4"/>
        <v>9646</v>
      </c>
      <c r="J12" s="49">
        <v>1790</v>
      </c>
      <c r="K12" s="1"/>
    </row>
    <row r="13" ht="28.5" customHeight="1">
      <c r="A13" s="1"/>
      <c r="B13" s="24" t="s">
        <v>479</v>
      </c>
      <c r="C13" s="26">
        <f t="shared" si="3"/>
        <v>152</v>
      </c>
      <c r="D13" s="26">
        <f t="shared" si="2"/>
        <v>110</v>
      </c>
      <c r="E13" s="26">
        <f t="shared" si="2"/>
        <v>23</v>
      </c>
      <c r="F13" s="26">
        <f t="shared" si="2"/>
        <v>78</v>
      </c>
      <c r="G13" s="26">
        <f t="shared" si="3"/>
        <v>-64</v>
      </c>
      <c r="H13" s="26">
        <f t="shared" si="2"/>
        <v>94</v>
      </c>
      <c r="I13" s="26">
        <f t="shared" si="4"/>
        <v>363</v>
      </c>
      <c r="J13" s="49">
        <v>0</v>
      </c>
      <c r="K13" s="1" t="s">
        <v>480</v>
      </c>
    </row>
    <row r="14" ht="28.5" customHeight="1">
      <c r="A14" s="1"/>
      <c r="B14" s="24" t="s">
        <v>481</v>
      </c>
      <c r="C14" s="26">
        <f t="shared" si="3"/>
        <v>485</v>
      </c>
      <c r="D14" s="26">
        <f t="shared" si="2"/>
        <v>98</v>
      </c>
      <c r="E14" s="26">
        <f t="shared" si="2"/>
        <v>-187</v>
      </c>
      <c r="F14" s="26">
        <f t="shared" si="2"/>
        <v>1389</v>
      </c>
      <c r="G14" s="26">
        <f t="shared" si="3"/>
        <v>-266</v>
      </c>
      <c r="H14" s="26">
        <f t="shared" si="2"/>
        <v>359</v>
      </c>
      <c r="I14" s="26">
        <f t="shared" si="4"/>
        <v>1785</v>
      </c>
      <c r="J14" s="49">
        <v>0</v>
      </c>
      <c r="K14" s="1" t="s">
        <v>480</v>
      </c>
    </row>
    <row r="15" ht="28.5" customHeight="1">
      <c r="A15" s="1"/>
      <c r="B15" s="24" t="s">
        <v>482</v>
      </c>
      <c r="C15" s="26">
        <f t="shared" si="3"/>
        <v>-195</v>
      </c>
      <c r="D15" s="26">
        <f t="shared" si="2"/>
        <v>-114</v>
      </c>
      <c r="E15" s="26">
        <f t="shared" si="2"/>
        <v>-124</v>
      </c>
      <c r="F15" s="26">
        <f t="shared" si="2"/>
        <v>-106</v>
      </c>
      <c r="G15" s="26">
        <f t="shared" si="3"/>
        <v>-231</v>
      </c>
      <c r="H15" s="26">
        <f t="shared" si="2"/>
        <v>-201</v>
      </c>
      <c r="I15" s="26">
        <f t="shared" si="4"/>
        <v>-539</v>
      </c>
      <c r="J15" s="49">
        <v>-200</v>
      </c>
      <c r="K15" s="1"/>
    </row>
    <row r="16" ht="28.5" customHeight="1">
      <c r="A16" s="1"/>
      <c r="B16" s="24" t="s">
        <v>483</v>
      </c>
      <c r="C16" s="26">
        <f t="shared" si="3"/>
        <v>0</v>
      </c>
      <c r="D16" s="26">
        <f t="shared" si="2"/>
        <v>32</v>
      </c>
      <c r="E16" s="26">
        <f t="shared" si="2"/>
        <v>-9</v>
      </c>
      <c r="F16" s="26">
        <f t="shared" si="2"/>
        <v>6</v>
      </c>
      <c r="G16" s="26">
        <f t="shared" si="3"/>
        <v>11</v>
      </c>
      <c r="H16" s="26">
        <f t="shared" si="2"/>
        <v>11</v>
      </c>
      <c r="I16" s="26">
        <f t="shared" si="4"/>
        <v>29</v>
      </c>
      <c r="J16" s="49">
        <v>10</v>
      </c>
      <c r="K16" s="1"/>
    </row>
    <row r="17" ht="28.5" customHeight="1">
      <c r="A17" s="1"/>
      <c r="B17" s="24" t="s">
        <v>484</v>
      </c>
      <c r="C17" s="26">
        <f t="shared" si="3"/>
        <v>143</v>
      </c>
      <c r="D17" s="26">
        <f t="shared" si="2"/>
        <v>62</v>
      </c>
      <c r="E17" s="26">
        <f t="shared" si="2"/>
        <v>-78</v>
      </c>
      <c r="F17" s="26">
        <f t="shared" si="2"/>
        <v>-1376</v>
      </c>
      <c r="G17" s="26">
        <f t="shared" si="3"/>
        <v>222</v>
      </c>
      <c r="H17" s="26">
        <f t="shared" si="2"/>
        <v>67</v>
      </c>
      <c r="I17" s="26">
        <f t="shared" si="4"/>
        <v>-1249</v>
      </c>
      <c r="J17" s="49">
        <v>0</v>
      </c>
      <c r="K17" s="1" t="s">
        <v>480</v>
      </c>
    </row>
    <row r="18" ht="28.5" customHeight="1">
      <c r="A18" s="1"/>
      <c r="B18" s="24" t="s">
        <v>485</v>
      </c>
      <c r="C18" s="26">
        <f t="shared" si="3"/>
        <v>-311</v>
      </c>
      <c r="D18" s="26">
        <f t="shared" si="2"/>
        <v>1784</v>
      </c>
      <c r="E18" s="26">
        <f t="shared" si="2"/>
        <v>2075</v>
      </c>
      <c r="F18" s="26">
        <f t="shared" si="2"/>
        <v>5562</v>
      </c>
      <c r="G18" s="26">
        <f t="shared" si="3"/>
        <v>-2456</v>
      </c>
      <c r="H18" s="26">
        <f t="shared" si="2"/>
        <v>1565</v>
      </c>
      <c r="I18" s="26">
        <f t="shared" si="4"/>
        <v>9110</v>
      </c>
      <c r="J18" s="49">
        <v>0</v>
      </c>
      <c r="K18" s="1" t="s">
        <v>486</v>
      </c>
    </row>
    <row r="19" ht="28.5" customHeight="1">
      <c r="A19" s="1"/>
      <c r="B19" s="55" t="s">
        <v>487</v>
      </c>
      <c r="C19" s="52">
        <f t="shared" si="5" ref="C19:J30">C10+C11+C12+C13+C14+C15+C16+C17+C18</f>
        <v>6061</v>
      </c>
      <c r="D19" s="52">
        <f t="shared" si="5"/>
        <v>6907</v>
      </c>
      <c r="E19" s="52">
        <f t="shared" si="5"/>
        <v>7105</v>
      </c>
      <c r="F19" s="52">
        <f t="shared" si="5"/>
        <v>6794</v>
      </c>
      <c r="G19" s="52">
        <f t="shared" si="5"/>
        <v>2951</v>
      </c>
      <c r="H19" s="52">
        <f t="shared" si="5"/>
        <v>6351</v>
      </c>
      <c r="I19" s="52">
        <f t="shared" si="5"/>
        <v>26867</v>
      </c>
      <c r="J19" s="53">
        <f t="shared" si="5"/>
        <v>6079.343168650854</v>
      </c>
      <c r="K19" s="1" t="s">
        <v>488</v>
      </c>
    </row>
    <row r="20" ht="15" customHeight="1">
      <c r="A20" s="1"/>
      <c r="B20" s="28" t="s">
        <v>80</v>
      </c>
      <c r="C20" s="29" t="s">
        <v>41</v>
      </c>
      <c r="D20" s="29" t="s">
        <v>41</v>
      </c>
      <c r="E20" s="29" t="s">
        <v>41</v>
      </c>
      <c r="F20" s="29" t="s">
        <v>41</v>
      </c>
      <c r="G20" s="29">
        <f t="shared" si="6" ref="G20:H60">_xlfn.IFERROR(G19/C19-1,"n.a.")</f>
        <v>-0.5131166474179178</v>
      </c>
      <c r="H20" s="29">
        <f t="shared" si="6"/>
        <v>-0.08049804546112638</v>
      </c>
      <c r="I20" s="29" t="s">
        <v>41</v>
      </c>
      <c r="J20" s="30">
        <f t="shared" si="21" ref="J20:J60">_xlfn.IFERROR(J19/E19-1,"n.a.")</f>
        <v>-0.14435704874724087</v>
      </c>
      <c r="K20" s="1"/>
    </row>
    <row r="21" ht="15" customHeight="1">
      <c r="A21" s="1"/>
      <c r="B21" s="19" t="s">
        <v>489</v>
      </c>
      <c r="C21" s="26">
        <f t="shared" si="8" ref="C21:G29">C75</f>
        <v>-1816</v>
      </c>
      <c r="D21" s="26">
        <f t="shared" si="7" ref="D21:H29">D75-C75</f>
        <v>-2137</v>
      </c>
      <c r="E21" s="26">
        <f t="shared" si="7"/>
        <v>-2130</v>
      </c>
      <c r="F21" s="26">
        <f t="shared" si="7"/>
        <v>-3220</v>
      </c>
      <c r="G21" s="26">
        <f t="shared" si="8"/>
        <v>-1512</v>
      </c>
      <c r="H21" s="26">
        <f t="shared" si="7"/>
        <v>-1942</v>
      </c>
      <c r="I21" s="26">
        <f t="shared" si="9" ref="I21:I29">F75</f>
        <v>-9303</v>
      </c>
      <c r="J21" s="49">
        <v>-3000</v>
      </c>
      <c r="K21" s="1"/>
    </row>
    <row r="22" ht="28.5" customHeight="1">
      <c r="A22" s="1"/>
      <c r="B22" s="24" t="s">
        <v>490</v>
      </c>
      <c r="C22" s="26">
        <f t="shared" si="8"/>
        <v>-645</v>
      </c>
      <c r="D22" s="26">
        <f t="shared" si="7"/>
        <v>-603</v>
      </c>
      <c r="E22" s="26">
        <f t="shared" si="7"/>
        <v>-537</v>
      </c>
      <c r="F22" s="26">
        <f t="shared" si="7"/>
        <v>-554</v>
      </c>
      <c r="G22" s="26">
        <f t="shared" si="8"/>
        <v>-734</v>
      </c>
      <c r="H22" s="26">
        <f t="shared" si="7"/>
        <v>-777</v>
      </c>
      <c r="I22" s="26">
        <f t="shared" si="9"/>
        <v>-2339</v>
      </c>
      <c r="J22" s="49">
        <v>0</v>
      </c>
      <c r="K22" s="1"/>
    </row>
    <row r="23" ht="28.5" customHeight="1">
      <c r="A23" s="1"/>
      <c r="B23" s="24" t="s">
        <v>491</v>
      </c>
      <c r="C23" s="26">
        <f t="shared" si="8"/>
        <v>1065</v>
      </c>
      <c r="D23" s="26">
        <f t="shared" si="7"/>
        <v>654</v>
      </c>
      <c r="E23" s="26">
        <f t="shared" si="7"/>
        <v>679</v>
      </c>
      <c r="F23" s="26">
        <f t="shared" si="7"/>
        <v>614</v>
      </c>
      <c r="G23" s="26">
        <f t="shared" si="8"/>
        <v>2845</v>
      </c>
      <c r="H23" s="26">
        <f t="shared" si="7"/>
        <v>799</v>
      </c>
      <c r="I23" s="26">
        <f t="shared" si="9"/>
        <v>3012</v>
      </c>
      <c r="J23" s="49">
        <v>0</v>
      </c>
      <c r="K23" s="1"/>
    </row>
    <row r="24" ht="28.5" customHeight="1">
      <c r="A24" s="1"/>
      <c r="B24" s="24" t="s">
        <v>492</v>
      </c>
      <c r="C24" s="26">
        <f t="shared" si="8"/>
        <v>-10058</v>
      </c>
      <c r="D24" s="26">
        <f t="shared" si="7"/>
        <v>-9217</v>
      </c>
      <c r="E24" s="26">
        <f t="shared" si="7"/>
        <v>-8976</v>
      </c>
      <c r="F24" s="26">
        <f t="shared" si="7"/>
        <v>-8494</v>
      </c>
      <c r="G24" s="26">
        <f t="shared" si="8"/>
        <v>-8407</v>
      </c>
      <c r="H24" s="26">
        <f t="shared" si="7"/>
        <v>-10329</v>
      </c>
      <c r="I24" s="26">
        <f t="shared" si="9"/>
        <v>-36745</v>
      </c>
      <c r="J24" s="48">
        <f>-'Segment - GM Financial'!J11</f>
        <v>-9800</v>
      </c>
      <c r="K24" s="1"/>
    </row>
    <row r="25" ht="41.25" customHeight="1">
      <c r="A25" s="1"/>
      <c r="B25" s="24" t="s">
        <v>493</v>
      </c>
      <c r="C25" s="26">
        <f t="shared" si="8"/>
        <v>8956</v>
      </c>
      <c r="D25" s="26">
        <f t="shared" si="7"/>
        <v>8330</v>
      </c>
      <c r="E25" s="26">
        <f t="shared" si="7"/>
        <v>9238</v>
      </c>
      <c r="F25" s="26">
        <f t="shared" si="7"/>
        <v>8585</v>
      </c>
      <c r="G25" s="26">
        <f t="shared" si="8"/>
        <v>9100</v>
      </c>
      <c r="H25" s="26">
        <f t="shared" si="7"/>
        <v>8613</v>
      </c>
      <c r="I25" s="26">
        <f t="shared" si="9"/>
        <v>35109</v>
      </c>
      <c r="J25" s="48">
        <f>-'Segment - GM Financial'!J14-'Segment - GM Financial'!J24</f>
        <v>8033.781942237592</v>
      </c>
      <c r="K25" s="1"/>
    </row>
    <row r="26" ht="28.5" customHeight="1">
      <c r="A26" s="1"/>
      <c r="B26" s="24" t="s">
        <v>494</v>
      </c>
      <c r="C26" s="26">
        <f t="shared" si="8"/>
        <v>0</v>
      </c>
      <c r="D26" s="26">
        <f t="shared" si="7"/>
        <v>0</v>
      </c>
      <c r="E26" s="26">
        <f t="shared" si="7"/>
        <v>2005</v>
      </c>
      <c r="F26" s="26">
        <f t="shared" si="7"/>
        <v>0</v>
      </c>
      <c r="G26" s="26">
        <f t="shared" si="8"/>
        <v>0</v>
      </c>
      <c r="H26" s="26">
        <f t="shared" si="7"/>
        <v>0</v>
      </c>
      <c r="I26" s="26">
        <f t="shared" si="9"/>
        <v>2005</v>
      </c>
      <c r="J26" s="49">
        <v>0</v>
      </c>
      <c r="K26" s="1"/>
    </row>
    <row r="27" ht="15" customHeight="1">
      <c r="A27" s="1"/>
      <c r="B27" s="19" t="s">
        <v>495</v>
      </c>
      <c r="C27" s="26">
        <f t="shared" si="8"/>
        <v>-4212</v>
      </c>
      <c r="D27" s="26">
        <f t="shared" si="7"/>
        <v>-4379</v>
      </c>
      <c r="E27" s="26">
        <f t="shared" si="7"/>
        <v>-4018</v>
      </c>
      <c r="F27" s="26">
        <f t="shared" si="7"/>
        <v>-3184</v>
      </c>
      <c r="G27" s="26">
        <f t="shared" si="8"/>
        <v>-3274</v>
      </c>
      <c r="H27" s="26">
        <f t="shared" si="7"/>
        <v>-3317</v>
      </c>
      <c r="I27" s="26">
        <f t="shared" si="9"/>
        <v>-15793</v>
      </c>
      <c r="J27" s="48">
        <f>-'Segment - GM Financial'!J31</f>
        <v>-4200</v>
      </c>
      <c r="K27" s="1"/>
    </row>
    <row r="28" ht="28.5" customHeight="1">
      <c r="A28" s="1"/>
      <c r="B28" s="24" t="s">
        <v>496</v>
      </c>
      <c r="C28" s="26">
        <f t="shared" si="8"/>
        <v>2529</v>
      </c>
      <c r="D28" s="26">
        <f t="shared" si="7"/>
        <v>2797</v>
      </c>
      <c r="E28" s="26">
        <f t="shared" si="7"/>
        <v>2454</v>
      </c>
      <c r="F28" s="26">
        <f t="shared" si="7"/>
        <v>2315</v>
      </c>
      <c r="G28" s="26">
        <f t="shared" si="8"/>
        <v>2520</v>
      </c>
      <c r="H28" s="26">
        <f t="shared" si="7"/>
        <v>3029</v>
      </c>
      <c r="I28" s="26">
        <f t="shared" si="9"/>
        <v>10095</v>
      </c>
      <c r="J28" s="48">
        <f>-'Segment - GM Financial'!J34-J11</f>
        <v>3208.237523992322</v>
      </c>
      <c r="K28" s="1"/>
    </row>
    <row r="29" ht="15" customHeight="1">
      <c r="A29" s="1"/>
      <c r="B29" s="19" t="s">
        <v>497</v>
      </c>
      <c r="C29" s="26">
        <f t="shared" si="8"/>
        <v>-310</v>
      </c>
      <c r="D29" s="26">
        <f t="shared" si="7"/>
        <v>-2112</v>
      </c>
      <c r="E29" s="26">
        <f t="shared" si="7"/>
        <v>-29</v>
      </c>
      <c r="F29" s="26">
        <f t="shared" si="7"/>
        <v>276</v>
      </c>
      <c r="G29" s="26">
        <f t="shared" si="8"/>
        <v>94</v>
      </c>
      <c r="H29" s="26">
        <f t="shared" si="7"/>
        <v>-191</v>
      </c>
      <c r="I29" s="26">
        <f t="shared" si="9"/>
        <v>-2175</v>
      </c>
      <c r="J29" s="49">
        <v>0</v>
      </c>
      <c r="K29" s="1"/>
    </row>
    <row r="30" ht="28.5" customHeight="1">
      <c r="A30" s="1"/>
      <c r="B30" s="55" t="s">
        <v>498</v>
      </c>
      <c r="C30" s="52">
        <f t="shared" si="5"/>
        <v>-4491</v>
      </c>
      <c r="D30" s="52">
        <f t="shared" si="5"/>
        <v>-6667</v>
      </c>
      <c r="E30" s="52">
        <f t="shared" si="5"/>
        <v>-1314</v>
      </c>
      <c r="F30" s="52">
        <f t="shared" si="5"/>
        <v>-3662</v>
      </c>
      <c r="G30" s="52">
        <f t="shared" si="5"/>
        <v>632</v>
      </c>
      <c r="H30" s="52">
        <f t="shared" si="5"/>
        <v>-4115</v>
      </c>
      <c r="I30" s="52">
        <f t="shared" si="5"/>
        <v>-16134</v>
      </c>
      <c r="J30" s="53">
        <f t="shared" si="5"/>
        <v>-5757.9805337700855</v>
      </c>
      <c r="K30" s="1"/>
    </row>
    <row r="31" ht="28.5" customHeight="1">
      <c r="A31" s="1"/>
      <c r="B31" s="24" t="s">
        <v>499</v>
      </c>
      <c r="C31" s="26">
        <f t="shared" si="11" ref="C31:G37">C84</f>
        <v>170</v>
      </c>
      <c r="D31" s="26">
        <f t="shared" si="10" ref="D31:H37">D84-C84</f>
        <v>-141</v>
      </c>
      <c r="E31" s="26">
        <f t="shared" si="10"/>
        <v>-16</v>
      </c>
      <c r="F31" s="26">
        <f t="shared" si="10"/>
        <v>-325</v>
      </c>
      <c r="G31" s="26">
        <f t="shared" si="11"/>
        <v>92</v>
      </c>
      <c r="H31" s="26">
        <f t="shared" si="10"/>
        <v>-108</v>
      </c>
      <c r="I31" s="26">
        <f t="shared" si="12" ref="I31:I37">F84</f>
        <v>-312</v>
      </c>
      <c r="J31" s="49">
        <v>0</v>
      </c>
      <c r="K31" s="1"/>
    </row>
    <row r="32" ht="28.5" customHeight="1">
      <c r="A32" s="1"/>
      <c r="B32" s="24" t="s">
        <v>500</v>
      </c>
      <c r="C32" s="26">
        <f t="shared" si="11"/>
        <v>16897</v>
      </c>
      <c r="D32" s="26">
        <f t="shared" si="10"/>
        <v>13771</v>
      </c>
      <c r="E32" s="26">
        <f t="shared" si="10"/>
        <v>6454</v>
      </c>
      <c r="F32" s="26">
        <f t="shared" si="10"/>
        <v>6069</v>
      </c>
      <c r="G32" s="26">
        <f t="shared" si="11"/>
        <v>8376</v>
      </c>
      <c r="H32" s="26">
        <f t="shared" si="10"/>
        <v>14974</v>
      </c>
      <c r="I32" s="26">
        <f t="shared" si="12"/>
        <v>43191</v>
      </c>
      <c r="J32" s="49">
        <v>11000</v>
      </c>
      <c r="K32" s="1"/>
    </row>
    <row r="33" ht="15" customHeight="1">
      <c r="A33" s="1"/>
      <c r="B33" s="19" t="s">
        <v>501</v>
      </c>
      <c r="C33" s="26">
        <f t="shared" si="11"/>
        <v>-15216</v>
      </c>
      <c r="D33" s="26">
        <f t="shared" si="10"/>
        <v>-12100</v>
      </c>
      <c r="E33" s="26">
        <f t="shared" si="10"/>
        <v>-10075</v>
      </c>
      <c r="F33" s="26">
        <f t="shared" si="10"/>
        <v>-8200</v>
      </c>
      <c r="G33" s="26">
        <f t="shared" si="11"/>
        <v>-10813</v>
      </c>
      <c r="H33" s="26">
        <f t="shared" si="10"/>
        <v>-14883</v>
      </c>
      <c r="I33" s="26">
        <f t="shared" si="12"/>
        <v>-45591</v>
      </c>
      <c r="J33" s="49">
        <v>-10500</v>
      </c>
      <c r="K33" s="1"/>
    </row>
    <row r="34" ht="28.5" customHeight="1">
      <c r="A34" s="1"/>
      <c r="B34" s="24" t="s">
        <v>502</v>
      </c>
      <c r="C34" s="26">
        <f t="shared" si="11"/>
        <v>-2012</v>
      </c>
      <c r="D34" s="26">
        <f t="shared" si="10"/>
        <v>0</v>
      </c>
      <c r="E34" s="26">
        <f t="shared" si="10"/>
        <v>-1500</v>
      </c>
      <c r="F34" s="26">
        <f t="shared" si="10"/>
        <v>-2500</v>
      </c>
      <c r="G34" s="26">
        <f t="shared" si="11"/>
        <v>-800</v>
      </c>
      <c r="H34" s="26">
        <f t="shared" si="10"/>
        <v>-2000</v>
      </c>
      <c r="I34" s="26">
        <f t="shared" si="12"/>
        <v>-6012</v>
      </c>
      <c r="J34" s="48">
        <f>-'Share Count'!J23</f>
        <v>-1500</v>
      </c>
      <c r="K34" s="1"/>
    </row>
    <row r="35" ht="28.5" customHeight="1">
      <c r="A35" s="1"/>
      <c r="B35" s="24" t="s">
        <v>503</v>
      </c>
      <c r="C35" s="26">
        <f t="shared" si="11"/>
        <v>-29</v>
      </c>
      <c r="D35" s="26">
        <f t="shared" si="10"/>
        <v>0</v>
      </c>
      <c r="E35" s="26">
        <f t="shared" si="10"/>
        <v>0</v>
      </c>
      <c r="F35" s="26">
        <f t="shared" si="10"/>
        <v>0</v>
      </c>
      <c r="G35" s="26">
        <f t="shared" si="11"/>
        <v>0</v>
      </c>
      <c r="H35" s="26">
        <f t="shared" si="10"/>
        <v>0</v>
      </c>
      <c r="I35" s="26">
        <f t="shared" si="12"/>
        <v>-29</v>
      </c>
      <c r="J35" s="49">
        <v>0</v>
      </c>
      <c r="K35" s="1"/>
    </row>
    <row r="36" ht="15" customHeight="1">
      <c r="A36" s="1"/>
      <c r="B36" s="19" t="s">
        <v>504</v>
      </c>
      <c r="C36" s="26">
        <f t="shared" si="11"/>
        <v>-175</v>
      </c>
      <c r="D36" s="26">
        <f t="shared" si="10"/>
        <v>-144</v>
      </c>
      <c r="E36" s="26">
        <f t="shared" si="10"/>
        <v>-200</v>
      </c>
      <c r="F36" s="26">
        <f t="shared" si="10"/>
        <v>-138</v>
      </c>
      <c r="G36" s="26">
        <f t="shared" si="11"/>
        <v>-223</v>
      </c>
      <c r="H36" s="26">
        <f t="shared" si="10"/>
        <v>-608</v>
      </c>
      <c r="I36" s="26">
        <f t="shared" si="12"/>
        <v>-657</v>
      </c>
      <c r="J36" s="48">
        <f>-'Share Count'!J39*'Share Count'!J10</f>
        <v>-156.39050814923075</v>
      </c>
      <c r="K36" s="1"/>
    </row>
    <row r="37" ht="15" customHeight="1">
      <c r="A37" s="1"/>
      <c r="B37" s="19" t="s">
        <v>505</v>
      </c>
      <c r="C37" s="26">
        <f t="shared" si="11"/>
        <v>-178</v>
      </c>
      <c r="D37" s="26">
        <f t="shared" si="10"/>
        <v>-144</v>
      </c>
      <c r="E37" s="26">
        <f t="shared" si="10"/>
        <v>48</v>
      </c>
      <c r="F37" s="26">
        <f t="shared" si="10"/>
        <v>94</v>
      </c>
      <c r="G37" s="26">
        <f t="shared" si="11"/>
        <v>-321</v>
      </c>
      <c r="H37" s="26">
        <f t="shared" si="10"/>
        <v>-131</v>
      </c>
      <c r="I37" s="26">
        <f t="shared" si="12"/>
        <v>-180</v>
      </c>
      <c r="J37" s="48">
        <f>'Income Statement'!J46</f>
        <v>-45</v>
      </c>
      <c r="K37" s="1"/>
    </row>
    <row r="38" ht="28.5" customHeight="1">
      <c r="A38" s="1"/>
      <c r="B38" s="55" t="s">
        <v>506</v>
      </c>
      <c r="C38" s="52">
        <f t="shared" si="13" ref="C38:J58">C31+C32+C33+C34+C35+C36+C37</f>
        <v>-543</v>
      </c>
      <c r="D38" s="52">
        <f t="shared" si="13"/>
        <v>1242</v>
      </c>
      <c r="E38" s="52">
        <f t="shared" si="13"/>
        <v>-5289</v>
      </c>
      <c r="F38" s="52">
        <f t="shared" si="13"/>
        <v>-5000</v>
      </c>
      <c r="G38" s="52">
        <f t="shared" si="13"/>
        <v>-3689</v>
      </c>
      <c r="H38" s="52">
        <f t="shared" si="13"/>
        <v>-2756</v>
      </c>
      <c r="I38" s="52">
        <f t="shared" si="13"/>
        <v>-9590</v>
      </c>
      <c r="J38" s="53">
        <f t="shared" si="13"/>
        <v>-1201.3905081492308</v>
      </c>
      <c r="K38" s="1"/>
    </row>
    <row r="39" ht="28.5" customHeight="1">
      <c r="A39" s="1"/>
      <c r="B39" s="24" t="s">
        <v>507</v>
      </c>
      <c r="C39" s="26">
        <f t="shared" si="15" ref="C39:G39">C91</f>
        <v>51</v>
      </c>
      <c r="D39" s="26">
        <f t="shared" si="14" ref="D39:H39">D91-C91</f>
        <v>276</v>
      </c>
      <c r="E39" s="26">
        <f t="shared" si="14"/>
        <v>-90</v>
      </c>
      <c r="F39" s="26">
        <f t="shared" si="14"/>
        <v>-60</v>
      </c>
      <c r="G39" s="26">
        <f t="shared" si="15"/>
        <v>-113</v>
      </c>
      <c r="H39" s="26">
        <f t="shared" si="14"/>
        <v>30</v>
      </c>
      <c r="I39" s="26">
        <f>F91</f>
        <v>177</v>
      </c>
      <c r="J39" s="49">
        <v>0</v>
      </c>
      <c r="K39" s="1"/>
    </row>
    <row r="40" ht="41.25" customHeight="1">
      <c r="A40" s="1"/>
      <c r="B40" s="55" t="s">
        <v>508</v>
      </c>
      <c r="C40" s="52">
        <f t="shared" si="16" ref="C40:J40">C19+C30+C38+C39</f>
        <v>1078</v>
      </c>
      <c r="D40" s="52">
        <f t="shared" si="16"/>
        <v>1758</v>
      </c>
      <c r="E40" s="52">
        <f t="shared" si="16"/>
        <v>412</v>
      </c>
      <c r="F40" s="52">
        <f t="shared" si="16"/>
        <v>-1928</v>
      </c>
      <c r="G40" s="52">
        <f t="shared" si="16"/>
        <v>-219</v>
      </c>
      <c r="H40" s="52">
        <f t="shared" si="16"/>
        <v>-490</v>
      </c>
      <c r="I40" s="52">
        <f t="shared" si="16"/>
        <v>1320</v>
      </c>
      <c r="J40" s="53">
        <f t="shared" si="16"/>
        <v>-880.0278732684624</v>
      </c>
      <c r="K40" s="1"/>
    </row>
    <row r="41" ht="28.5" customHeight="1">
      <c r="A41" s="1"/>
      <c r="B41" s="24" t="s">
        <v>509</v>
      </c>
      <c r="C41" s="26">
        <f>C92</f>
        <v>22964</v>
      </c>
      <c r="D41" s="26">
        <f t="shared" si="17" ref="D41:H41">C42</f>
        <v>24042</v>
      </c>
      <c r="E41" s="26">
        <f t="shared" si="17"/>
        <v>25800</v>
      </c>
      <c r="F41" s="26">
        <f t="shared" si="17"/>
        <v>26212</v>
      </c>
      <c r="G41" s="26">
        <f t="shared" si="17"/>
        <v>24284</v>
      </c>
      <c r="H41" s="26">
        <f t="shared" si="17"/>
        <v>24065</v>
      </c>
      <c r="I41" s="26">
        <f>F92</f>
        <v>22964</v>
      </c>
      <c r="J41" s="27">
        <f>H42</f>
        <v>23575</v>
      </c>
      <c r="K41" s="1"/>
    </row>
    <row r="42" ht="28.5" customHeight="1">
      <c r="A42" s="1"/>
      <c r="B42" s="55" t="s">
        <v>510</v>
      </c>
      <c r="C42" s="52">
        <f t="shared" si="18" ref="C42:J42">C41+C40</f>
        <v>24042</v>
      </c>
      <c r="D42" s="52">
        <f t="shared" si="18"/>
        <v>25800</v>
      </c>
      <c r="E42" s="52">
        <f t="shared" si="18"/>
        <v>26212</v>
      </c>
      <c r="F42" s="52">
        <f t="shared" si="18"/>
        <v>24284</v>
      </c>
      <c r="G42" s="52">
        <f t="shared" si="18"/>
        <v>24065</v>
      </c>
      <c r="H42" s="52">
        <f t="shared" si="18"/>
        <v>23575</v>
      </c>
      <c r="I42" s="52">
        <f t="shared" si="18"/>
        <v>24284</v>
      </c>
      <c r="J42" s="53">
        <f t="shared" si="18"/>
        <v>22694.972126731536</v>
      </c>
      <c r="K42" s="1"/>
    </row>
    <row r="43" ht="41.25" customHeight="1">
      <c r="A43" s="1"/>
      <c r="B43" s="24" t="s">
        <v>511</v>
      </c>
      <c r="C43" s="26">
        <f t="shared" si="19" ref="C43:H43">_xlfn.IFERROR(IF(ABS(C42-C93)&lt;=5,0,C42-C93),1)</f>
        <v>0</v>
      </c>
      <c r="D43" s="26">
        <f t="shared" si="19"/>
        <v>0</v>
      </c>
      <c r="E43" s="26">
        <f t="shared" si="19"/>
        <v>0</v>
      </c>
      <c r="F43" s="26">
        <f t="shared" si="19"/>
        <v>0</v>
      </c>
      <c r="G43" s="26">
        <f t="shared" si="19"/>
        <v>0</v>
      </c>
      <c r="H43" s="26">
        <f t="shared" si="19"/>
        <v>0</v>
      </c>
      <c r="I43" s="26"/>
      <c r="J43" s="27"/>
      <c r="K43" s="1"/>
    </row>
    <row r="44" ht="54" customHeight="1">
      <c r="A44" s="1"/>
      <c r="B44" s="24" t="s">
        <v>512</v>
      </c>
      <c r="C44" s="25">
        <f>_xlfn.IFERROR(IF(ABS('Balance Sheet'!C53-C42)&lt;=5,0,'Balance Sheet'!C53-C42),1)</f>
        <v>0</v>
      </c>
      <c r="D44" s="25">
        <f>_xlfn.IFERROR(IF(ABS('Balance Sheet'!D53-D42)&lt;=5,0,'Balance Sheet'!D53-D42),1)</f>
        <v>0</v>
      </c>
      <c r="E44" s="25">
        <f>_xlfn.IFERROR(IF(ABS('Balance Sheet'!E53-E42)&lt;=5,0,'Balance Sheet'!E53-E42),1)</f>
        <v>0</v>
      </c>
      <c r="F44" s="25">
        <f>_xlfn.IFERROR(IF(ABS('Balance Sheet'!F53-F42)&lt;=5,0,'Balance Sheet'!F53-F42),1)</f>
        <v>0</v>
      </c>
      <c r="G44" s="25">
        <f>_xlfn.IFERROR(IF(ABS('Balance Sheet'!G53-G42)&lt;=5,0,'Balance Sheet'!G53-G42),1)</f>
        <v>0</v>
      </c>
      <c r="H44" s="25">
        <f>_xlfn.IFERROR(IF(ABS('Balance Sheet'!H53-H42)&lt;=5,0,'Balance Sheet'!H53-H42),1)</f>
        <v>0</v>
      </c>
      <c r="I44" s="25">
        <f>_xlfn.IFERROR(IF(ABS('Balance Sheet'!I53-I42)&lt;=5,0,'Balance Sheet'!I53-I42),1)</f>
        <v>0</v>
      </c>
      <c r="J44" s="48">
        <f>_xlfn.IFERROR(IF(ABS('Balance Sheet'!J53-J42)&lt;=5,0,'Balance Sheet'!J53-J42),1)</f>
        <v>0</v>
      </c>
      <c r="K44" s="1"/>
    </row>
    <row r="45" ht="41.25" customHeight="1">
      <c r="A45" s="1"/>
      <c r="B45" s="24" t="s">
        <v>513</v>
      </c>
      <c r="C45" s="26"/>
      <c r="D45" s="25">
        <f>_xlfn.IFERROR(IF(ABS(D40-('Balance Sheet'!D53-'Balance Sheet'!C53))&lt;=5,0,D40-('Balance Sheet'!D53-'Balance Sheet'!C53)),1)</f>
        <v>0</v>
      </c>
      <c r="E45" s="25">
        <f>_xlfn.IFERROR(IF(ABS(E40-('Balance Sheet'!E53-'Balance Sheet'!D53))&lt;=5,0,E40-('Balance Sheet'!E53-'Balance Sheet'!D53)),1)</f>
        <v>0</v>
      </c>
      <c r="F45" s="25">
        <f>_xlfn.IFERROR(IF(ABS(F40-('Balance Sheet'!F53-'Balance Sheet'!E53))&lt;=5,0,F40-('Balance Sheet'!F53-'Balance Sheet'!E53)),1)</f>
        <v>0</v>
      </c>
      <c r="G45" s="25">
        <f>_xlfn.IFERROR(IF(ABS(G40-('Balance Sheet'!G53-'Balance Sheet'!F53))&lt;=5,0,G40-('Balance Sheet'!G53-'Balance Sheet'!F53)),1)</f>
        <v>0</v>
      </c>
      <c r="H45" s="25">
        <f>_xlfn.IFERROR(IF(ABS(H40-('Balance Sheet'!H53-'Balance Sheet'!G53))&lt;=5,0,H40-('Balance Sheet'!H53-'Balance Sheet'!G53)),1)</f>
        <v>0</v>
      </c>
      <c r="I45" s="26"/>
      <c r="J45" s="48">
        <f>_xlfn.IFERROR(IF(ABS(J40-('Balance Sheet'!J53-'Balance Sheet'!H53))&lt;=5,0,J40-('Balance Sheet'!J53-'Balance Sheet'!H53)),1)</f>
        <v>0</v>
      </c>
      <c r="K45" s="1"/>
    </row>
    <row r="46" ht="15" customHeight="1">
      <c r="A46" s="1"/>
      <c r="B46" s="1"/>
      <c r="C46" s="17"/>
      <c r="D46" s="17"/>
      <c r="E46" s="17"/>
      <c r="F46" s="17"/>
      <c r="G46" s="17"/>
      <c r="H46" s="17"/>
      <c r="I46" s="17"/>
      <c r="J46" s="18"/>
      <c r="K46" s="1"/>
    </row>
    <row r="47" ht="15" customHeight="1">
      <c r="A47" s="1"/>
      <c r="B47" s="16" t="s">
        <v>514</v>
      </c>
      <c r="C47" s="17"/>
      <c r="D47" s="17"/>
      <c r="E47" s="17"/>
      <c r="F47" s="17"/>
      <c r="G47" s="17"/>
      <c r="H47" s="17"/>
      <c r="I47" s="17"/>
      <c r="J47" s="18"/>
      <c r="K47" s="1" t="s">
        <v>515</v>
      </c>
    </row>
    <row r="48" ht="28.5" customHeight="1">
      <c r="A48" s="1"/>
      <c r="B48" s="24" t="s">
        <v>516</v>
      </c>
      <c r="C48" s="47">
        <v>2404</v>
      </c>
      <c r="D48" s="47">
        <v>4653</v>
      </c>
      <c r="E48" s="47">
        <v>6070</v>
      </c>
      <c r="F48" s="47">
        <v>5606</v>
      </c>
      <c r="G48" s="47">
        <v>533</v>
      </c>
      <c r="H48" s="47">
        <v>5071</v>
      </c>
      <c r="I48" s="47">
        <v>18733</v>
      </c>
      <c r="J48" s="27">
        <f>J19-J49</f>
        <v>4379.343168650854</v>
      </c>
      <c r="K48" s="1" t="s">
        <v>517</v>
      </c>
    </row>
    <row r="49" ht="28.5" customHeight="1">
      <c r="A49" s="1"/>
      <c r="B49" s="24" t="s">
        <v>518</v>
      </c>
      <c r="C49" s="26"/>
      <c r="D49" s="26"/>
      <c r="E49" s="26"/>
      <c r="F49" s="26"/>
      <c r="G49" s="26"/>
      <c r="H49" s="26"/>
      <c r="I49" s="26"/>
      <c r="J49" s="49">
        <v>1700</v>
      </c>
      <c r="K49" s="1" t="s">
        <v>519</v>
      </c>
    </row>
    <row r="50" ht="28.5" customHeight="1">
      <c r="A50" s="1"/>
      <c r="B50" s="24" t="s">
        <v>520</v>
      </c>
      <c r="C50" s="47">
        <v>-1809</v>
      </c>
      <c r="D50" s="47">
        <v>-2131</v>
      </c>
      <c r="E50" s="47">
        <v>-2113</v>
      </c>
      <c r="F50" s="47">
        <v>-3188</v>
      </c>
      <c r="G50" s="47">
        <v>-1500</v>
      </c>
      <c r="H50" s="47">
        <v>-1924</v>
      </c>
      <c r="I50" s="47">
        <v>-9241</v>
      </c>
      <c r="J50" s="27">
        <f>J21</f>
        <v>-3000</v>
      </c>
      <c r="K50" s="1" t="s">
        <v>521</v>
      </c>
    </row>
    <row r="51" ht="15" customHeight="1">
      <c r="A51" s="1"/>
      <c r="B51" s="74" t="s">
        <v>522</v>
      </c>
      <c r="C51" s="47">
        <v>160</v>
      </c>
      <c r="D51" s="47">
        <v>305</v>
      </c>
      <c r="E51" s="47">
        <v>243</v>
      </c>
      <c r="F51" s="47">
        <v>10</v>
      </c>
      <c r="G51" s="47">
        <v>0</v>
      </c>
      <c r="H51" s="47">
        <v>0</v>
      </c>
      <c r="I51" s="47">
        <v>718</v>
      </c>
      <c r="J51" s="49">
        <v>0</v>
      </c>
      <c r="K51" s="1"/>
    </row>
    <row r="52" ht="28.5" customHeight="1">
      <c r="A52" s="1"/>
      <c r="B52" s="46" t="s">
        <v>523</v>
      </c>
      <c r="C52" s="47">
        <v>0</v>
      </c>
      <c r="D52" s="47">
        <v>0</v>
      </c>
      <c r="E52" s="47">
        <v>0</v>
      </c>
      <c r="F52" s="47">
        <v>401</v>
      </c>
      <c r="G52" s="47">
        <v>2232</v>
      </c>
      <c r="H52" s="47">
        <v>1871</v>
      </c>
      <c r="I52" s="47">
        <v>401</v>
      </c>
      <c r="J52" s="49">
        <v>0</v>
      </c>
      <c r="K52" s="1" t="s">
        <v>524</v>
      </c>
    </row>
    <row r="53" ht="28.5" customHeight="1">
      <c r="A53" s="1"/>
      <c r="B53" s="46" t="s">
        <v>525</v>
      </c>
      <c r="C53" s="47">
        <v>53</v>
      </c>
      <c r="D53" s="47">
        <v>86</v>
      </c>
      <c r="E53" s="47">
        <v>0</v>
      </c>
      <c r="F53" s="47">
        <v>0</v>
      </c>
      <c r="G53" s="47">
        <v>0</v>
      </c>
      <c r="H53" s="47">
        <v>0</v>
      </c>
      <c r="I53" s="47">
        <v>139</v>
      </c>
      <c r="J53" s="49">
        <v>0</v>
      </c>
      <c r="K53" s="1"/>
    </row>
    <row r="54" ht="28.5" customHeight="1">
      <c r="A54" s="1"/>
      <c r="B54" s="46" t="s">
        <v>526</v>
      </c>
      <c r="C54" s="47">
        <v>0</v>
      </c>
      <c r="D54" s="47">
        <v>9</v>
      </c>
      <c r="E54" s="47">
        <v>1</v>
      </c>
      <c r="F54" s="47">
        <v>207</v>
      </c>
      <c r="G54" s="47">
        <v>0</v>
      </c>
      <c r="H54" s="47">
        <v>0</v>
      </c>
      <c r="I54" s="47">
        <v>217</v>
      </c>
      <c r="J54" s="49">
        <v>0</v>
      </c>
      <c r="K54" s="1"/>
    </row>
    <row r="55" ht="28.5" customHeight="1">
      <c r="A55" s="1"/>
      <c r="B55" s="46" t="s">
        <v>527</v>
      </c>
      <c r="C55" s="47">
        <v>4</v>
      </c>
      <c r="D55" s="47">
        <v>8</v>
      </c>
      <c r="E55" s="47">
        <v>0</v>
      </c>
      <c r="F55" s="47">
        <v>0</v>
      </c>
      <c r="G55" s="47">
        <v>4</v>
      </c>
      <c r="H55" s="47">
        <v>2</v>
      </c>
      <c r="I55" s="47">
        <v>12</v>
      </c>
      <c r="J55" s="49">
        <v>0</v>
      </c>
      <c r="K55" s="1"/>
    </row>
    <row r="56" ht="28.5" customHeight="1">
      <c r="A56" s="1"/>
      <c r="B56" s="46" t="s">
        <v>528</v>
      </c>
      <c r="C56" s="47">
        <v>0</v>
      </c>
      <c r="D56" s="47">
        <v>-103</v>
      </c>
      <c r="E56" s="47">
        <v>0</v>
      </c>
      <c r="F56" s="47">
        <v>-281</v>
      </c>
      <c r="G56" s="47">
        <v>0</v>
      </c>
      <c r="H56" s="47">
        <v>0</v>
      </c>
      <c r="I56" s="47">
        <v>-384</v>
      </c>
      <c r="J56" s="49">
        <v>0</v>
      </c>
      <c r="K56" s="1"/>
    </row>
    <row r="57" ht="15" customHeight="1">
      <c r="A57" s="1"/>
      <c r="B57" s="74" t="s">
        <v>529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13</v>
      </c>
      <c r="I57" s="47">
        <v>0</v>
      </c>
      <c r="J57" s="49">
        <v>0</v>
      </c>
      <c r="K57" s="1"/>
    </row>
    <row r="58" ht="28.5" customHeight="1">
      <c r="A58" s="1"/>
      <c r="B58" s="44" t="s">
        <v>530</v>
      </c>
      <c r="C58" s="52">
        <f t="shared" si="13"/>
        <v>217</v>
      </c>
      <c r="D58" s="52">
        <f t="shared" si="13"/>
        <v>305</v>
      </c>
      <c r="E58" s="52">
        <f t="shared" si="13"/>
        <v>244</v>
      </c>
      <c r="F58" s="52">
        <f t="shared" si="13"/>
        <v>337</v>
      </c>
      <c r="G58" s="52">
        <f t="shared" si="13"/>
        <v>2236</v>
      </c>
      <c r="H58" s="52">
        <f t="shared" si="13"/>
        <v>1886</v>
      </c>
      <c r="I58" s="52">
        <f t="shared" si="13"/>
        <v>1103</v>
      </c>
      <c r="J58" s="53">
        <f t="shared" si="13"/>
        <v>0</v>
      </c>
      <c r="K58" s="1"/>
    </row>
    <row r="59" ht="28.5" customHeight="1">
      <c r="A59" s="1"/>
      <c r="B59" s="55" t="s">
        <v>531</v>
      </c>
      <c r="C59" s="52">
        <f t="shared" si="20" ref="C59:J59">C48+C50+C58</f>
        <v>812</v>
      </c>
      <c r="D59" s="52">
        <f t="shared" si="20"/>
        <v>2827</v>
      </c>
      <c r="E59" s="52">
        <f t="shared" si="20"/>
        <v>4201</v>
      </c>
      <c r="F59" s="52">
        <f t="shared" si="20"/>
        <v>2755</v>
      </c>
      <c r="G59" s="52">
        <f t="shared" si="20"/>
        <v>1269</v>
      </c>
      <c r="H59" s="52">
        <f t="shared" si="20"/>
        <v>5033</v>
      </c>
      <c r="I59" s="52">
        <f t="shared" si="20"/>
        <v>10595</v>
      </c>
      <c r="J59" s="53">
        <f t="shared" si="20"/>
        <v>1379.3431686508538</v>
      </c>
      <c r="K59" s="1" t="s">
        <v>532</v>
      </c>
    </row>
    <row r="60" ht="15" customHeight="1">
      <c r="A60" s="1"/>
      <c r="B60" s="28" t="s">
        <v>80</v>
      </c>
      <c r="C60" s="29" t="s">
        <v>41</v>
      </c>
      <c r="D60" s="29" t="s">
        <v>41</v>
      </c>
      <c r="E60" s="29" t="s">
        <v>41</v>
      </c>
      <c r="F60" s="29" t="s">
        <v>41</v>
      </c>
      <c r="G60" s="29">
        <f t="shared" si="6"/>
        <v>0.562807881773399</v>
      </c>
      <c r="H60" s="29">
        <f t="shared" si="6"/>
        <v>0.7803325079589671</v>
      </c>
      <c r="I60" s="29" t="s">
        <v>41</v>
      </c>
      <c r="J60" s="30">
        <f t="shared" si="21"/>
        <v>-0.6716631352890137</v>
      </c>
      <c r="K60" s="1"/>
    </row>
    <row r="61" ht="28.5" customHeight="1">
      <c r="A61" s="1"/>
      <c r="B61" s="24" t="s">
        <v>533</v>
      </c>
      <c r="C61" s="47">
        <v>811</v>
      </c>
      <c r="D61" s="47">
        <v>2827</v>
      </c>
      <c r="E61" s="47">
        <v>4201</v>
      </c>
      <c r="F61" s="47">
        <v>2755</v>
      </c>
      <c r="G61" s="47">
        <v>1269</v>
      </c>
      <c r="H61" s="47">
        <v>5033</v>
      </c>
      <c r="I61" s="47">
        <v>10595</v>
      </c>
      <c r="J61" s="27" t="s">
        <v>41</v>
      </c>
      <c r="K61" s="1"/>
    </row>
    <row r="62" ht="28.5" customHeight="1">
      <c r="A62" s="1"/>
      <c r="B62" s="24" t="s">
        <v>534</v>
      </c>
      <c r="C62" s="26">
        <f t="shared" si="22" ref="C62:I62">_xlfn.IFERROR(IF(ABS(C59-C61)&lt;=3,0,C59-C61),1)</f>
        <v>0</v>
      </c>
      <c r="D62" s="26">
        <f t="shared" si="22"/>
        <v>0</v>
      </c>
      <c r="E62" s="26">
        <f t="shared" si="22"/>
        <v>0</v>
      </c>
      <c r="F62" s="26">
        <f t="shared" si="22"/>
        <v>0</v>
      </c>
      <c r="G62" s="26">
        <f t="shared" si="22"/>
        <v>0</v>
      </c>
      <c r="H62" s="26">
        <f t="shared" si="22"/>
        <v>0</v>
      </c>
      <c r="I62" s="26">
        <f t="shared" si="22"/>
        <v>0</v>
      </c>
      <c r="J62" s="27"/>
      <c r="K62" s="1"/>
    </row>
    <row r="63" ht="28.5" customHeight="1">
      <c r="A63" s="1"/>
      <c r="B63" s="24" t="s">
        <v>535</v>
      </c>
      <c r="C63" s="26">
        <f t="shared" si="23" ref="C63:J63">C19+C21</f>
        <v>4245</v>
      </c>
      <c r="D63" s="26">
        <f t="shared" si="23"/>
        <v>4770</v>
      </c>
      <c r="E63" s="26">
        <f t="shared" si="23"/>
        <v>4975</v>
      </c>
      <c r="F63" s="26">
        <f t="shared" si="23"/>
        <v>3574</v>
      </c>
      <c r="G63" s="26">
        <f t="shared" si="23"/>
        <v>1439</v>
      </c>
      <c r="H63" s="26">
        <f t="shared" si="23"/>
        <v>4409</v>
      </c>
      <c r="I63" s="26">
        <f t="shared" si="23"/>
        <v>17564</v>
      </c>
      <c r="J63" s="27">
        <f t="shared" si="23"/>
        <v>3079.343168650854</v>
      </c>
      <c r="K63" s="1"/>
    </row>
    <row r="64" ht="15" customHeight="1">
      <c r="A64" s="1"/>
      <c r="B64" s="1"/>
      <c r="C64" s="17"/>
      <c r="D64" s="17"/>
      <c r="E64" s="17"/>
      <c r="F64" s="17"/>
      <c r="G64" s="17"/>
      <c r="H64" s="17"/>
      <c r="I64" s="17"/>
      <c r="J64" s="18"/>
      <c r="K64" s="1"/>
    </row>
    <row r="65" ht="15" customHeight="1">
      <c r="A65" s="1"/>
      <c r="B65" s="16" t="s">
        <v>536</v>
      </c>
      <c r="C65" s="17"/>
      <c r="D65" s="17"/>
      <c r="E65" s="17"/>
      <c r="F65" s="17"/>
      <c r="G65" s="17"/>
      <c r="H65" s="17"/>
      <c r="I65" s="17"/>
      <c r="J65" s="18"/>
      <c r="K65" s="1"/>
    </row>
    <row r="66" ht="15" customHeight="1">
      <c r="A66" s="1"/>
      <c r="B66" s="19" t="s">
        <v>324</v>
      </c>
      <c r="C66" s="47">
        <v>2853</v>
      </c>
      <c r="D66" s="47">
        <v>4747</v>
      </c>
      <c r="E66" s="47">
        <v>6040</v>
      </c>
      <c r="F66" s="47">
        <v>2780</v>
      </c>
      <c r="G66" s="47">
        <v>2705</v>
      </c>
      <c r="H66" s="47">
        <v>4058</v>
      </c>
      <c r="I66" s="26"/>
      <c r="J66" s="27"/>
      <c r="K66" s="1"/>
    </row>
    <row r="67" ht="41.25" customHeight="1">
      <c r="A67" s="1"/>
      <c r="B67" s="24" t="s">
        <v>477</v>
      </c>
      <c r="C67" s="47">
        <v>1203</v>
      </c>
      <c r="D67" s="47">
        <v>2438</v>
      </c>
      <c r="E67" s="47">
        <v>3675</v>
      </c>
      <c r="F67" s="47">
        <v>4942</v>
      </c>
      <c r="G67" s="47">
        <v>1331</v>
      </c>
      <c r="H67" s="47">
        <v>2647</v>
      </c>
      <c r="I67" s="26"/>
      <c r="J67" s="27"/>
      <c r="K67" s="1"/>
    </row>
    <row r="68" ht="28.5" customHeight="1">
      <c r="A68" s="1"/>
      <c r="B68" s="24" t="s">
        <v>478</v>
      </c>
      <c r="C68" s="47">
        <v>1731</v>
      </c>
      <c r="D68" s="47">
        <v>3537</v>
      </c>
      <c r="E68" s="47">
        <v>6412</v>
      </c>
      <c r="F68" s="47">
        <v>9646</v>
      </c>
      <c r="G68" s="47">
        <v>1699</v>
      </c>
      <c r="H68" s="47">
        <v>3486</v>
      </c>
      <c r="I68" s="26"/>
      <c r="J68" s="27"/>
      <c r="K68" s="1"/>
    </row>
    <row r="69" ht="28.5" customHeight="1">
      <c r="A69" s="1"/>
      <c r="B69" s="24" t="s">
        <v>479</v>
      </c>
      <c r="C69" s="47">
        <v>152</v>
      </c>
      <c r="D69" s="47">
        <v>262</v>
      </c>
      <c r="E69" s="47">
        <v>285</v>
      </c>
      <c r="F69" s="47">
        <v>363</v>
      </c>
      <c r="G69" s="47">
        <v>-64</v>
      </c>
      <c r="H69" s="47">
        <v>30</v>
      </c>
      <c r="I69" s="26"/>
      <c r="J69" s="27"/>
      <c r="K69" s="1"/>
    </row>
    <row r="70" ht="28.5" customHeight="1">
      <c r="A70" s="1"/>
      <c r="B70" s="24" t="s">
        <v>481</v>
      </c>
      <c r="C70" s="47">
        <v>485</v>
      </c>
      <c r="D70" s="47">
        <v>583</v>
      </c>
      <c r="E70" s="47">
        <v>396</v>
      </c>
      <c r="F70" s="47">
        <v>1785</v>
      </c>
      <c r="G70" s="47">
        <v>-266</v>
      </c>
      <c r="H70" s="47">
        <v>93</v>
      </c>
      <c r="I70" s="26"/>
      <c r="J70" s="27"/>
      <c r="K70" s="1"/>
    </row>
    <row r="71" ht="28.5" customHeight="1">
      <c r="A71" s="1"/>
      <c r="B71" s="24" t="s">
        <v>482</v>
      </c>
      <c r="C71" s="47">
        <v>-195</v>
      </c>
      <c r="D71" s="47">
        <v>-309</v>
      </c>
      <c r="E71" s="47">
        <v>-433</v>
      </c>
      <c r="F71" s="47">
        <v>-539</v>
      </c>
      <c r="G71" s="47">
        <v>-231</v>
      </c>
      <c r="H71" s="47">
        <v>-432</v>
      </c>
      <c r="I71" s="26"/>
      <c r="J71" s="27"/>
      <c r="K71" s="1"/>
    </row>
    <row r="72" ht="28.5" customHeight="1">
      <c r="A72" s="1"/>
      <c r="B72" s="24" t="s">
        <v>483</v>
      </c>
      <c r="C72" s="47">
        <v>0</v>
      </c>
      <c r="D72" s="47">
        <v>32</v>
      </c>
      <c r="E72" s="47">
        <v>23</v>
      </c>
      <c r="F72" s="47">
        <v>29</v>
      </c>
      <c r="G72" s="47">
        <v>11</v>
      </c>
      <c r="H72" s="47">
        <v>22</v>
      </c>
      <c r="I72" s="26"/>
      <c r="J72" s="27"/>
      <c r="K72" s="1"/>
    </row>
    <row r="73" ht="28.5" customHeight="1">
      <c r="A73" s="1"/>
      <c r="B73" s="24" t="s">
        <v>484</v>
      </c>
      <c r="C73" s="47">
        <v>143</v>
      </c>
      <c r="D73" s="47">
        <v>205</v>
      </c>
      <c r="E73" s="47">
        <v>127</v>
      </c>
      <c r="F73" s="47">
        <v>-1249</v>
      </c>
      <c r="G73" s="47">
        <v>222</v>
      </c>
      <c r="H73" s="47">
        <v>289</v>
      </c>
      <c r="I73" s="26"/>
      <c r="J73" s="27"/>
      <c r="K73" s="1"/>
    </row>
    <row r="74" ht="28.5" customHeight="1">
      <c r="A74" s="1"/>
      <c r="B74" s="24" t="s">
        <v>485</v>
      </c>
      <c r="C74" s="47">
        <v>-311</v>
      </c>
      <c r="D74" s="47">
        <v>1473</v>
      </c>
      <c r="E74" s="47">
        <v>3548</v>
      </c>
      <c r="F74" s="47">
        <v>9110</v>
      </c>
      <c r="G74" s="47">
        <v>-2456</v>
      </c>
      <c r="H74" s="47">
        <v>-891</v>
      </c>
      <c r="I74" s="26"/>
      <c r="J74" s="27"/>
      <c r="K74" s="1"/>
    </row>
    <row r="75" ht="15" customHeight="1">
      <c r="A75" s="1"/>
      <c r="B75" s="19" t="s">
        <v>489</v>
      </c>
      <c r="C75" s="47">
        <v>-1816</v>
      </c>
      <c r="D75" s="47">
        <v>-3953</v>
      </c>
      <c r="E75" s="47">
        <v>-6083</v>
      </c>
      <c r="F75" s="47">
        <v>-9303</v>
      </c>
      <c r="G75" s="47">
        <v>-1512</v>
      </c>
      <c r="H75" s="47">
        <v>-3454</v>
      </c>
      <c r="I75" s="26"/>
      <c r="J75" s="27"/>
      <c r="K75" s="1"/>
    </row>
    <row r="76" ht="28.5" customHeight="1">
      <c r="A76" s="1"/>
      <c r="B76" s="24" t="s">
        <v>490</v>
      </c>
      <c r="C76" s="47">
        <v>-645</v>
      </c>
      <c r="D76" s="47">
        <v>-1248</v>
      </c>
      <c r="E76" s="47">
        <v>-1785</v>
      </c>
      <c r="F76" s="47">
        <v>-2339</v>
      </c>
      <c r="G76" s="47">
        <v>-734</v>
      </c>
      <c r="H76" s="47">
        <v>-1511</v>
      </c>
      <c r="I76" s="26"/>
      <c r="J76" s="27"/>
      <c r="K76" s="1"/>
    </row>
    <row r="77" ht="28.5" customHeight="1">
      <c r="A77" s="1"/>
      <c r="B77" s="24" t="s">
        <v>491</v>
      </c>
      <c r="C77" s="47">
        <v>1065</v>
      </c>
      <c r="D77" s="47">
        <v>1719</v>
      </c>
      <c r="E77" s="47">
        <v>2398</v>
      </c>
      <c r="F77" s="47">
        <v>3012</v>
      </c>
      <c r="G77" s="47">
        <v>2845</v>
      </c>
      <c r="H77" s="47">
        <v>3644</v>
      </c>
      <c r="I77" s="26"/>
      <c r="J77" s="27"/>
      <c r="K77" s="1"/>
    </row>
    <row r="78" ht="28.5" customHeight="1">
      <c r="A78" s="1"/>
      <c r="B78" s="24" t="s">
        <v>492</v>
      </c>
      <c r="C78" s="47">
        <v>-10058</v>
      </c>
      <c r="D78" s="47">
        <v>-19275</v>
      </c>
      <c r="E78" s="47">
        <v>-28251</v>
      </c>
      <c r="F78" s="47">
        <v>-36745</v>
      </c>
      <c r="G78" s="47">
        <v>-8407</v>
      </c>
      <c r="H78" s="47">
        <v>-18736</v>
      </c>
      <c r="I78" s="26"/>
      <c r="J78" s="27"/>
      <c r="K78" s="1"/>
    </row>
    <row r="79" ht="41.25" customHeight="1">
      <c r="A79" s="1"/>
      <c r="B79" s="24" t="s">
        <v>493</v>
      </c>
      <c r="C79" s="47">
        <v>8956</v>
      </c>
      <c r="D79" s="47">
        <v>17286</v>
      </c>
      <c r="E79" s="47">
        <v>26524</v>
      </c>
      <c r="F79" s="47">
        <v>35109</v>
      </c>
      <c r="G79" s="47">
        <v>9100</v>
      </c>
      <c r="H79" s="47">
        <v>17713</v>
      </c>
      <c r="I79" s="26"/>
      <c r="J79" s="27"/>
      <c r="K79" s="1"/>
    </row>
    <row r="80" ht="28.5" customHeight="1">
      <c r="A80" s="1"/>
      <c r="B80" s="24" t="s">
        <v>494</v>
      </c>
      <c r="C80" s="47">
        <v>0</v>
      </c>
      <c r="D80" s="47">
        <v>0</v>
      </c>
      <c r="E80" s="47">
        <v>2005</v>
      </c>
      <c r="F80" s="47">
        <v>2005</v>
      </c>
      <c r="G80" s="47">
        <v>0</v>
      </c>
      <c r="H80" s="47">
        <v>0</v>
      </c>
      <c r="I80" s="26"/>
      <c r="J80" s="27"/>
      <c r="K80" s="1"/>
    </row>
    <row r="81" ht="15" customHeight="1">
      <c r="A81" s="1"/>
      <c r="B81" s="19" t="s">
        <v>495</v>
      </c>
      <c r="C81" s="47">
        <v>-4212</v>
      </c>
      <c r="D81" s="47">
        <v>-8591</v>
      </c>
      <c r="E81" s="47">
        <v>-12609</v>
      </c>
      <c r="F81" s="47">
        <v>-15793</v>
      </c>
      <c r="G81" s="47">
        <v>-3274</v>
      </c>
      <c r="H81" s="47">
        <v>-6591</v>
      </c>
      <c r="I81" s="26"/>
      <c r="J81" s="27"/>
      <c r="K81" s="1"/>
    </row>
    <row r="82" ht="28.5" customHeight="1">
      <c r="A82" s="1"/>
      <c r="B82" s="24" t="s">
        <v>496</v>
      </c>
      <c r="C82" s="47">
        <v>2529</v>
      </c>
      <c r="D82" s="47">
        <v>5326</v>
      </c>
      <c r="E82" s="47">
        <v>7780</v>
      </c>
      <c r="F82" s="47">
        <v>10095</v>
      </c>
      <c r="G82" s="47">
        <v>2520</v>
      </c>
      <c r="H82" s="47">
        <v>5549</v>
      </c>
      <c r="I82" s="26"/>
      <c r="J82" s="27"/>
      <c r="K82" s="1"/>
    </row>
    <row r="83" ht="15" customHeight="1">
      <c r="A83" s="1"/>
      <c r="B83" s="19" t="s">
        <v>497</v>
      </c>
      <c r="C83" s="47">
        <v>-310</v>
      </c>
      <c r="D83" s="47">
        <v>-2422</v>
      </c>
      <c r="E83" s="47">
        <v>-2451</v>
      </c>
      <c r="F83" s="47">
        <v>-2175</v>
      </c>
      <c r="G83" s="47">
        <v>94</v>
      </c>
      <c r="H83" s="47">
        <v>-97</v>
      </c>
      <c r="I83" s="26"/>
      <c r="J83" s="27"/>
      <c r="K83" s="1"/>
    </row>
    <row r="84" ht="28.5" customHeight="1">
      <c r="A84" s="1"/>
      <c r="B84" s="24" t="s">
        <v>499</v>
      </c>
      <c r="C84" s="47">
        <v>170</v>
      </c>
      <c r="D84" s="47">
        <v>29</v>
      </c>
      <c r="E84" s="47">
        <v>13</v>
      </c>
      <c r="F84" s="47">
        <v>-312</v>
      </c>
      <c r="G84" s="47">
        <v>92</v>
      </c>
      <c r="H84" s="47">
        <v>-16</v>
      </c>
      <c r="I84" s="26"/>
      <c r="J84" s="27"/>
      <c r="K84" s="1"/>
    </row>
    <row r="85" ht="28.5" customHeight="1">
      <c r="A85" s="1"/>
      <c r="B85" s="24" t="s">
        <v>500</v>
      </c>
      <c r="C85" s="47">
        <v>16897</v>
      </c>
      <c r="D85" s="47">
        <v>30668</v>
      </c>
      <c r="E85" s="47">
        <v>37122</v>
      </c>
      <c r="F85" s="47">
        <v>43191</v>
      </c>
      <c r="G85" s="47">
        <v>8376</v>
      </c>
      <c r="H85" s="47">
        <v>23350</v>
      </c>
      <c r="I85" s="26"/>
      <c r="J85" s="27"/>
      <c r="K85" s="1"/>
    </row>
    <row r="86" ht="15" customHeight="1">
      <c r="A86" s="1"/>
      <c r="B86" s="19" t="s">
        <v>501</v>
      </c>
      <c r="C86" s="47">
        <v>-15216</v>
      </c>
      <c r="D86" s="47">
        <v>-27316</v>
      </c>
      <c r="E86" s="47">
        <v>-37391</v>
      </c>
      <c r="F86" s="47">
        <v>-45591</v>
      </c>
      <c r="G86" s="47">
        <v>-10813</v>
      </c>
      <c r="H86" s="47">
        <v>-25696</v>
      </c>
      <c r="I86" s="26"/>
      <c r="J86" s="27"/>
      <c r="K86" s="1"/>
    </row>
    <row r="87" ht="28.5" customHeight="1">
      <c r="A87" s="1"/>
      <c r="B87" s="24" t="s">
        <v>502</v>
      </c>
      <c r="C87" s="47">
        <v>-2012</v>
      </c>
      <c r="D87" s="47">
        <v>-2012</v>
      </c>
      <c r="E87" s="47">
        <v>-3512</v>
      </c>
      <c r="F87" s="47">
        <v>-6012</v>
      </c>
      <c r="G87" s="47">
        <v>-800</v>
      </c>
      <c r="H87" s="47">
        <v>-2800</v>
      </c>
      <c r="I87" s="26"/>
      <c r="J87" s="27"/>
      <c r="K87" s="1"/>
    </row>
    <row r="88" ht="28.5" customHeight="1">
      <c r="A88" s="1"/>
      <c r="B88" s="24" t="s">
        <v>503</v>
      </c>
      <c r="C88" s="47">
        <v>-29</v>
      </c>
      <c r="D88" s="47">
        <v>-29</v>
      </c>
      <c r="E88" s="47">
        <v>-29</v>
      </c>
      <c r="F88" s="47">
        <v>-29</v>
      </c>
      <c r="G88" s="47">
        <v>0</v>
      </c>
      <c r="H88" s="47">
        <v>0</v>
      </c>
      <c r="I88" s="26"/>
      <c r="J88" s="27"/>
      <c r="K88" s="1"/>
    </row>
    <row r="89" ht="15" customHeight="1">
      <c r="A89" s="1"/>
      <c r="B89" s="19" t="s">
        <v>504</v>
      </c>
      <c r="C89" s="47">
        <v>-175</v>
      </c>
      <c r="D89" s="47">
        <v>-319</v>
      </c>
      <c r="E89" s="47">
        <v>-519</v>
      </c>
      <c r="F89" s="47">
        <v>-657</v>
      </c>
      <c r="G89" s="47">
        <v>-223</v>
      </c>
      <c r="H89" s="47">
        <v>-831</v>
      </c>
      <c r="I89" s="26"/>
      <c r="J89" s="27"/>
      <c r="K89" s="1"/>
    </row>
    <row r="90" ht="15" customHeight="1">
      <c r="A90" s="1"/>
      <c r="B90" s="19" t="s">
        <v>505</v>
      </c>
      <c r="C90" s="47">
        <v>-178</v>
      </c>
      <c r="D90" s="47">
        <v>-322</v>
      </c>
      <c r="E90" s="47">
        <v>-274</v>
      </c>
      <c r="F90" s="47">
        <v>-180</v>
      </c>
      <c r="G90" s="47">
        <v>-321</v>
      </c>
      <c r="H90" s="47">
        <v>-452</v>
      </c>
      <c r="I90" s="26"/>
      <c r="J90" s="27"/>
      <c r="K90" s="1"/>
    </row>
    <row r="91" ht="28.5" customHeight="1">
      <c r="A91" s="1"/>
      <c r="B91" s="24" t="s">
        <v>507</v>
      </c>
      <c r="C91" s="47">
        <v>51</v>
      </c>
      <c r="D91" s="47">
        <v>327</v>
      </c>
      <c r="E91" s="47">
        <v>237</v>
      </c>
      <c r="F91" s="47">
        <v>177</v>
      </c>
      <c r="G91" s="47">
        <v>-113</v>
      </c>
      <c r="H91" s="47">
        <v>-83</v>
      </c>
      <c r="I91" s="26"/>
      <c r="J91" s="27"/>
      <c r="K91" s="1"/>
    </row>
    <row r="92" ht="28.5" customHeight="1">
      <c r="A92" s="1"/>
      <c r="B92" s="24" t="s">
        <v>537</v>
      </c>
      <c r="C92" s="47">
        <v>22964</v>
      </c>
      <c r="D92" s="47">
        <v>22964</v>
      </c>
      <c r="E92" s="47">
        <v>22964</v>
      </c>
      <c r="F92" s="47">
        <v>22964</v>
      </c>
      <c r="G92" s="47">
        <v>24284</v>
      </c>
      <c r="H92" s="47">
        <v>24284</v>
      </c>
      <c r="I92" s="26"/>
      <c r="J92" s="27"/>
      <c r="K92" s="1"/>
    </row>
    <row r="93" ht="28.5" customHeight="1">
      <c r="A93" s="1"/>
      <c r="B93" s="44" t="s">
        <v>538</v>
      </c>
      <c r="C93" s="61">
        <v>24042</v>
      </c>
      <c r="D93" s="61">
        <v>25800</v>
      </c>
      <c r="E93" s="61">
        <v>26210</v>
      </c>
      <c r="F93" s="61">
        <v>24284</v>
      </c>
      <c r="G93" s="61">
        <v>24063</v>
      </c>
      <c r="H93" s="61">
        <v>23576</v>
      </c>
      <c r="I93" s="52"/>
      <c r="J93" s="53"/>
      <c r="K93" s="1"/>
    </row>
    <row r="94" ht="41.25" customHeight="1">
      <c r="A94" s="1"/>
      <c r="B94" s="24" t="s">
        <v>539</v>
      </c>
      <c r="C94" s="47">
        <v>6061</v>
      </c>
      <c r="D94" s="47">
        <v>12969</v>
      </c>
      <c r="E94" s="47">
        <v>20072</v>
      </c>
      <c r="F94" s="47">
        <v>26867</v>
      </c>
      <c r="G94" s="47">
        <v>2950</v>
      </c>
      <c r="H94" s="47">
        <v>9304</v>
      </c>
      <c r="I94" s="26"/>
      <c r="J94" s="27"/>
      <c r="K94" s="1"/>
    </row>
    <row r="95" ht="41.25" customHeight="1">
      <c r="A95" s="1"/>
      <c r="B95" s="24" t="s">
        <v>540</v>
      </c>
      <c r="C95" s="26">
        <f t="shared" si="24" ref="C95:H95">_xlfn.IFERROR(IF(ABS(C66+C67+C68+C69+C70+C71+C72+C73+C74-C94)&lt;=3,0,C66+C67+C68+C69+C70+C71+C72+C73+C74-C94),1)</f>
        <v>0</v>
      </c>
      <c r="D95" s="26">
        <f t="shared" si="24"/>
        <v>0</v>
      </c>
      <c r="E95" s="26">
        <f t="shared" si="24"/>
        <v>0</v>
      </c>
      <c r="F95" s="26">
        <f t="shared" si="24"/>
        <v>0</v>
      </c>
      <c r="G95" s="26">
        <f t="shared" si="24"/>
        <v>0</v>
      </c>
      <c r="H95" s="26">
        <f t="shared" si="24"/>
        <v>0</v>
      </c>
      <c r="I95" s="26"/>
      <c r="J95" s="27"/>
      <c r="K95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AFB61AB8-50F8-F9DA-6FE8-6F474942E9E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</row>
    <row r="3" ht="15" customHeight="1">
      <c r="A3" s="1"/>
      <c r="B3" s="4" t="s">
        <v>541</v>
      </c>
      <c r="C3" s="1"/>
      <c r="D3" s="1"/>
      <c r="E3" s="1"/>
      <c r="F3" s="1"/>
      <c r="G3" s="1"/>
      <c r="H3" s="1"/>
      <c r="I3" s="1"/>
      <c r="J3" s="1"/>
      <c r="K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</row>
    <row r="5" ht="15" customHeight="1">
      <c r="A5" s="1"/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8" t="s">
        <v>12</v>
      </c>
      <c r="K5" s="6" t="s">
        <v>13</v>
      </c>
    </row>
    <row r="6" ht="15" customHeight="1">
      <c r="A6" s="1"/>
      <c r="B6" s="9" t="s">
        <v>14</v>
      </c>
      <c r="C6" s="10">
        <f>DATE(2025,3,31)</f>
        <v>45747</v>
      </c>
      <c r="D6" s="10">
        <f>DATE(2025,6,30)</f>
        <v>45838</v>
      </c>
      <c r="E6" s="10">
        <f>DATE(2025,9,30)</f>
        <v>45930</v>
      </c>
      <c r="F6" s="10">
        <f t="shared" si="0" ref="F6:I6">DATE(2025,12,31)</f>
        <v>46022</v>
      </c>
      <c r="G6" s="10">
        <f>DATE(2026,3,31)</f>
        <v>46112</v>
      </c>
      <c r="H6" s="10">
        <f>DATE(2026,6,30)</f>
        <v>46203</v>
      </c>
      <c r="I6" s="10">
        <f t="shared" si="0"/>
        <v>46022</v>
      </c>
      <c r="J6" s="11">
        <f>DATE(2026,9,30)</f>
        <v>46295</v>
      </c>
      <c r="K6" s="9"/>
    </row>
    <row r="7" ht="15" customHeight="1">
      <c r="A7" s="1"/>
      <c r="B7" s="12" t="s">
        <v>15</v>
      </c>
      <c r="C7" s="13">
        <f t="shared" si="1" ref="C7:J7">C6-EOMONTH(C6,-3)</f>
        <v>90</v>
      </c>
      <c r="D7" s="13">
        <f t="shared" si="1"/>
        <v>91</v>
      </c>
      <c r="E7" s="13">
        <f t="shared" si="1"/>
        <v>92</v>
      </c>
      <c r="F7" s="13">
        <f t="shared" si="1"/>
        <v>92</v>
      </c>
      <c r="G7" s="13">
        <f t="shared" si="1"/>
        <v>90</v>
      </c>
      <c r="H7" s="13">
        <f t="shared" si="1"/>
        <v>91</v>
      </c>
      <c r="I7" s="13">
        <f>I6-EOMONTH(I6,-12)</f>
        <v>365</v>
      </c>
      <c r="J7" s="14">
        <f t="shared" si="1"/>
        <v>92</v>
      </c>
      <c r="K7" s="12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5"/>
      <c r="K8" s="1"/>
    </row>
    <row r="9" ht="15" customHeight="1">
      <c r="A9" s="1"/>
      <c r="B9" s="16" t="s">
        <v>542</v>
      </c>
      <c r="C9" s="17"/>
      <c r="D9" s="17"/>
      <c r="E9" s="17"/>
      <c r="F9" s="17"/>
      <c r="G9" s="17"/>
      <c r="H9" s="17"/>
      <c r="I9" s="17"/>
      <c r="J9" s="18"/>
      <c r="K9" s="1" t="s">
        <v>543</v>
      </c>
    </row>
    <row r="10" ht="15" customHeight="1">
      <c r="A10" s="1"/>
      <c r="B10" s="1" t="s">
        <v>544</v>
      </c>
      <c r="C10" s="25">
        <f>'Revenue summary'!C10</f>
        <v>37388</v>
      </c>
      <c r="D10" s="25">
        <f>'Revenue summary'!D10</f>
        <v>39486</v>
      </c>
      <c r="E10" s="25">
        <f>'Revenue summary'!E10</f>
        <v>40552</v>
      </c>
      <c r="F10" s="25">
        <f>'Revenue summary'!F10</f>
        <v>36893</v>
      </c>
      <c r="G10" s="25">
        <f>'Revenue summary'!G10</f>
        <v>36401</v>
      </c>
      <c r="H10" s="25">
        <f>'Revenue summary'!H10</f>
        <v>39912</v>
      </c>
      <c r="I10" s="25">
        <f>'Revenue summary'!I10</f>
        <v>154317</v>
      </c>
      <c r="J10" s="48">
        <f>'Revenue summary'!J10</f>
        <v>40928.05536</v>
      </c>
      <c r="K10" s="1"/>
    </row>
    <row r="11" ht="15" customHeight="1">
      <c r="A11" s="1"/>
      <c r="B11" s="28" t="s">
        <v>82</v>
      </c>
      <c r="C11" s="29">
        <f t="shared" si="2" ref="C11:J11">_xlfn.IFERROR(C10/C17,"n.a.")</f>
        <v>0.8493219145407873</v>
      </c>
      <c r="D11" s="29">
        <f t="shared" si="2"/>
        <v>0.8379347664622371</v>
      </c>
      <c r="E11" s="29">
        <f t="shared" si="2"/>
        <v>0.8345406651300625</v>
      </c>
      <c r="F11" s="29">
        <f t="shared" si="2"/>
        <v>0.8146487954600659</v>
      </c>
      <c r="G11" s="29">
        <f t="shared" si="2"/>
        <v>0.834387750424059</v>
      </c>
      <c r="H11" s="29">
        <f t="shared" si="2"/>
        <v>0.8310498479990005</v>
      </c>
      <c r="I11" s="29">
        <f t="shared" si="2"/>
        <v>0.8340602857003875</v>
      </c>
      <c r="J11" s="30">
        <f t="shared" si="2"/>
        <v>0.8341978066452025</v>
      </c>
      <c r="K11" s="1"/>
    </row>
    <row r="12" ht="15" customHeight="1">
      <c r="A12" s="1"/>
      <c r="B12" s="1" t="s">
        <v>545</v>
      </c>
      <c r="C12" s="25">
        <f>'Revenue summary'!C18</f>
        <v>2427</v>
      </c>
      <c r="D12" s="25">
        <f>'Revenue summary'!D18</f>
        <v>3327</v>
      </c>
      <c r="E12" s="25">
        <f>'Revenue summary'!E18</f>
        <v>3645</v>
      </c>
      <c r="F12" s="25">
        <f>'Revenue summary'!F18</f>
        <v>4029</v>
      </c>
      <c r="G12" s="25">
        <f>'Revenue summary'!G18</f>
        <v>2859</v>
      </c>
      <c r="H12" s="25">
        <f>'Revenue summary'!H18</f>
        <v>3691</v>
      </c>
      <c r="I12" s="25">
        <f>'Revenue summary'!I18</f>
        <v>13427</v>
      </c>
      <c r="J12" s="48">
        <f>'Revenue summary'!J18</f>
        <v>3681.537</v>
      </c>
      <c r="K12" s="1"/>
    </row>
    <row r="13" ht="15" customHeight="1">
      <c r="A13" s="1"/>
      <c r="B13" s="28" t="s">
        <v>82</v>
      </c>
      <c r="C13" s="29">
        <f t="shared" si="3" ref="C13:J13">_xlfn.IFERROR(C12/C17,"n.a.")</f>
        <v>0.05513277753799323</v>
      </c>
      <c r="D13" s="29">
        <f t="shared" si="3"/>
        <v>0.0706024658871464</v>
      </c>
      <c r="E13" s="29">
        <f t="shared" si="3"/>
        <v>0.07501234771155746</v>
      </c>
      <c r="F13" s="29">
        <f t="shared" si="3"/>
        <v>0.0889659284121271</v>
      </c>
      <c r="G13" s="29">
        <f t="shared" si="3"/>
        <v>0.06553431439966992</v>
      </c>
      <c r="H13" s="29">
        <f t="shared" si="3"/>
        <v>0.07685420397284803</v>
      </c>
      <c r="I13" s="29">
        <f t="shared" si="3"/>
        <v>0.07257092514822802</v>
      </c>
      <c r="J13" s="30">
        <f t="shared" si="3"/>
        <v>0.07503728343479153</v>
      </c>
      <c r="K13" s="1"/>
    </row>
    <row r="14" ht="41.25" customHeight="1">
      <c r="A14" s="1"/>
      <c r="B14" s="54" t="s">
        <v>546</v>
      </c>
      <c r="C14" s="25">
        <f>'Revenue summary'!C32+'Revenue summary'!C41+'Revenue summary'!C43</f>
        <v>47</v>
      </c>
      <c r="D14" s="25">
        <f>'Revenue summary'!D32+'Revenue summary'!D41+'Revenue summary'!D43</f>
        <v>57</v>
      </c>
      <c r="E14" s="25">
        <f>'Revenue summary'!E32+'Revenue summary'!E41+'Revenue summary'!E43</f>
        <v>60</v>
      </c>
      <c r="F14" s="25">
        <f>'Revenue summary'!F32+'Revenue summary'!F41+'Revenue summary'!F43</f>
        <v>64</v>
      </c>
      <c r="G14" s="25">
        <f>'Revenue summary'!G32+'Revenue summary'!G41+'Revenue summary'!G43</f>
        <v>90</v>
      </c>
      <c r="H14" s="25">
        <f>'Revenue summary'!H32+'Revenue summary'!H41+'Revenue summary'!H43</f>
        <v>159</v>
      </c>
      <c r="I14" s="25">
        <f>'Revenue summary'!I32+'Revenue summary'!I41+'Revenue summary'!I43</f>
        <v>227</v>
      </c>
      <c r="J14" s="48">
        <f>'Revenue summary'!J32+'Revenue summary'!J41+'Revenue summary'!J43</f>
        <v>130</v>
      </c>
      <c r="K14" s="1"/>
    </row>
    <row r="15" ht="41.25" customHeight="1">
      <c r="A15" s="1"/>
      <c r="B15" s="54" t="s">
        <v>547</v>
      </c>
      <c r="C15" s="25">
        <f>'Revenue summary'!C62</f>
        <v>4159</v>
      </c>
      <c r="D15" s="25">
        <f>'Revenue summary'!D62</f>
        <v>4253</v>
      </c>
      <c r="E15" s="25">
        <f>'Revenue summary'!E62</f>
        <v>4335</v>
      </c>
      <c r="F15" s="25">
        <f>'Revenue summary'!F62</f>
        <v>4301</v>
      </c>
      <c r="G15" s="25">
        <f>'Revenue summary'!G62</f>
        <v>4276</v>
      </c>
      <c r="H15" s="25">
        <f>'Revenue summary'!H62</f>
        <v>4264</v>
      </c>
      <c r="I15" s="25">
        <f>'Revenue summary'!I62</f>
        <v>17048</v>
      </c>
      <c r="J15" s="48">
        <f>'Revenue summary'!J62</f>
        <v>4323.177925378311</v>
      </c>
      <c r="K15" s="1"/>
    </row>
    <row r="16" ht="15" customHeight="1">
      <c r="A16" s="1"/>
      <c r="B16" s="28" t="s">
        <v>82</v>
      </c>
      <c r="C16" s="29">
        <f t="shared" si="4" ref="C16:J16">_xlfn.IFERROR(C15/C17,"n.a.")</f>
        <v>0.09447763567388293</v>
      </c>
      <c r="D16" s="29">
        <f t="shared" si="4"/>
        <v>0.09025316724317213</v>
      </c>
      <c r="E16" s="29">
        <f t="shared" si="4"/>
        <v>0.08921221600263418</v>
      </c>
      <c r="F16" s="29">
        <f t="shared" si="4"/>
        <v>0.09497206703910614</v>
      </c>
      <c r="G16" s="29">
        <f t="shared" si="4"/>
        <v>0.0980149452161555</v>
      </c>
      <c r="H16" s="29">
        <f t="shared" si="4"/>
        <v>0.08878524132761421</v>
      </c>
      <c r="I16" s="29">
        <f t="shared" si="4"/>
        <v>0.09214188813040823</v>
      </c>
      <c r="J16" s="30">
        <f t="shared" si="4"/>
        <v>0.08811524298836229</v>
      </c>
      <c r="K16" s="1"/>
    </row>
    <row r="17" ht="15" customHeight="1">
      <c r="A17" s="1"/>
      <c r="B17" s="4" t="s">
        <v>107</v>
      </c>
      <c r="C17" s="52">
        <f t="shared" si="5" ref="C17:J17">C10+C12+C14+C15</f>
        <v>44021</v>
      </c>
      <c r="D17" s="52">
        <f t="shared" si="5"/>
        <v>47123</v>
      </c>
      <c r="E17" s="52">
        <f t="shared" si="5"/>
        <v>48592</v>
      </c>
      <c r="F17" s="52">
        <f t="shared" si="5"/>
        <v>45287</v>
      </c>
      <c r="G17" s="52">
        <f t="shared" si="5"/>
        <v>43626</v>
      </c>
      <c r="H17" s="52">
        <f t="shared" si="5"/>
        <v>48026</v>
      </c>
      <c r="I17" s="52">
        <f t="shared" si="5"/>
        <v>185019</v>
      </c>
      <c r="J17" s="53">
        <f t="shared" si="5"/>
        <v>49062.770285378305</v>
      </c>
      <c r="K17" s="1"/>
    </row>
    <row r="18" ht="28.5" customHeight="1">
      <c r="A18" s="1"/>
      <c r="B18" s="24" t="s">
        <v>548</v>
      </c>
      <c r="C18" s="25">
        <f>_xlfn.IFERROR(IF(ABS(C17-'Revenue summary'!C66)&lt;=0.5,0,C17-'Revenue summary'!C66),1)</f>
        <v>0</v>
      </c>
      <c r="D18" s="25">
        <f>_xlfn.IFERROR(IF(ABS(D17-'Revenue summary'!D66)&lt;=0.5,0,D17-'Revenue summary'!D66),1)</f>
        <v>0</v>
      </c>
      <c r="E18" s="25">
        <f>_xlfn.IFERROR(IF(ABS(E17-'Revenue summary'!E66)&lt;=0.5,0,E17-'Revenue summary'!E66),1)</f>
        <v>0</v>
      </c>
      <c r="F18" s="25">
        <f>_xlfn.IFERROR(IF(ABS(F17-'Revenue summary'!F66)&lt;=0.5,0,F17-'Revenue summary'!F66),1)</f>
        <v>0</v>
      </c>
      <c r="G18" s="25">
        <f>_xlfn.IFERROR(IF(ABS(G17-'Revenue summary'!G66)&lt;=0.5,0,G17-'Revenue summary'!G66),1)</f>
        <v>0</v>
      </c>
      <c r="H18" s="25">
        <f>_xlfn.IFERROR(IF(ABS(H17-'Revenue summary'!H66)&lt;=0.5,0,H17-'Revenue summary'!H66),1)</f>
        <v>0</v>
      </c>
      <c r="I18" s="25">
        <f>_xlfn.IFERROR(IF(ABS(I17-'Revenue summary'!I66)&lt;=0.5,0,I17-'Revenue summary'!I66),1)</f>
        <v>0</v>
      </c>
      <c r="J18" s="48">
        <f>_xlfn.IFERROR(IF(ABS(J17-'Revenue summary'!J66)&lt;=0.5,0,J17-'Revenue summary'!J66),1)</f>
        <v>0</v>
      </c>
      <c r="K18" s="1"/>
    </row>
    <row r="19" ht="41.25" customHeight="1">
      <c r="A19" s="1"/>
      <c r="B19" s="60" t="s">
        <v>549</v>
      </c>
      <c r="C19" s="29" t="s">
        <v>41</v>
      </c>
      <c r="D19" s="29" t="s">
        <v>41</v>
      </c>
      <c r="E19" s="79">
        <v>0.264</v>
      </c>
      <c r="F19" s="79">
        <v>0.275</v>
      </c>
      <c r="G19" s="79">
        <v>0.249</v>
      </c>
      <c r="H19" s="79">
        <v>0.268</v>
      </c>
      <c r="I19" s="79">
        <v>0.275</v>
      </c>
      <c r="J19" s="30" t="s">
        <v>41</v>
      </c>
      <c r="K19" s="1" t="s">
        <v>550</v>
      </c>
    </row>
    <row r="20" ht="15" customHeight="1">
      <c r="A20" s="1"/>
      <c r="B20" s="1"/>
      <c r="C20" s="17"/>
      <c r="D20" s="17"/>
      <c r="E20" s="17"/>
      <c r="F20" s="17"/>
      <c r="G20" s="17"/>
      <c r="H20" s="17"/>
      <c r="I20" s="17"/>
      <c r="J20" s="18"/>
      <c r="K20" s="1"/>
    </row>
    <row r="21" ht="15" customHeight="1">
      <c r="A21" s="1"/>
      <c r="B21" s="16" t="s">
        <v>551</v>
      </c>
      <c r="C21" s="17"/>
      <c r="D21" s="17"/>
      <c r="E21" s="17"/>
      <c r="F21" s="17"/>
      <c r="G21" s="17"/>
      <c r="H21" s="17"/>
      <c r="I21" s="17"/>
      <c r="J21" s="18"/>
      <c r="K21" s="1" t="s">
        <v>552</v>
      </c>
    </row>
    <row r="22" ht="15" customHeight="1">
      <c r="A22" s="1"/>
      <c r="B22" s="19" t="s">
        <v>553</v>
      </c>
      <c r="C22" s="25">
        <f>'Segment - GMNA'!C22</f>
        <v>693</v>
      </c>
      <c r="D22" s="25">
        <f>'Segment - GMNA'!D22</f>
        <v>746</v>
      </c>
      <c r="E22" s="25">
        <f>'Segment - GMNA'!E22</f>
        <v>711</v>
      </c>
      <c r="F22" s="25">
        <f>'Segment - GMNA'!F22</f>
        <v>703</v>
      </c>
      <c r="G22" s="25">
        <f>'Segment - GMNA'!G22</f>
        <v>626</v>
      </c>
      <c r="H22" s="25">
        <f>'Segment - GMNA'!H22</f>
        <v>715</v>
      </c>
      <c r="I22" s="25">
        <f>'Segment - GMNA'!I22</f>
        <v>2854</v>
      </c>
      <c r="J22" s="48">
        <f>'Segment - GMNA'!J22</f>
        <v>670.9739999999999</v>
      </c>
      <c r="K22" s="1"/>
    </row>
    <row r="23" ht="15" customHeight="1">
      <c r="A23" s="1"/>
      <c r="B23" s="28" t="s">
        <v>80</v>
      </c>
      <c r="C23" s="29" t="s">
        <v>41</v>
      </c>
      <c r="D23" s="29" t="s">
        <v>41</v>
      </c>
      <c r="E23" s="29" t="s">
        <v>41</v>
      </c>
      <c r="F23" s="29" t="s">
        <v>41</v>
      </c>
      <c r="G23" s="29">
        <f t="shared" si="6" ref="G23:H68">_xlfn.IFERROR(G22/C22-1,"n.a.")</f>
        <v>-0.0966810966810967</v>
      </c>
      <c r="H23" s="29">
        <f t="shared" si="6"/>
        <v>-0.041554959785522816</v>
      </c>
      <c r="I23" s="29" t="s">
        <v>41</v>
      </c>
      <c r="J23" s="30">
        <f t="shared" si="8" ref="J23:J68">_xlfn.IFERROR(J22/E22-1,"n.a.")</f>
        <v>-0.05629535864978907</v>
      </c>
      <c r="K23" s="1"/>
    </row>
    <row r="24" ht="15" customHeight="1">
      <c r="A24" s="1"/>
      <c r="B24" s="28" t="s">
        <v>93</v>
      </c>
      <c r="C24" s="50" t="s">
        <v>41</v>
      </c>
      <c r="D24" s="50">
        <f t="shared" si="7" ref="D24:H69">_xlfn.IFERROR(D22-C22,"n.a.")</f>
        <v>53</v>
      </c>
      <c r="E24" s="50">
        <f t="shared" si="7"/>
        <v>-35</v>
      </c>
      <c r="F24" s="50">
        <f t="shared" si="7"/>
        <v>-8</v>
      </c>
      <c r="G24" s="50">
        <f t="shared" si="7"/>
        <v>-77</v>
      </c>
      <c r="H24" s="50">
        <f t="shared" si="7"/>
        <v>89</v>
      </c>
      <c r="I24" s="50" t="s">
        <v>41</v>
      </c>
      <c r="J24" s="51">
        <f t="shared" si="9" ref="J24:J69">_xlfn.IFERROR(J22-H22,"n.a.")</f>
        <v>-44.02600000000007</v>
      </c>
      <c r="K24" s="1"/>
    </row>
    <row r="25" ht="28.5" customHeight="1">
      <c r="A25" s="1"/>
      <c r="B25" s="24" t="s">
        <v>554</v>
      </c>
      <c r="C25" s="25">
        <f>'Segment - GMNA'!C39</f>
        <v>126</v>
      </c>
      <c r="D25" s="25">
        <f>'Segment - GMNA'!D39</f>
        <v>131</v>
      </c>
      <c r="E25" s="25">
        <f>'Segment - GMNA'!E39</f>
        <v>127</v>
      </c>
      <c r="F25" s="25">
        <f>'Segment - GMNA'!F39</f>
        <v>124</v>
      </c>
      <c r="G25" s="25">
        <f>'Segment - GMNA'!G39</f>
        <v>117</v>
      </c>
      <c r="H25" s="25">
        <f>'Segment - GMNA'!H39</f>
        <v>133</v>
      </c>
      <c r="I25" s="25">
        <f>'Segment - GMNA'!I39</f>
        <v>507</v>
      </c>
      <c r="J25" s="48">
        <f>'Segment - GMNA'!J39</f>
        <v>127</v>
      </c>
      <c r="K25" s="1"/>
    </row>
    <row r="26" ht="15" customHeight="1">
      <c r="A26" s="1"/>
      <c r="B26" s="28" t="s">
        <v>80</v>
      </c>
      <c r="C26" s="29" t="s">
        <v>41</v>
      </c>
      <c r="D26" s="29" t="s">
        <v>41</v>
      </c>
      <c r="E26" s="29" t="s">
        <v>41</v>
      </c>
      <c r="F26" s="29" t="s">
        <v>41</v>
      </c>
      <c r="G26" s="29">
        <f t="shared" si="6"/>
        <v>-0.0714285714285714</v>
      </c>
      <c r="H26" s="29">
        <f t="shared" si="6"/>
        <v>0.01526717557251911</v>
      </c>
      <c r="I26" s="29" t="s">
        <v>41</v>
      </c>
      <c r="J26" s="30">
        <f t="shared" si="8"/>
        <v>0</v>
      </c>
      <c r="K26" s="1"/>
    </row>
    <row r="27" ht="15" customHeight="1">
      <c r="A27" s="1"/>
      <c r="B27" s="28" t="s">
        <v>93</v>
      </c>
      <c r="C27" s="50" t="s">
        <v>41</v>
      </c>
      <c r="D27" s="50">
        <f t="shared" si="7"/>
        <v>5</v>
      </c>
      <c r="E27" s="50">
        <f t="shared" si="7"/>
        <v>-4</v>
      </c>
      <c r="F27" s="50">
        <f t="shared" si="7"/>
        <v>-3</v>
      </c>
      <c r="G27" s="50">
        <f t="shared" si="7"/>
        <v>-7</v>
      </c>
      <c r="H27" s="50">
        <f t="shared" si="7"/>
        <v>16</v>
      </c>
      <c r="I27" s="50" t="s">
        <v>41</v>
      </c>
      <c r="J27" s="51">
        <f t="shared" si="9"/>
        <v>-6</v>
      </c>
      <c r="K27" s="1"/>
    </row>
    <row r="28" ht="15" customHeight="1">
      <c r="A28" s="1"/>
      <c r="B28" s="19" t="s">
        <v>555</v>
      </c>
      <c r="C28" s="25">
        <f>'Segment - GMI'!C16</f>
        <v>443</v>
      </c>
      <c r="D28" s="25">
        <f>'Segment - GMI'!D16</f>
        <v>447</v>
      </c>
      <c r="E28" s="25">
        <f>'Segment - GMI'!E16</f>
        <v>469</v>
      </c>
      <c r="F28" s="25">
        <f>'Segment - GMI'!F16</f>
        <v>521</v>
      </c>
      <c r="G28" s="25">
        <f>'Segment - GMI'!G16</f>
        <v>349</v>
      </c>
      <c r="H28" s="25">
        <f>'Segment - GMI'!H16</f>
        <v>357</v>
      </c>
      <c r="I28" s="25">
        <f>'Segment - GMI'!I16</f>
        <v>1880</v>
      </c>
      <c r="J28" s="48">
        <f>'Segment - GMI'!J16</f>
        <v>358</v>
      </c>
      <c r="K28" s="1"/>
    </row>
    <row r="29" ht="15" customHeight="1">
      <c r="A29" s="1"/>
      <c r="B29" s="28" t="s">
        <v>80</v>
      </c>
      <c r="C29" s="29" t="s">
        <v>41</v>
      </c>
      <c r="D29" s="29" t="s">
        <v>41</v>
      </c>
      <c r="E29" s="29" t="s">
        <v>41</v>
      </c>
      <c r="F29" s="29" t="s">
        <v>41</v>
      </c>
      <c r="G29" s="29">
        <f t="shared" si="6"/>
        <v>-0.21218961625282162</v>
      </c>
      <c r="H29" s="29">
        <f t="shared" si="6"/>
        <v>-0.20134228187919467</v>
      </c>
      <c r="I29" s="29" t="s">
        <v>41</v>
      </c>
      <c r="J29" s="30">
        <f t="shared" si="8"/>
        <v>-0.2366737739872068</v>
      </c>
      <c r="K29" s="1"/>
    </row>
    <row r="30" ht="15" customHeight="1">
      <c r="A30" s="1"/>
      <c r="B30" s="28" t="s">
        <v>93</v>
      </c>
      <c r="C30" s="50" t="s">
        <v>41</v>
      </c>
      <c r="D30" s="50">
        <f t="shared" si="7"/>
        <v>4</v>
      </c>
      <c r="E30" s="50">
        <f t="shared" si="7"/>
        <v>22</v>
      </c>
      <c r="F30" s="50">
        <f t="shared" si="7"/>
        <v>52</v>
      </c>
      <c r="G30" s="50">
        <f t="shared" si="7"/>
        <v>-172</v>
      </c>
      <c r="H30" s="50">
        <f t="shared" si="7"/>
        <v>8</v>
      </c>
      <c r="I30" s="50" t="s">
        <v>41</v>
      </c>
      <c r="J30" s="51">
        <f t="shared" si="9"/>
        <v>1</v>
      </c>
      <c r="K30" s="1"/>
    </row>
    <row r="31" ht="41.25" customHeight="1">
      <c r="A31" s="1"/>
      <c r="B31" s="24" t="s">
        <v>556</v>
      </c>
      <c r="C31" s="47">
        <v>102</v>
      </c>
      <c r="D31" s="47">
        <v>118</v>
      </c>
      <c r="E31" s="47">
        <v>150</v>
      </c>
      <c r="F31" s="47">
        <v>169</v>
      </c>
      <c r="G31" s="47">
        <v>108</v>
      </c>
      <c r="H31" s="47">
        <v>106</v>
      </c>
      <c r="I31" s="47">
        <v>538</v>
      </c>
      <c r="J31" s="27" t="s">
        <v>41</v>
      </c>
      <c r="K31" s="1"/>
    </row>
    <row r="32" ht="15" customHeight="1">
      <c r="A32" s="1"/>
      <c r="B32" s="28" t="s">
        <v>80</v>
      </c>
      <c r="C32" s="29" t="s">
        <v>41</v>
      </c>
      <c r="D32" s="29" t="s">
        <v>41</v>
      </c>
      <c r="E32" s="29" t="s">
        <v>41</v>
      </c>
      <c r="F32" s="29" t="s">
        <v>41</v>
      </c>
      <c r="G32" s="29">
        <f t="shared" si="6"/>
        <v>0.05882352941176472</v>
      </c>
      <c r="H32" s="29">
        <f t="shared" si="6"/>
        <v>-0.10169491525423724</v>
      </c>
      <c r="I32" s="29" t="s">
        <v>41</v>
      </c>
      <c r="J32" s="30" t="str">
        <f t="shared" si="8"/>
        <v>n.a.</v>
      </c>
      <c r="K32" s="1"/>
    </row>
    <row r="33" ht="15" customHeight="1">
      <c r="A33" s="1"/>
      <c r="B33" s="28" t="s">
        <v>93</v>
      </c>
      <c r="C33" s="50" t="s">
        <v>41</v>
      </c>
      <c r="D33" s="50">
        <f t="shared" si="7"/>
        <v>16</v>
      </c>
      <c r="E33" s="50">
        <f t="shared" si="7"/>
        <v>32</v>
      </c>
      <c r="F33" s="50">
        <f t="shared" si="7"/>
        <v>19</v>
      </c>
      <c r="G33" s="50">
        <f t="shared" si="7"/>
        <v>-61</v>
      </c>
      <c r="H33" s="50">
        <f t="shared" si="7"/>
        <v>-2</v>
      </c>
      <c r="I33" s="50" t="s">
        <v>41</v>
      </c>
      <c r="J33" s="51" t="str">
        <f t="shared" si="9"/>
        <v>n.a.</v>
      </c>
      <c r="K33" s="1"/>
    </row>
    <row r="34" ht="15" customHeight="1">
      <c r="A34" s="1"/>
      <c r="B34" s="19" t="s">
        <v>557</v>
      </c>
      <c r="C34" s="47">
        <v>56</v>
      </c>
      <c r="D34" s="47">
        <v>64</v>
      </c>
      <c r="E34" s="47">
        <v>72</v>
      </c>
      <c r="F34" s="47">
        <v>84</v>
      </c>
      <c r="G34" s="47">
        <v>61</v>
      </c>
      <c r="H34" s="47">
        <v>79</v>
      </c>
      <c r="I34" s="47">
        <v>276</v>
      </c>
      <c r="J34" s="27" t="s">
        <v>41</v>
      </c>
      <c r="K34" s="1"/>
    </row>
    <row r="35" ht="15" customHeight="1">
      <c r="A35" s="1"/>
      <c r="B35" s="28" t="s">
        <v>80</v>
      </c>
      <c r="C35" s="29" t="s">
        <v>41</v>
      </c>
      <c r="D35" s="29" t="s">
        <v>41</v>
      </c>
      <c r="E35" s="29" t="s">
        <v>41</v>
      </c>
      <c r="F35" s="29" t="s">
        <v>41</v>
      </c>
      <c r="G35" s="29">
        <f t="shared" si="6"/>
        <v>0.08928571428571419</v>
      </c>
      <c r="H35" s="29">
        <f t="shared" si="6"/>
        <v>0.234375</v>
      </c>
      <c r="I35" s="29" t="s">
        <v>41</v>
      </c>
      <c r="J35" s="30" t="str">
        <f t="shared" si="8"/>
        <v>n.a.</v>
      </c>
      <c r="K35" s="1"/>
    </row>
    <row r="36" ht="15" customHeight="1">
      <c r="A36" s="1"/>
      <c r="B36" s="28" t="s">
        <v>93</v>
      </c>
      <c r="C36" s="50" t="s">
        <v>41</v>
      </c>
      <c r="D36" s="50">
        <f t="shared" si="7"/>
        <v>8</v>
      </c>
      <c r="E36" s="50">
        <f t="shared" si="7"/>
        <v>8</v>
      </c>
      <c r="F36" s="50">
        <f t="shared" si="7"/>
        <v>12</v>
      </c>
      <c r="G36" s="50">
        <f t="shared" si="7"/>
        <v>-23</v>
      </c>
      <c r="H36" s="50">
        <f t="shared" si="7"/>
        <v>18</v>
      </c>
      <c r="I36" s="50" t="s">
        <v>41</v>
      </c>
      <c r="J36" s="51" t="str">
        <f t="shared" si="9"/>
        <v>n.a.</v>
      </c>
      <c r="K36" s="1"/>
    </row>
    <row r="37" ht="28.5" customHeight="1">
      <c r="A37" s="1"/>
      <c r="B37" s="24" t="s">
        <v>558</v>
      </c>
      <c r="C37" s="47">
        <v>29</v>
      </c>
      <c r="D37" s="47">
        <v>31</v>
      </c>
      <c r="E37" s="47">
        <v>35</v>
      </c>
      <c r="F37" s="47">
        <v>32</v>
      </c>
      <c r="G37" s="47">
        <v>33</v>
      </c>
      <c r="H37" s="47">
        <v>35</v>
      </c>
      <c r="I37" s="47">
        <v>126</v>
      </c>
      <c r="J37" s="27" t="s">
        <v>41</v>
      </c>
      <c r="K37" s="1"/>
    </row>
    <row r="38" ht="15" customHeight="1">
      <c r="A38" s="1"/>
      <c r="B38" s="28" t="s">
        <v>80</v>
      </c>
      <c r="C38" s="29" t="s">
        <v>41</v>
      </c>
      <c r="D38" s="29" t="s">
        <v>41</v>
      </c>
      <c r="E38" s="29" t="s">
        <v>41</v>
      </c>
      <c r="F38" s="29" t="s">
        <v>41</v>
      </c>
      <c r="G38" s="29">
        <f t="shared" si="6"/>
        <v>0.13793103448275867</v>
      </c>
      <c r="H38" s="29">
        <f t="shared" si="6"/>
        <v>0.12903225806451624</v>
      </c>
      <c r="I38" s="29" t="s">
        <v>41</v>
      </c>
      <c r="J38" s="30" t="str">
        <f t="shared" si="8"/>
        <v>n.a.</v>
      </c>
      <c r="K38" s="1"/>
    </row>
    <row r="39" ht="15" customHeight="1">
      <c r="A39" s="1"/>
      <c r="B39" s="28" t="s">
        <v>93</v>
      </c>
      <c r="C39" s="50" t="s">
        <v>41</v>
      </c>
      <c r="D39" s="50">
        <f t="shared" si="7"/>
        <v>2</v>
      </c>
      <c r="E39" s="50">
        <f t="shared" si="7"/>
        <v>4</v>
      </c>
      <c r="F39" s="50">
        <f t="shared" si="7"/>
        <v>-3</v>
      </c>
      <c r="G39" s="50">
        <f t="shared" si="7"/>
        <v>1</v>
      </c>
      <c r="H39" s="50">
        <f t="shared" si="7"/>
        <v>2</v>
      </c>
      <c r="I39" s="50" t="s">
        <v>41</v>
      </c>
      <c r="J39" s="51" t="str">
        <f t="shared" si="9"/>
        <v>n.a.</v>
      </c>
      <c r="K39" s="1"/>
    </row>
    <row r="40" ht="15" customHeight="1">
      <c r="A40" s="1"/>
      <c r="B40" s="19" t="s">
        <v>559</v>
      </c>
      <c r="C40" s="47">
        <v>1</v>
      </c>
      <c r="D40" s="47">
        <v>0</v>
      </c>
      <c r="E40" s="47">
        <v>1</v>
      </c>
      <c r="F40" s="47">
        <v>0</v>
      </c>
      <c r="G40" s="47">
        <v>0</v>
      </c>
      <c r="H40" s="47">
        <v>0</v>
      </c>
      <c r="I40" s="47">
        <v>2</v>
      </c>
      <c r="J40" s="27" t="s">
        <v>41</v>
      </c>
      <c r="K40" s="1"/>
    </row>
    <row r="41" ht="15" customHeight="1">
      <c r="A41" s="1"/>
      <c r="B41" s="28" t="s">
        <v>80</v>
      </c>
      <c r="C41" s="29" t="s">
        <v>41</v>
      </c>
      <c r="D41" s="29" t="s">
        <v>41</v>
      </c>
      <c r="E41" s="29" t="s">
        <v>41</v>
      </c>
      <c r="F41" s="29" t="s">
        <v>41</v>
      </c>
      <c r="G41" s="29">
        <f t="shared" si="6"/>
        <v>-1</v>
      </c>
      <c r="H41" s="29" t="str">
        <f t="shared" si="6"/>
        <v>n.a.</v>
      </c>
      <c r="I41" s="29" t="s">
        <v>41</v>
      </c>
      <c r="J41" s="30" t="str">
        <f t="shared" si="8"/>
        <v>n.a.</v>
      </c>
      <c r="K41" s="1"/>
    </row>
    <row r="42" ht="15" customHeight="1">
      <c r="A42" s="1"/>
      <c r="B42" s="28" t="s">
        <v>93</v>
      </c>
      <c r="C42" s="50" t="s">
        <v>41</v>
      </c>
      <c r="D42" s="50">
        <f t="shared" si="7"/>
        <v>-1</v>
      </c>
      <c r="E42" s="50">
        <f t="shared" si="7"/>
        <v>1</v>
      </c>
      <c r="F42" s="50">
        <f t="shared" si="7"/>
        <v>-1</v>
      </c>
      <c r="G42" s="50">
        <f t="shared" si="7"/>
        <v>0</v>
      </c>
      <c r="H42" s="50">
        <f t="shared" si="7"/>
        <v>0</v>
      </c>
      <c r="I42" s="50" t="s">
        <v>41</v>
      </c>
      <c r="J42" s="51" t="str">
        <f t="shared" si="9"/>
        <v>n.a.</v>
      </c>
      <c r="K42" s="1"/>
    </row>
    <row r="43" ht="15" customHeight="1">
      <c r="A43" s="1"/>
      <c r="B43" s="4" t="s">
        <v>560</v>
      </c>
      <c r="C43" s="52">
        <f t="shared" si="10" ref="C43:I43">C22+C25+C28+C31+C34+C37+C40</f>
        <v>1450</v>
      </c>
      <c r="D43" s="52">
        <f t="shared" si="10"/>
        <v>1537</v>
      </c>
      <c r="E43" s="52">
        <f t="shared" si="10"/>
        <v>1565</v>
      </c>
      <c r="F43" s="52">
        <f t="shared" si="10"/>
        <v>1633</v>
      </c>
      <c r="G43" s="52">
        <f t="shared" si="10"/>
        <v>1294</v>
      </c>
      <c r="H43" s="52">
        <f t="shared" si="10"/>
        <v>1425</v>
      </c>
      <c r="I43" s="52">
        <f t="shared" si="10"/>
        <v>6183</v>
      </c>
      <c r="J43" s="53" t="s">
        <v>41</v>
      </c>
      <c r="K43" s="1"/>
    </row>
    <row r="44" ht="15" customHeight="1">
      <c r="A44" s="1"/>
      <c r="B44" s="28" t="s">
        <v>80</v>
      </c>
      <c r="C44" s="29" t="s">
        <v>41</v>
      </c>
      <c r="D44" s="29" t="s">
        <v>41</v>
      </c>
      <c r="E44" s="29" t="s">
        <v>41</v>
      </c>
      <c r="F44" s="29" t="s">
        <v>41</v>
      </c>
      <c r="G44" s="29">
        <f t="shared" si="6"/>
        <v>-0.10758620689655174</v>
      </c>
      <c r="H44" s="29">
        <f t="shared" si="6"/>
        <v>-0.0728692257644763</v>
      </c>
      <c r="I44" s="29" t="s">
        <v>41</v>
      </c>
      <c r="J44" s="30" t="str">
        <f t="shared" si="8"/>
        <v>n.a.</v>
      </c>
      <c r="K44" s="1"/>
    </row>
    <row r="45" ht="15" customHeight="1">
      <c r="A45" s="1"/>
      <c r="B45" s="28" t="s">
        <v>93</v>
      </c>
      <c r="C45" s="50" t="s">
        <v>41</v>
      </c>
      <c r="D45" s="50">
        <f t="shared" si="7"/>
        <v>87</v>
      </c>
      <c r="E45" s="50">
        <f t="shared" si="7"/>
        <v>28</v>
      </c>
      <c r="F45" s="50">
        <f t="shared" si="7"/>
        <v>68</v>
      </c>
      <c r="G45" s="50">
        <f t="shared" si="7"/>
        <v>-339</v>
      </c>
      <c r="H45" s="50">
        <f t="shared" si="7"/>
        <v>131</v>
      </c>
      <c r="I45" s="50" t="s">
        <v>41</v>
      </c>
      <c r="J45" s="51" t="str">
        <f t="shared" si="9"/>
        <v>n.a.</v>
      </c>
      <c r="K45" s="1"/>
    </row>
    <row r="46" ht="28.5" customHeight="1">
      <c r="A46" s="1"/>
      <c r="B46" s="24" t="s">
        <v>561</v>
      </c>
      <c r="C46" s="47">
        <v>1449</v>
      </c>
      <c r="D46" s="47">
        <v>1538</v>
      </c>
      <c r="E46" s="47">
        <v>1564</v>
      </c>
      <c r="F46" s="47">
        <v>1633</v>
      </c>
      <c r="G46" s="47">
        <v>1295</v>
      </c>
      <c r="H46" s="47">
        <v>1427</v>
      </c>
      <c r="I46" s="47">
        <v>6184</v>
      </c>
      <c r="J46" s="27" t="s">
        <v>41</v>
      </c>
      <c r="K46" s="1"/>
    </row>
    <row r="47" ht="28.5" customHeight="1">
      <c r="A47" s="1"/>
      <c r="B47" s="24" t="s">
        <v>562</v>
      </c>
      <c r="C47" s="26">
        <f t="shared" si="11" ref="C47:I47">_xlfn.IFERROR(IF(ABS(C43-C46)&lt;=3,0,C43-C46),1)</f>
        <v>0</v>
      </c>
      <c r="D47" s="26">
        <f t="shared" si="11"/>
        <v>0</v>
      </c>
      <c r="E47" s="26">
        <f t="shared" si="11"/>
        <v>0</v>
      </c>
      <c r="F47" s="26">
        <f t="shared" si="11"/>
        <v>0</v>
      </c>
      <c r="G47" s="26">
        <f t="shared" si="11"/>
        <v>0</v>
      </c>
      <c r="H47" s="26">
        <f t="shared" si="11"/>
        <v>0</v>
      </c>
      <c r="I47" s="26">
        <f t="shared" si="11"/>
        <v>0</v>
      </c>
      <c r="J47" s="27"/>
      <c r="K47" s="1"/>
    </row>
    <row r="48" ht="15" customHeight="1">
      <c r="A48" s="1"/>
      <c r="B48" s="16" t="s">
        <v>563</v>
      </c>
      <c r="C48" s="17"/>
      <c r="D48" s="17"/>
      <c r="E48" s="17"/>
      <c r="F48" s="17"/>
      <c r="G48" s="17"/>
      <c r="H48" s="17"/>
      <c r="I48" s="17"/>
      <c r="J48" s="18"/>
      <c r="K48" s="1"/>
    </row>
    <row r="49" ht="15" customHeight="1">
      <c r="A49" s="1"/>
      <c r="B49" s="19" t="s">
        <v>564</v>
      </c>
      <c r="C49" s="25">
        <f>'Segment - GMNA'!C10</f>
        <v>4032</v>
      </c>
      <c r="D49" s="25">
        <f>'Segment - GMNA'!D10</f>
        <v>4294</v>
      </c>
      <c r="E49" s="25">
        <f>'Segment - GMNA'!E10</f>
        <v>4187</v>
      </c>
      <c r="F49" s="25">
        <f>'Segment - GMNA'!F10</f>
        <v>4097</v>
      </c>
      <c r="G49" s="25">
        <f>'Segment - GMNA'!G10</f>
        <v>3792</v>
      </c>
      <c r="H49" s="25">
        <f>'Segment - GMNA'!H10</f>
        <v>4310</v>
      </c>
      <c r="I49" s="25">
        <f>'Segment - GMNA'!I10</f>
        <v>16631</v>
      </c>
      <c r="J49" s="48">
        <f>'Segment - GMNA'!J10</f>
        <v>4187</v>
      </c>
      <c r="K49" s="1"/>
    </row>
    <row r="50" ht="15" customHeight="1">
      <c r="A50" s="1"/>
      <c r="B50" s="28" t="s">
        <v>80</v>
      </c>
      <c r="C50" s="29" t="s">
        <v>41</v>
      </c>
      <c r="D50" s="29" t="s">
        <v>41</v>
      </c>
      <c r="E50" s="29" t="s">
        <v>41</v>
      </c>
      <c r="F50" s="29" t="s">
        <v>41</v>
      </c>
      <c r="G50" s="29">
        <f t="shared" si="6"/>
        <v>-0.059523809523809534</v>
      </c>
      <c r="H50" s="29">
        <f t="shared" si="6"/>
        <v>0.0037261294829995517</v>
      </c>
      <c r="I50" s="29" t="s">
        <v>41</v>
      </c>
      <c r="J50" s="30">
        <f t="shared" si="8"/>
        <v>0</v>
      </c>
      <c r="K50" s="1"/>
    </row>
    <row r="51" ht="15" customHeight="1">
      <c r="A51" s="1"/>
      <c r="B51" s="28" t="s">
        <v>93</v>
      </c>
      <c r="C51" s="50" t="s">
        <v>41</v>
      </c>
      <c r="D51" s="50">
        <f t="shared" si="7"/>
        <v>262</v>
      </c>
      <c r="E51" s="50">
        <f t="shared" si="7"/>
        <v>-107</v>
      </c>
      <c r="F51" s="50">
        <f t="shared" si="7"/>
        <v>-90</v>
      </c>
      <c r="G51" s="50">
        <f t="shared" si="7"/>
        <v>-305</v>
      </c>
      <c r="H51" s="50">
        <f t="shared" si="7"/>
        <v>518</v>
      </c>
      <c r="I51" s="50" t="s">
        <v>41</v>
      </c>
      <c r="J51" s="51">
        <f t="shared" si="9"/>
        <v>-123</v>
      </c>
      <c r="K51" s="1"/>
    </row>
    <row r="52" ht="15" customHeight="1">
      <c r="A52" s="1"/>
      <c r="B52" s="19" t="s">
        <v>565</v>
      </c>
      <c r="C52" s="47">
        <v>941</v>
      </c>
      <c r="D52" s="47">
        <v>1052</v>
      </c>
      <c r="E52" s="47">
        <v>1015</v>
      </c>
      <c r="F52" s="47">
        <v>1020</v>
      </c>
      <c r="G52" s="47">
        <v>924</v>
      </c>
      <c r="H52" s="47">
        <v>1059</v>
      </c>
      <c r="I52" s="47">
        <v>4027</v>
      </c>
      <c r="J52" s="27" t="s">
        <v>41</v>
      </c>
      <c r="K52" s="1"/>
    </row>
    <row r="53" ht="15" customHeight="1">
      <c r="A53" s="1"/>
      <c r="B53" s="28" t="s">
        <v>80</v>
      </c>
      <c r="C53" s="29" t="s">
        <v>41</v>
      </c>
      <c r="D53" s="29" t="s">
        <v>41</v>
      </c>
      <c r="E53" s="29" t="s">
        <v>41</v>
      </c>
      <c r="F53" s="29" t="s">
        <v>41</v>
      </c>
      <c r="G53" s="29">
        <f t="shared" si="6"/>
        <v>-0.018065887353878818</v>
      </c>
      <c r="H53" s="29">
        <f t="shared" si="6"/>
        <v>0.0066539923954371805</v>
      </c>
      <c r="I53" s="29" t="s">
        <v>41</v>
      </c>
      <c r="J53" s="30" t="str">
        <f t="shared" si="8"/>
        <v>n.a.</v>
      </c>
      <c r="K53" s="1"/>
    </row>
    <row r="54" ht="15" customHeight="1">
      <c r="A54" s="1"/>
      <c r="B54" s="28" t="s">
        <v>93</v>
      </c>
      <c r="C54" s="50" t="s">
        <v>41</v>
      </c>
      <c r="D54" s="50">
        <f t="shared" si="7"/>
        <v>111</v>
      </c>
      <c r="E54" s="50">
        <f t="shared" si="7"/>
        <v>-37</v>
      </c>
      <c r="F54" s="50">
        <f t="shared" si="7"/>
        <v>5</v>
      </c>
      <c r="G54" s="50">
        <f t="shared" si="7"/>
        <v>-96</v>
      </c>
      <c r="H54" s="50">
        <f t="shared" si="7"/>
        <v>135</v>
      </c>
      <c r="I54" s="50" t="s">
        <v>41</v>
      </c>
      <c r="J54" s="51" t="str">
        <f t="shared" si="9"/>
        <v>n.a.</v>
      </c>
      <c r="K54" s="1"/>
    </row>
    <row r="55" ht="15" customHeight="1">
      <c r="A55" s="1"/>
      <c r="B55" s="19" t="s">
        <v>566</v>
      </c>
      <c r="C55" s="47">
        <v>5811</v>
      </c>
      <c r="D55" s="47">
        <v>6587</v>
      </c>
      <c r="E55" s="47">
        <v>6901</v>
      </c>
      <c r="F55" s="47">
        <v>7079</v>
      </c>
      <c r="G55" s="47">
        <v>5062</v>
      </c>
      <c r="H55" s="47">
        <v>5434</v>
      </c>
      <c r="I55" s="47">
        <v>26412</v>
      </c>
      <c r="J55" s="27" t="s">
        <v>41</v>
      </c>
      <c r="K55" s="1" t="s">
        <v>567</v>
      </c>
    </row>
    <row r="56" ht="15" customHeight="1">
      <c r="A56" s="1"/>
      <c r="B56" s="28" t="s">
        <v>80</v>
      </c>
      <c r="C56" s="29" t="s">
        <v>41</v>
      </c>
      <c r="D56" s="29" t="s">
        <v>41</v>
      </c>
      <c r="E56" s="29" t="s">
        <v>41</v>
      </c>
      <c r="F56" s="29" t="s">
        <v>41</v>
      </c>
      <c r="G56" s="29">
        <f t="shared" si="6"/>
        <v>-0.12889347788676653</v>
      </c>
      <c r="H56" s="29">
        <f t="shared" si="6"/>
        <v>-0.1750417488993472</v>
      </c>
      <c r="I56" s="29" t="s">
        <v>41</v>
      </c>
      <c r="J56" s="30" t="str">
        <f t="shared" si="8"/>
        <v>n.a.</v>
      </c>
      <c r="K56" s="1"/>
    </row>
    <row r="57" ht="15" customHeight="1">
      <c r="A57" s="1"/>
      <c r="B57" s="28" t="s">
        <v>93</v>
      </c>
      <c r="C57" s="50" t="s">
        <v>41</v>
      </c>
      <c r="D57" s="50">
        <f t="shared" si="7"/>
        <v>776</v>
      </c>
      <c r="E57" s="50">
        <f t="shared" si="7"/>
        <v>314</v>
      </c>
      <c r="F57" s="50">
        <f t="shared" si="7"/>
        <v>178</v>
      </c>
      <c r="G57" s="50">
        <f t="shared" si="7"/>
        <v>-2017</v>
      </c>
      <c r="H57" s="50">
        <f t="shared" si="7"/>
        <v>372</v>
      </c>
      <c r="I57" s="50" t="s">
        <v>41</v>
      </c>
      <c r="J57" s="51" t="str">
        <f t="shared" si="9"/>
        <v>n.a.</v>
      </c>
      <c r="K57" s="1"/>
    </row>
    <row r="58" ht="28.5" customHeight="1">
      <c r="A58" s="1"/>
      <c r="B58" s="24" t="s">
        <v>568</v>
      </c>
      <c r="C58" s="47">
        <v>5733</v>
      </c>
      <c r="D58" s="47">
        <v>5442</v>
      </c>
      <c r="E58" s="47">
        <v>5598</v>
      </c>
      <c r="F58" s="47">
        <v>5701</v>
      </c>
      <c r="G58" s="47">
        <v>5786</v>
      </c>
      <c r="H58" s="47">
        <v>5611</v>
      </c>
      <c r="I58" s="47">
        <v>22368</v>
      </c>
      <c r="J58" s="27" t="s">
        <v>41</v>
      </c>
      <c r="K58" s="1" t="s">
        <v>569</v>
      </c>
    </row>
    <row r="59" ht="15" customHeight="1">
      <c r="A59" s="1"/>
      <c r="B59" s="28" t="s">
        <v>80</v>
      </c>
      <c r="C59" s="29" t="s">
        <v>41</v>
      </c>
      <c r="D59" s="29" t="s">
        <v>41</v>
      </c>
      <c r="E59" s="29" t="s">
        <v>41</v>
      </c>
      <c r="F59" s="29" t="s">
        <v>41</v>
      </c>
      <c r="G59" s="29">
        <f t="shared" si="6"/>
        <v>0.009244723530437815</v>
      </c>
      <c r="H59" s="29">
        <f t="shared" si="6"/>
        <v>0.031054759279676603</v>
      </c>
      <c r="I59" s="29" t="s">
        <v>41</v>
      </c>
      <c r="J59" s="30" t="str">
        <f t="shared" si="8"/>
        <v>n.a.</v>
      </c>
      <c r="K59" s="1"/>
    </row>
    <row r="60" ht="15" customHeight="1">
      <c r="A60" s="1"/>
      <c r="B60" s="28" t="s">
        <v>93</v>
      </c>
      <c r="C60" s="50" t="s">
        <v>41</v>
      </c>
      <c r="D60" s="50">
        <f t="shared" si="7"/>
        <v>-291</v>
      </c>
      <c r="E60" s="50">
        <f t="shared" si="7"/>
        <v>156</v>
      </c>
      <c r="F60" s="50">
        <f t="shared" si="7"/>
        <v>103</v>
      </c>
      <c r="G60" s="50">
        <f t="shared" si="7"/>
        <v>85</v>
      </c>
      <c r="H60" s="50">
        <f t="shared" si="7"/>
        <v>-175</v>
      </c>
      <c r="I60" s="50" t="s">
        <v>41</v>
      </c>
      <c r="J60" s="51" t="str">
        <f t="shared" si="9"/>
        <v>n.a.</v>
      </c>
      <c r="K60" s="1"/>
    </row>
    <row r="61" ht="15" customHeight="1">
      <c r="A61" s="1"/>
      <c r="B61" s="19" t="s">
        <v>570</v>
      </c>
      <c r="C61" s="47">
        <v>552</v>
      </c>
      <c r="D61" s="47">
        <v>647</v>
      </c>
      <c r="E61" s="47">
        <v>711</v>
      </c>
      <c r="F61" s="47">
        <v>779</v>
      </c>
      <c r="G61" s="47">
        <v>625</v>
      </c>
      <c r="H61" s="47">
        <v>795</v>
      </c>
      <c r="I61" s="47">
        <v>2688</v>
      </c>
      <c r="J61" s="27" t="s">
        <v>41</v>
      </c>
      <c r="K61" s="1"/>
    </row>
    <row r="62" ht="15" customHeight="1">
      <c r="A62" s="1"/>
      <c r="B62" s="28" t="s">
        <v>80</v>
      </c>
      <c r="C62" s="29" t="s">
        <v>41</v>
      </c>
      <c r="D62" s="29" t="s">
        <v>41</v>
      </c>
      <c r="E62" s="29" t="s">
        <v>41</v>
      </c>
      <c r="F62" s="29" t="s">
        <v>41</v>
      </c>
      <c r="G62" s="29">
        <f t="shared" si="6"/>
        <v>0.13224637681159424</v>
      </c>
      <c r="H62" s="29">
        <f t="shared" si="6"/>
        <v>0.22874806800618241</v>
      </c>
      <c r="I62" s="29" t="s">
        <v>41</v>
      </c>
      <c r="J62" s="30" t="str">
        <f t="shared" si="8"/>
        <v>n.a.</v>
      </c>
      <c r="K62" s="1"/>
    </row>
    <row r="63" ht="15" customHeight="1">
      <c r="A63" s="1"/>
      <c r="B63" s="28" t="s">
        <v>93</v>
      </c>
      <c r="C63" s="50" t="s">
        <v>41</v>
      </c>
      <c r="D63" s="50">
        <f t="shared" si="7"/>
        <v>95</v>
      </c>
      <c r="E63" s="50">
        <f t="shared" si="7"/>
        <v>64</v>
      </c>
      <c r="F63" s="50">
        <f t="shared" si="7"/>
        <v>68</v>
      </c>
      <c r="G63" s="50">
        <f t="shared" si="7"/>
        <v>-154</v>
      </c>
      <c r="H63" s="50">
        <f t="shared" si="7"/>
        <v>170</v>
      </c>
      <c r="I63" s="50" t="s">
        <v>41</v>
      </c>
      <c r="J63" s="51" t="str">
        <f t="shared" si="9"/>
        <v>n.a.</v>
      </c>
      <c r="K63" s="1"/>
    </row>
    <row r="64" ht="15" customHeight="1">
      <c r="A64" s="1"/>
      <c r="B64" s="19" t="s">
        <v>571</v>
      </c>
      <c r="C64" s="47">
        <v>400</v>
      </c>
      <c r="D64" s="47">
        <v>411</v>
      </c>
      <c r="E64" s="47">
        <v>455</v>
      </c>
      <c r="F64" s="47">
        <v>411</v>
      </c>
      <c r="G64" s="47">
        <v>454</v>
      </c>
      <c r="H64" s="47">
        <v>464</v>
      </c>
      <c r="I64" s="47">
        <v>1679</v>
      </c>
      <c r="J64" s="27" t="s">
        <v>41</v>
      </c>
      <c r="K64" s="1"/>
    </row>
    <row r="65" ht="15" customHeight="1">
      <c r="A65" s="1"/>
      <c r="B65" s="28" t="s">
        <v>80</v>
      </c>
      <c r="C65" s="29" t="s">
        <v>41</v>
      </c>
      <c r="D65" s="29" t="s">
        <v>41</v>
      </c>
      <c r="E65" s="29" t="s">
        <v>41</v>
      </c>
      <c r="F65" s="29" t="s">
        <v>41</v>
      </c>
      <c r="G65" s="29">
        <f t="shared" si="6"/>
        <v>0.135</v>
      </c>
      <c r="H65" s="29">
        <f t="shared" si="6"/>
        <v>0.12895377128953767</v>
      </c>
      <c r="I65" s="29" t="s">
        <v>41</v>
      </c>
      <c r="J65" s="30" t="str">
        <f t="shared" si="8"/>
        <v>n.a.</v>
      </c>
      <c r="K65" s="1"/>
    </row>
    <row r="66" ht="15" customHeight="1">
      <c r="A66" s="1"/>
      <c r="B66" s="28" t="s">
        <v>93</v>
      </c>
      <c r="C66" s="50" t="s">
        <v>41</v>
      </c>
      <c r="D66" s="50">
        <f t="shared" si="7"/>
        <v>11</v>
      </c>
      <c r="E66" s="50">
        <f t="shared" si="7"/>
        <v>44</v>
      </c>
      <c r="F66" s="50">
        <f t="shared" si="7"/>
        <v>-44</v>
      </c>
      <c r="G66" s="50">
        <f t="shared" si="7"/>
        <v>43</v>
      </c>
      <c r="H66" s="50">
        <f t="shared" si="7"/>
        <v>10</v>
      </c>
      <c r="I66" s="50" t="s">
        <v>41</v>
      </c>
      <c r="J66" s="51" t="str">
        <f t="shared" si="9"/>
        <v>n.a.</v>
      </c>
      <c r="K66" s="1"/>
    </row>
    <row r="67" ht="15" customHeight="1">
      <c r="A67" s="1"/>
      <c r="B67" s="19" t="s">
        <v>572</v>
      </c>
      <c r="C67" s="47">
        <v>4238</v>
      </c>
      <c r="D67" s="47">
        <v>4372</v>
      </c>
      <c r="E67" s="47">
        <v>3883</v>
      </c>
      <c r="F67" s="47">
        <v>4312</v>
      </c>
      <c r="G67" s="47">
        <v>4142</v>
      </c>
      <c r="H67" s="47">
        <v>4591</v>
      </c>
      <c r="I67" s="47">
        <v>16925</v>
      </c>
      <c r="J67" s="27" t="s">
        <v>41</v>
      </c>
      <c r="K67" s="1" t="s">
        <v>573</v>
      </c>
    </row>
    <row r="68" ht="15" customHeight="1">
      <c r="A68" s="1"/>
      <c r="B68" s="28" t="s">
        <v>80</v>
      </c>
      <c r="C68" s="29" t="s">
        <v>41</v>
      </c>
      <c r="D68" s="29" t="s">
        <v>41</v>
      </c>
      <c r="E68" s="29" t="s">
        <v>41</v>
      </c>
      <c r="F68" s="29" t="s">
        <v>41</v>
      </c>
      <c r="G68" s="29">
        <f t="shared" si="6"/>
        <v>-0.02265219443133548</v>
      </c>
      <c r="H68" s="29">
        <f t="shared" si="6"/>
        <v>0.050091491308325686</v>
      </c>
      <c r="I68" s="29" t="s">
        <v>41</v>
      </c>
      <c r="J68" s="30" t="str">
        <f t="shared" si="8"/>
        <v>n.a.</v>
      </c>
      <c r="K68" s="1"/>
    </row>
    <row r="69" ht="15" customHeight="1">
      <c r="A69" s="1"/>
      <c r="B69" s="28" t="s">
        <v>93</v>
      </c>
      <c r="C69" s="50" t="s">
        <v>41</v>
      </c>
      <c r="D69" s="50">
        <f t="shared" si="7"/>
        <v>134</v>
      </c>
      <c r="E69" s="50">
        <f t="shared" si="7"/>
        <v>-489</v>
      </c>
      <c r="F69" s="50">
        <f t="shared" si="7"/>
        <v>429</v>
      </c>
      <c r="G69" s="50">
        <f t="shared" si="7"/>
        <v>-170</v>
      </c>
      <c r="H69" s="50">
        <f t="shared" si="7"/>
        <v>449</v>
      </c>
      <c r="I69" s="50" t="s">
        <v>41</v>
      </c>
      <c r="J69" s="51" t="str">
        <f t="shared" si="9"/>
        <v>n.a.</v>
      </c>
      <c r="K69" s="1"/>
    </row>
    <row r="70" ht="15" customHeight="1">
      <c r="A70" s="1"/>
      <c r="B70" s="16" t="s">
        <v>574</v>
      </c>
      <c r="C70" s="17"/>
      <c r="D70" s="17"/>
      <c r="E70" s="17"/>
      <c r="F70" s="17"/>
      <c r="G70" s="17"/>
      <c r="H70" s="17"/>
      <c r="I70" s="17"/>
      <c r="J70" s="18"/>
      <c r="K70" s="1"/>
    </row>
    <row r="71" ht="15" customHeight="1">
      <c r="A71" s="1"/>
      <c r="B71" s="57" t="s">
        <v>575</v>
      </c>
      <c r="C71" s="29">
        <f t="shared" si="12" ref="C71:J89">_xlfn.IFERROR(C22/C49,"n.a.")</f>
        <v>0.171875</v>
      </c>
      <c r="D71" s="29">
        <f t="shared" si="12"/>
        <v>0.1737307871448533</v>
      </c>
      <c r="E71" s="29">
        <f t="shared" si="12"/>
        <v>0.16981132075471697</v>
      </c>
      <c r="F71" s="29">
        <f t="shared" si="12"/>
        <v>0.17158896753722236</v>
      </c>
      <c r="G71" s="29">
        <f t="shared" si="12"/>
        <v>0.16508438818565402</v>
      </c>
      <c r="H71" s="29">
        <f t="shared" si="12"/>
        <v>0.16589327146171692</v>
      </c>
      <c r="I71" s="29">
        <f t="shared" si="12"/>
        <v>0.17160723949251397</v>
      </c>
      <c r="J71" s="30">
        <f t="shared" si="12"/>
        <v>0.1602517315500358</v>
      </c>
      <c r="K71" s="1"/>
    </row>
    <row r="72" ht="15" customHeight="1">
      <c r="A72" s="1"/>
      <c r="B72" s="28" t="s">
        <v>129</v>
      </c>
      <c r="C72" s="58" t="s">
        <v>41</v>
      </c>
      <c r="D72" s="58" t="s">
        <v>41</v>
      </c>
      <c r="E72" s="58" t="s">
        <v>41</v>
      </c>
      <c r="F72" s="58" t="s">
        <v>41</v>
      </c>
      <c r="G72" s="58">
        <f t="shared" si="13" ref="G72:H90">_xlfn.IFERROR((G71-C71)*10000,"n.a.")</f>
        <v>-67.90611814345982</v>
      </c>
      <c r="H72" s="58">
        <f t="shared" si="13"/>
        <v>-78.3751568313637</v>
      </c>
      <c r="I72" s="58" t="s">
        <v>41</v>
      </c>
      <c r="J72" s="59">
        <f t="shared" si="15" ref="J72:J90">_xlfn.IFERROR((J71-E71)*10000,"n.a.")</f>
        <v>-95.59589204681168</v>
      </c>
      <c r="K72" s="1"/>
    </row>
    <row r="73" ht="15" customHeight="1">
      <c r="A73" s="1"/>
      <c r="B73" s="28" t="s">
        <v>130</v>
      </c>
      <c r="C73" s="58" t="s">
        <v>41</v>
      </c>
      <c r="D73" s="58">
        <f t="shared" si="14" ref="D73:H91">_xlfn.IFERROR((D71-C71)*10000,"n.a.")</f>
        <v>18.557871448532936</v>
      </c>
      <c r="E73" s="58">
        <f t="shared" si="14"/>
        <v>-39.19466390136323</v>
      </c>
      <c r="F73" s="58">
        <f t="shared" si="14"/>
        <v>17.776467825053878</v>
      </c>
      <c r="G73" s="58">
        <f t="shared" si="14"/>
        <v>-65.0457935156834</v>
      </c>
      <c r="H73" s="58">
        <f t="shared" si="14"/>
        <v>8.08883276062905</v>
      </c>
      <c r="I73" s="58" t="s">
        <v>41</v>
      </c>
      <c r="J73" s="59">
        <f t="shared" si="16" ref="J73:J91">_xlfn.IFERROR((J71-H71)*10000,"n.a.")</f>
        <v>-56.4153991168112</v>
      </c>
      <c r="K73" s="1"/>
    </row>
    <row r="74" ht="15" customHeight="1">
      <c r="A74" s="1"/>
      <c r="B74" s="57" t="s">
        <v>576</v>
      </c>
      <c r="C74" s="29">
        <f t="shared" si="12"/>
        <v>0.1339001062699256</v>
      </c>
      <c r="D74" s="29">
        <f t="shared" si="12"/>
        <v>0.12452471482889733</v>
      </c>
      <c r="E74" s="29">
        <f t="shared" si="12"/>
        <v>0.12512315270935961</v>
      </c>
      <c r="F74" s="29">
        <f t="shared" si="12"/>
        <v>0.12156862745098039</v>
      </c>
      <c r="G74" s="29">
        <f t="shared" si="12"/>
        <v>0.1266233766233766</v>
      </c>
      <c r="H74" s="29">
        <f t="shared" si="12"/>
        <v>0.125590179414542</v>
      </c>
      <c r="I74" s="29">
        <f t="shared" si="12"/>
        <v>0.12590017382667</v>
      </c>
      <c r="J74" s="30" t="str">
        <f t="shared" si="12"/>
        <v>n.a.</v>
      </c>
      <c r="K74" s="1"/>
    </row>
    <row r="75" ht="15" customHeight="1">
      <c r="A75" s="1"/>
      <c r="B75" s="28" t="s">
        <v>129</v>
      </c>
      <c r="C75" s="58" t="s">
        <v>41</v>
      </c>
      <c r="D75" s="58" t="s">
        <v>41</v>
      </c>
      <c r="E75" s="58" t="s">
        <v>41</v>
      </c>
      <c r="F75" s="58" t="s">
        <v>41</v>
      </c>
      <c r="G75" s="58">
        <f t="shared" si="13"/>
        <v>-72.7672964654899</v>
      </c>
      <c r="H75" s="58">
        <f t="shared" si="13"/>
        <v>10.654645856446738</v>
      </c>
      <c r="I75" s="58" t="s">
        <v>41</v>
      </c>
      <c r="J75" s="59" t="str">
        <f t="shared" si="15"/>
        <v>n.a.</v>
      </c>
      <c r="K75" s="1"/>
    </row>
    <row r="76" ht="15" customHeight="1">
      <c r="A76" s="1"/>
      <c r="B76" s="28" t="s">
        <v>130</v>
      </c>
      <c r="C76" s="58" t="s">
        <v>41</v>
      </c>
      <c r="D76" s="58">
        <f t="shared" si="14"/>
        <v>-93.75391441028266</v>
      </c>
      <c r="E76" s="58">
        <f t="shared" si="14"/>
        <v>5.984378804622797</v>
      </c>
      <c r="F76" s="58">
        <f t="shared" si="14"/>
        <v>-35.545252583792234</v>
      </c>
      <c r="G76" s="58">
        <f t="shared" si="14"/>
        <v>50.547491723962196</v>
      </c>
      <c r="H76" s="58">
        <f t="shared" si="14"/>
        <v>-10.33197208834602</v>
      </c>
      <c r="I76" s="58" t="s">
        <v>41</v>
      </c>
      <c r="J76" s="59" t="str">
        <f t="shared" si="16"/>
        <v>n.a.</v>
      </c>
      <c r="K76" s="1"/>
    </row>
    <row r="77" ht="15" customHeight="1">
      <c r="A77" s="1"/>
      <c r="B77" s="57" t="s">
        <v>577</v>
      </c>
      <c r="C77" s="29">
        <f t="shared" si="12"/>
        <v>0.07623472724143865</v>
      </c>
      <c r="D77" s="29">
        <f t="shared" si="12"/>
        <v>0.06786093821162896</v>
      </c>
      <c r="E77" s="29">
        <f t="shared" si="12"/>
        <v>0.06796116504854369</v>
      </c>
      <c r="F77" s="29">
        <f t="shared" si="12"/>
        <v>0.07359796581438056</v>
      </c>
      <c r="G77" s="29">
        <f t="shared" si="12"/>
        <v>0.0689450809956539</v>
      </c>
      <c r="H77" s="29">
        <f t="shared" si="12"/>
        <v>0.06569746043430254</v>
      </c>
      <c r="I77" s="29">
        <f t="shared" si="12"/>
        <v>0.07117976677267908</v>
      </c>
      <c r="J77" s="30" t="str">
        <f t="shared" si="12"/>
        <v>n.a.</v>
      </c>
      <c r="K77" s="1"/>
    </row>
    <row r="78" ht="15" customHeight="1">
      <c r="A78" s="1"/>
      <c r="B78" s="28" t="s">
        <v>129</v>
      </c>
      <c r="C78" s="58" t="s">
        <v>41</v>
      </c>
      <c r="D78" s="58" t="s">
        <v>41</v>
      </c>
      <c r="E78" s="58" t="s">
        <v>41</v>
      </c>
      <c r="F78" s="58" t="s">
        <v>41</v>
      </c>
      <c r="G78" s="58">
        <f t="shared" si="13"/>
        <v>-72.8964624578475</v>
      </c>
      <c r="H78" s="58">
        <f t="shared" si="13"/>
        <v>-21.634777773264226</v>
      </c>
      <c r="I78" s="58" t="s">
        <v>41</v>
      </c>
      <c r="J78" s="59" t="str">
        <f t="shared" si="15"/>
        <v>n.a.</v>
      </c>
      <c r="K78" s="1"/>
    </row>
    <row r="79" ht="15" customHeight="1">
      <c r="A79" s="1"/>
      <c r="B79" s="28" t="s">
        <v>130</v>
      </c>
      <c r="C79" s="58" t="s">
        <v>41</v>
      </c>
      <c r="D79" s="58">
        <f t="shared" si="14"/>
        <v>-83.73789029809689</v>
      </c>
      <c r="E79" s="58">
        <f t="shared" si="14"/>
        <v>1.002268369147269</v>
      </c>
      <c r="F79" s="58">
        <f t="shared" si="14"/>
        <v>56.368007658368775</v>
      </c>
      <c r="G79" s="58">
        <f t="shared" si="14"/>
        <v>-46.52884818726666</v>
      </c>
      <c r="H79" s="58">
        <f t="shared" si="14"/>
        <v>-32.476205613513606</v>
      </c>
      <c r="I79" s="58" t="s">
        <v>41</v>
      </c>
      <c r="J79" s="59" t="str">
        <f t="shared" si="16"/>
        <v>n.a.</v>
      </c>
      <c r="K79" s="1"/>
    </row>
    <row r="80" ht="28.5" customHeight="1">
      <c r="A80" s="1"/>
      <c r="B80" s="60" t="s">
        <v>578</v>
      </c>
      <c r="C80" s="29">
        <f t="shared" si="12"/>
        <v>0.017791732077446363</v>
      </c>
      <c r="D80" s="29">
        <f t="shared" si="12"/>
        <v>0.021683204704152886</v>
      </c>
      <c r="E80" s="29">
        <f t="shared" si="12"/>
        <v>0.02679528403001072</v>
      </c>
      <c r="F80" s="29">
        <f t="shared" si="12"/>
        <v>0.029643922118926504</v>
      </c>
      <c r="G80" s="29">
        <f t="shared" si="12"/>
        <v>0.018665744901486345</v>
      </c>
      <c r="H80" s="29">
        <f t="shared" si="12"/>
        <v>0.018891463197291035</v>
      </c>
      <c r="I80" s="29">
        <f t="shared" si="12"/>
        <v>0.02405221745350501</v>
      </c>
      <c r="J80" s="30" t="str">
        <f t="shared" si="12"/>
        <v>n.a.</v>
      </c>
      <c r="K80" s="1"/>
    </row>
    <row r="81" ht="15" customHeight="1">
      <c r="A81" s="1"/>
      <c r="B81" s="28" t="s">
        <v>129</v>
      </c>
      <c r="C81" s="58" t="s">
        <v>41</v>
      </c>
      <c r="D81" s="58" t="s">
        <v>41</v>
      </c>
      <c r="E81" s="58" t="s">
        <v>41</v>
      </c>
      <c r="F81" s="58" t="s">
        <v>41</v>
      </c>
      <c r="G81" s="58">
        <f t="shared" si="13"/>
        <v>8.740128240399825</v>
      </c>
      <c r="H81" s="58">
        <f t="shared" si="13"/>
        <v>-27.917415068618514</v>
      </c>
      <c r="I81" s="58" t="s">
        <v>41</v>
      </c>
      <c r="J81" s="59" t="str">
        <f t="shared" si="15"/>
        <v>n.a.</v>
      </c>
      <c r="K81" s="1"/>
    </row>
    <row r="82" ht="15" customHeight="1">
      <c r="A82" s="1"/>
      <c r="B82" s="28" t="s">
        <v>130</v>
      </c>
      <c r="C82" s="58" t="s">
        <v>41</v>
      </c>
      <c r="D82" s="58">
        <f t="shared" si="14"/>
        <v>38.914726267065234</v>
      </c>
      <c r="E82" s="58">
        <f t="shared" si="14"/>
        <v>51.120793258578324</v>
      </c>
      <c r="F82" s="58">
        <f t="shared" si="14"/>
        <v>28.48638088915785</v>
      </c>
      <c r="G82" s="58">
        <f t="shared" si="14"/>
        <v>-109.78177217440158</v>
      </c>
      <c r="H82" s="58">
        <f t="shared" si="14"/>
        <v>2.2571829580468954</v>
      </c>
      <c r="I82" s="58" t="s">
        <v>41</v>
      </c>
      <c r="J82" s="59" t="str">
        <f t="shared" si="16"/>
        <v>n.a.</v>
      </c>
      <c r="K82" s="1"/>
    </row>
    <row r="83" ht="15" customHeight="1">
      <c r="A83" s="1"/>
      <c r="B83" s="57" t="s">
        <v>579</v>
      </c>
      <c r="C83" s="29">
        <f t="shared" si="12"/>
        <v>0.10144927536231885</v>
      </c>
      <c r="D83" s="29">
        <f t="shared" si="12"/>
        <v>0.09891808346213292</v>
      </c>
      <c r="E83" s="29">
        <f t="shared" si="12"/>
        <v>0.10126582278481013</v>
      </c>
      <c r="F83" s="29">
        <f t="shared" si="12"/>
        <v>0.10783055198973042</v>
      </c>
      <c r="G83" s="29">
        <f t="shared" si="12"/>
        <v>0.0976</v>
      </c>
      <c r="H83" s="29">
        <f t="shared" si="12"/>
        <v>0.09937106918238994</v>
      </c>
      <c r="I83" s="29">
        <f t="shared" si="12"/>
        <v>0.10267857142857142</v>
      </c>
      <c r="J83" s="30" t="str">
        <f t="shared" si="12"/>
        <v>n.a.</v>
      </c>
      <c r="K83" s="1"/>
    </row>
    <row r="84" ht="15" customHeight="1">
      <c r="A84" s="1"/>
      <c r="B84" s="28" t="s">
        <v>129</v>
      </c>
      <c r="C84" s="58" t="s">
        <v>41</v>
      </c>
      <c r="D84" s="58" t="s">
        <v>41</v>
      </c>
      <c r="E84" s="58" t="s">
        <v>41</v>
      </c>
      <c r="F84" s="58" t="s">
        <v>41</v>
      </c>
      <c r="G84" s="58">
        <f t="shared" si="13"/>
        <v>-38.492753623188406</v>
      </c>
      <c r="H84" s="58">
        <f t="shared" si="13"/>
        <v>4.529857202570237</v>
      </c>
      <c r="I84" s="58" t="s">
        <v>41</v>
      </c>
      <c r="J84" s="59" t="str">
        <f t="shared" si="15"/>
        <v>n.a.</v>
      </c>
      <c r="K84" s="1"/>
    </row>
    <row r="85" ht="15" customHeight="1">
      <c r="A85" s="1"/>
      <c r="B85" s="28" t="s">
        <v>130</v>
      </c>
      <c r="C85" s="58" t="s">
        <v>41</v>
      </c>
      <c r="D85" s="58">
        <f t="shared" si="14"/>
        <v>-25.31191900185928</v>
      </c>
      <c r="E85" s="58">
        <f t="shared" si="14"/>
        <v>23.477393226772058</v>
      </c>
      <c r="F85" s="58">
        <f t="shared" si="14"/>
        <v>65.64729204920295</v>
      </c>
      <c r="G85" s="58">
        <f t="shared" si="14"/>
        <v>-102.30551989730414</v>
      </c>
      <c r="H85" s="58">
        <f t="shared" si="14"/>
        <v>17.710691823899367</v>
      </c>
      <c r="I85" s="58" t="s">
        <v>41</v>
      </c>
      <c r="J85" s="59" t="str">
        <f t="shared" si="16"/>
        <v>n.a.</v>
      </c>
      <c r="K85" s="1"/>
    </row>
    <row r="86" ht="15" customHeight="1">
      <c r="A86" s="1"/>
      <c r="B86" s="57" t="s">
        <v>580</v>
      </c>
      <c r="C86" s="29">
        <f t="shared" si="12"/>
        <v>0.0725</v>
      </c>
      <c r="D86" s="29">
        <f t="shared" si="12"/>
        <v>0.07542579075425791</v>
      </c>
      <c r="E86" s="29">
        <f t="shared" si="12"/>
        <v>0.07692307692307693</v>
      </c>
      <c r="F86" s="29">
        <f t="shared" si="12"/>
        <v>0.07785888077858881</v>
      </c>
      <c r="G86" s="29">
        <f t="shared" si="12"/>
        <v>0.07268722466960352</v>
      </c>
      <c r="H86" s="29">
        <f t="shared" si="12"/>
        <v>0.07543103448275862</v>
      </c>
      <c r="I86" s="29">
        <f t="shared" si="12"/>
        <v>0.07504466944609887</v>
      </c>
      <c r="J86" s="30" t="str">
        <f t="shared" si="12"/>
        <v>n.a.</v>
      </c>
      <c r="K86" s="1"/>
    </row>
    <row r="87" ht="15" customHeight="1">
      <c r="A87" s="1"/>
      <c r="B87" s="28" t="s">
        <v>129</v>
      </c>
      <c r="C87" s="58" t="s">
        <v>41</v>
      </c>
      <c r="D87" s="58" t="s">
        <v>41</v>
      </c>
      <c r="E87" s="58" t="s">
        <v>41</v>
      </c>
      <c r="F87" s="58" t="s">
        <v>41</v>
      </c>
      <c r="G87" s="58">
        <f t="shared" si="13"/>
        <v>1.8722466960352513</v>
      </c>
      <c r="H87" s="58">
        <f t="shared" si="13"/>
        <v>0.05243728500706202</v>
      </c>
      <c r="I87" s="58" t="s">
        <v>41</v>
      </c>
      <c r="J87" s="59" t="str">
        <f t="shared" si="15"/>
        <v>n.a.</v>
      </c>
      <c r="K87" s="1"/>
    </row>
    <row r="88" ht="15" customHeight="1">
      <c r="A88" s="1"/>
      <c r="B88" s="28" t="s">
        <v>130</v>
      </c>
      <c r="C88" s="58" t="s">
        <v>41</v>
      </c>
      <c r="D88" s="58">
        <f t="shared" si="14"/>
        <v>29.257907542579176</v>
      </c>
      <c r="E88" s="58">
        <f t="shared" si="14"/>
        <v>14.972861688190148</v>
      </c>
      <c r="F88" s="58">
        <f t="shared" si="14"/>
        <v>9.358038555118824</v>
      </c>
      <c r="G88" s="58">
        <f t="shared" si="14"/>
        <v>-51.716561089852895</v>
      </c>
      <c r="H88" s="58">
        <f t="shared" si="14"/>
        <v>27.438098131550987</v>
      </c>
      <c r="I88" s="58" t="s">
        <v>41</v>
      </c>
      <c r="J88" s="59" t="str">
        <f t="shared" si="16"/>
        <v>n.a.</v>
      </c>
      <c r="K88" s="1"/>
    </row>
    <row r="89" ht="15" customHeight="1">
      <c r="A89" s="1"/>
      <c r="B89" s="57" t="s">
        <v>581</v>
      </c>
      <c r="C89" s="29">
        <f t="shared" si="12"/>
        <v>0.00023596035865974517</v>
      </c>
      <c r="D89" s="29">
        <f t="shared" si="12"/>
        <v>0</v>
      </c>
      <c r="E89" s="29">
        <f t="shared" si="12"/>
        <v>0.0002575328354365182</v>
      </c>
      <c r="F89" s="29">
        <f t="shared" si="12"/>
        <v>0</v>
      </c>
      <c r="G89" s="29">
        <f t="shared" si="12"/>
        <v>0</v>
      </c>
      <c r="H89" s="29">
        <f t="shared" si="12"/>
        <v>0</v>
      </c>
      <c r="I89" s="29">
        <f t="shared" si="12"/>
        <v>0.00011816838995568685</v>
      </c>
      <c r="J89" s="30" t="str">
        <f t="shared" si="12"/>
        <v>n.a.</v>
      </c>
      <c r="K89" s="1"/>
    </row>
    <row r="90" ht="15" customHeight="1">
      <c r="A90" s="1"/>
      <c r="B90" s="28" t="s">
        <v>129</v>
      </c>
      <c r="C90" s="58" t="s">
        <v>41</v>
      </c>
      <c r="D90" s="58" t="s">
        <v>41</v>
      </c>
      <c r="E90" s="58" t="s">
        <v>41</v>
      </c>
      <c r="F90" s="58" t="s">
        <v>41</v>
      </c>
      <c r="G90" s="58">
        <f t="shared" si="13"/>
        <v>-2.359603586597452</v>
      </c>
      <c r="H90" s="58">
        <f t="shared" si="13"/>
        <v>0</v>
      </c>
      <c r="I90" s="58" t="s">
        <v>41</v>
      </c>
      <c r="J90" s="59" t="str">
        <f t="shared" si="15"/>
        <v>n.a.</v>
      </c>
      <c r="K90" s="1"/>
    </row>
    <row r="91" ht="15" customHeight="1">
      <c r="A91" s="1"/>
      <c r="B91" s="28" t="s">
        <v>130</v>
      </c>
      <c r="C91" s="58" t="s">
        <v>41</v>
      </c>
      <c r="D91" s="58">
        <f t="shared" si="14"/>
        <v>-2.359603586597452</v>
      </c>
      <c r="E91" s="58">
        <f t="shared" si="14"/>
        <v>2.575328354365182</v>
      </c>
      <c r="F91" s="58">
        <f t="shared" si="14"/>
        <v>-2.575328354365182</v>
      </c>
      <c r="G91" s="58">
        <f t="shared" si="14"/>
        <v>0</v>
      </c>
      <c r="H91" s="58">
        <f t="shared" si="14"/>
        <v>0</v>
      </c>
      <c r="I91" s="58" t="s">
        <v>41</v>
      </c>
      <c r="J91" s="59" t="str">
        <f t="shared" si="16"/>
        <v>n.a.</v>
      </c>
      <c r="K91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47E8548-BC88-305D-D9D9-EC3645811B11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</row>
    <row r="3" ht="15" customHeight="1">
      <c r="A3" s="1"/>
      <c r="B3" s="4" t="s">
        <v>582</v>
      </c>
      <c r="C3" s="1"/>
      <c r="D3" s="1"/>
      <c r="E3" s="1"/>
      <c r="F3" s="1"/>
      <c r="G3" s="1"/>
      <c r="H3" s="1"/>
      <c r="I3" s="1"/>
      <c r="J3" s="1"/>
      <c r="K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</row>
    <row r="5" ht="15" customHeight="1">
      <c r="A5" s="1"/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8" t="s">
        <v>12</v>
      </c>
      <c r="K5" s="6" t="s">
        <v>13</v>
      </c>
    </row>
    <row r="6" ht="15" customHeight="1">
      <c r="A6" s="1"/>
      <c r="B6" s="9" t="s">
        <v>14</v>
      </c>
      <c r="C6" s="10">
        <f>DATE(2025,3,31)</f>
        <v>45747</v>
      </c>
      <c r="D6" s="10">
        <f>DATE(2025,6,30)</f>
        <v>45838</v>
      </c>
      <c r="E6" s="10">
        <f>DATE(2025,9,30)</f>
        <v>45930</v>
      </c>
      <c r="F6" s="10">
        <f t="shared" si="0" ref="F6:I6">DATE(2025,12,31)</f>
        <v>46022</v>
      </c>
      <c r="G6" s="10">
        <f>DATE(2026,3,31)</f>
        <v>46112</v>
      </c>
      <c r="H6" s="10">
        <f>DATE(2026,6,30)</f>
        <v>46203</v>
      </c>
      <c r="I6" s="10">
        <f t="shared" si="0"/>
        <v>46022</v>
      </c>
      <c r="J6" s="11">
        <f>DATE(2026,9,30)</f>
        <v>46295</v>
      </c>
      <c r="K6" s="9"/>
    </row>
    <row r="7" ht="15" customHeight="1">
      <c r="A7" s="1"/>
      <c r="B7" s="12" t="s">
        <v>15</v>
      </c>
      <c r="C7" s="13">
        <f t="shared" si="1" ref="C7:J7">C6-EOMONTH(C6,-3)</f>
        <v>90</v>
      </c>
      <c r="D7" s="13">
        <f t="shared" si="1"/>
        <v>91</v>
      </c>
      <c r="E7" s="13">
        <f t="shared" si="1"/>
        <v>92</v>
      </c>
      <c r="F7" s="13">
        <f t="shared" si="1"/>
        <v>92</v>
      </c>
      <c r="G7" s="13">
        <f t="shared" si="1"/>
        <v>90</v>
      </c>
      <c r="H7" s="13">
        <f t="shared" si="1"/>
        <v>91</v>
      </c>
      <c r="I7" s="13">
        <f>I6-EOMONTH(I6,-12)</f>
        <v>365</v>
      </c>
      <c r="J7" s="14">
        <f t="shared" si="1"/>
        <v>92</v>
      </c>
      <c r="K7" s="12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5"/>
      <c r="K8" s="1"/>
    </row>
    <row r="9" ht="15" customHeight="1">
      <c r="A9" s="1"/>
      <c r="B9" s="16" t="s">
        <v>583</v>
      </c>
      <c r="C9" s="17"/>
      <c r="D9" s="17"/>
      <c r="E9" s="17"/>
      <c r="F9" s="17"/>
      <c r="G9" s="17"/>
      <c r="H9" s="17"/>
      <c r="I9" s="17"/>
      <c r="J9" s="18"/>
      <c r="K9" s="1" t="s">
        <v>584</v>
      </c>
    </row>
    <row r="10" ht="28.5" customHeight="1">
      <c r="A10" s="1"/>
      <c r="B10" s="24" t="s">
        <v>585</v>
      </c>
      <c r="C10" s="47">
        <v>988</v>
      </c>
      <c r="D10" s="47">
        <v>963</v>
      </c>
      <c r="E10" s="47">
        <v>944</v>
      </c>
      <c r="F10" s="47">
        <v>925</v>
      </c>
      <c r="G10" s="47">
        <v>911</v>
      </c>
      <c r="H10" s="47">
        <v>896</v>
      </c>
      <c r="I10" s="47">
        <v>955</v>
      </c>
      <c r="J10" s="27">
        <f>J34-J26*J35+J36</f>
        <v>868.8361563846154</v>
      </c>
      <c r="K10" s="1" t="s">
        <v>586</v>
      </c>
    </row>
    <row r="11" ht="15" customHeight="1">
      <c r="A11" s="1"/>
      <c r="B11" s="28" t="s">
        <v>80</v>
      </c>
      <c r="C11" s="29" t="s">
        <v>41</v>
      </c>
      <c r="D11" s="29" t="s">
        <v>41</v>
      </c>
      <c r="E11" s="29" t="s">
        <v>41</v>
      </c>
      <c r="F11" s="29" t="s">
        <v>41</v>
      </c>
      <c r="G11" s="29">
        <f t="shared" si="2" ref="G11:H40">_xlfn.IFERROR(G10/C10-1,"n.a.")</f>
        <v>-0.07793522267206476</v>
      </c>
      <c r="H11" s="29">
        <f t="shared" si="2"/>
        <v>-0.06957424714434057</v>
      </c>
      <c r="I11" s="29" t="s">
        <v>41</v>
      </c>
      <c r="J11" s="30">
        <f t="shared" si="5" ref="J11:J40">_xlfn.IFERROR(J10/E10-1,"n.a.")</f>
        <v>-0.07962271569426338</v>
      </c>
      <c r="K11" s="1"/>
    </row>
    <row r="12" ht="15" customHeight="1">
      <c r="A12" s="1"/>
      <c r="B12" s="28" t="s">
        <v>93</v>
      </c>
      <c r="C12" s="50" t="s">
        <v>41</v>
      </c>
      <c r="D12" s="50">
        <f t="shared" si="3" ref="D12:H41">_xlfn.IFERROR(D10-C10,"n.a.")</f>
        <v>-25</v>
      </c>
      <c r="E12" s="50">
        <f t="shared" si="3"/>
        <v>-19</v>
      </c>
      <c r="F12" s="50">
        <f t="shared" si="3"/>
        <v>-19</v>
      </c>
      <c r="G12" s="50">
        <f t="shared" si="3"/>
        <v>-14</v>
      </c>
      <c r="H12" s="50">
        <f t="shared" si="3"/>
        <v>-15</v>
      </c>
      <c r="I12" s="50" t="s">
        <v>41</v>
      </c>
      <c r="J12" s="51">
        <f t="shared" si="6" ref="J12:J41">_xlfn.IFERROR(J10-H10,"n.a.")</f>
        <v>-27.16384361538462</v>
      </c>
      <c r="K12" s="1"/>
    </row>
    <row r="13" ht="28.5" customHeight="1">
      <c r="A13" s="1"/>
      <c r="B13" s="24" t="s">
        <v>587</v>
      </c>
      <c r="C13" s="26">
        <f t="shared" si="4" ref="C13:I13">C16-C10</f>
        <v>14</v>
      </c>
      <c r="D13" s="26">
        <f t="shared" si="4"/>
        <v>13</v>
      </c>
      <c r="E13" s="26">
        <f t="shared" si="4"/>
        <v>20</v>
      </c>
      <c r="F13" s="26">
        <f t="shared" si="4"/>
        <v>0</v>
      </c>
      <c r="G13" s="26">
        <f t="shared" si="4"/>
        <v>15</v>
      </c>
      <c r="H13" s="26">
        <f t="shared" si="4"/>
        <v>14</v>
      </c>
      <c r="I13" s="26">
        <f t="shared" si="4"/>
        <v>18</v>
      </c>
      <c r="J13" s="27">
        <f>H13</f>
        <v>14</v>
      </c>
      <c r="K13" s="1"/>
    </row>
    <row r="14" ht="15" customHeight="1">
      <c r="A14" s="1"/>
      <c r="B14" s="28" t="s">
        <v>80</v>
      </c>
      <c r="C14" s="29" t="s">
        <v>41</v>
      </c>
      <c r="D14" s="29" t="s">
        <v>41</v>
      </c>
      <c r="E14" s="29" t="s">
        <v>41</v>
      </c>
      <c r="F14" s="29" t="s">
        <v>41</v>
      </c>
      <c r="G14" s="29">
        <f t="shared" si="2"/>
        <v>0.0714285714285714</v>
      </c>
      <c r="H14" s="29">
        <f t="shared" si="2"/>
        <v>0.07692307692307687</v>
      </c>
      <c r="I14" s="29" t="s">
        <v>41</v>
      </c>
      <c r="J14" s="30">
        <f t="shared" si="5"/>
        <v>-0.30000000000000004</v>
      </c>
      <c r="K14" s="1"/>
    </row>
    <row r="15" ht="15" customHeight="1">
      <c r="A15" s="1"/>
      <c r="B15" s="28" t="s">
        <v>93</v>
      </c>
      <c r="C15" s="50" t="s">
        <v>41</v>
      </c>
      <c r="D15" s="50">
        <f t="shared" si="3"/>
        <v>-1</v>
      </c>
      <c r="E15" s="50">
        <f t="shared" si="3"/>
        <v>7</v>
      </c>
      <c r="F15" s="50">
        <f t="shared" si="3"/>
        <v>-20</v>
      </c>
      <c r="G15" s="50">
        <f t="shared" si="3"/>
        <v>15</v>
      </c>
      <c r="H15" s="50">
        <f t="shared" si="3"/>
        <v>-1</v>
      </c>
      <c r="I15" s="50" t="s">
        <v>41</v>
      </c>
      <c r="J15" s="51">
        <f t="shared" si="6"/>
        <v>0</v>
      </c>
      <c r="K15" s="1"/>
    </row>
    <row r="16" ht="28.5" customHeight="1">
      <c r="A16" s="1"/>
      <c r="B16" s="55" t="s">
        <v>588</v>
      </c>
      <c r="C16" s="61">
        <v>1002</v>
      </c>
      <c r="D16" s="61">
        <v>976</v>
      </c>
      <c r="E16" s="61">
        <v>964</v>
      </c>
      <c r="F16" s="61">
        <v>925</v>
      </c>
      <c r="G16" s="61">
        <v>926</v>
      </c>
      <c r="H16" s="61">
        <v>910</v>
      </c>
      <c r="I16" s="61">
        <v>973</v>
      </c>
      <c r="J16" s="53">
        <f>J10+J13</f>
        <v>882.8361563846154</v>
      </c>
      <c r="K16" s="1" t="s">
        <v>589</v>
      </c>
    </row>
    <row r="17" ht="15" customHeight="1">
      <c r="A17" s="1"/>
      <c r="B17" s="28" t="s">
        <v>80</v>
      </c>
      <c r="C17" s="29" t="s">
        <v>41</v>
      </c>
      <c r="D17" s="29" t="s">
        <v>41</v>
      </c>
      <c r="E17" s="29" t="s">
        <v>41</v>
      </c>
      <c r="F17" s="29" t="s">
        <v>41</v>
      </c>
      <c r="G17" s="29">
        <f t="shared" si="2"/>
        <v>-0.07584830339321358</v>
      </c>
      <c r="H17" s="29">
        <f t="shared" si="2"/>
        <v>-0.06762295081967218</v>
      </c>
      <c r="I17" s="29" t="s">
        <v>41</v>
      </c>
      <c r="J17" s="30">
        <f t="shared" si="5"/>
        <v>-0.08419485852218322</v>
      </c>
      <c r="K17" s="1"/>
    </row>
    <row r="18" ht="15" customHeight="1">
      <c r="A18" s="1"/>
      <c r="B18" s="28" t="s">
        <v>93</v>
      </c>
      <c r="C18" s="50" t="s">
        <v>41</v>
      </c>
      <c r="D18" s="50">
        <f t="shared" si="3"/>
        <v>-26</v>
      </c>
      <c r="E18" s="50">
        <f t="shared" si="3"/>
        <v>-12</v>
      </c>
      <c r="F18" s="50">
        <f t="shared" si="3"/>
        <v>-39</v>
      </c>
      <c r="G18" s="50">
        <f t="shared" si="3"/>
        <v>1</v>
      </c>
      <c r="H18" s="50">
        <f t="shared" si="3"/>
        <v>-16</v>
      </c>
      <c r="I18" s="50" t="s">
        <v>41</v>
      </c>
      <c r="J18" s="51">
        <f t="shared" si="6"/>
        <v>-27.16384361538462</v>
      </c>
      <c r="K18" s="1"/>
    </row>
    <row r="19" ht="28.5" customHeight="1">
      <c r="A19" s="1"/>
      <c r="B19" s="55" t="s">
        <v>590</v>
      </c>
      <c r="C19" s="61">
        <v>1002</v>
      </c>
      <c r="D19" s="61">
        <v>976</v>
      </c>
      <c r="E19" s="61">
        <v>964</v>
      </c>
      <c r="F19" s="61">
        <v>949</v>
      </c>
      <c r="G19" s="61">
        <v>926</v>
      </c>
      <c r="H19" s="61">
        <v>910</v>
      </c>
      <c r="I19" s="61">
        <v>973</v>
      </c>
      <c r="J19" s="53">
        <f>J16</f>
        <v>882.8361563846154</v>
      </c>
      <c r="K19" s="1" t="s">
        <v>591</v>
      </c>
    </row>
    <row r="20" ht="15" customHeight="1">
      <c r="A20" s="1"/>
      <c r="B20" s="28" t="s">
        <v>80</v>
      </c>
      <c r="C20" s="29" t="s">
        <v>41</v>
      </c>
      <c r="D20" s="29" t="s">
        <v>41</v>
      </c>
      <c r="E20" s="29" t="s">
        <v>41</v>
      </c>
      <c r="F20" s="29" t="s">
        <v>41</v>
      </c>
      <c r="G20" s="29">
        <f t="shared" si="2"/>
        <v>-0.07584830339321358</v>
      </c>
      <c r="H20" s="29">
        <f t="shared" si="2"/>
        <v>-0.06762295081967218</v>
      </c>
      <c r="I20" s="29" t="s">
        <v>41</v>
      </c>
      <c r="J20" s="30">
        <f t="shared" si="5"/>
        <v>-0.08419485852218322</v>
      </c>
      <c r="K20" s="1"/>
    </row>
    <row r="21" ht="15" customHeight="1">
      <c r="A21" s="1"/>
      <c r="B21" s="28" t="s">
        <v>93</v>
      </c>
      <c r="C21" s="50" t="s">
        <v>41</v>
      </c>
      <c r="D21" s="50">
        <f t="shared" si="3"/>
        <v>-26</v>
      </c>
      <c r="E21" s="50">
        <f t="shared" si="3"/>
        <v>-12</v>
      </c>
      <c r="F21" s="50">
        <f t="shared" si="3"/>
        <v>-15</v>
      </c>
      <c r="G21" s="50">
        <f t="shared" si="3"/>
        <v>-23</v>
      </c>
      <c r="H21" s="50">
        <f t="shared" si="3"/>
        <v>-16</v>
      </c>
      <c r="I21" s="50" t="s">
        <v>41</v>
      </c>
      <c r="J21" s="51">
        <f t="shared" si="6"/>
        <v>-27.16384361538462</v>
      </c>
      <c r="K21" s="1"/>
    </row>
    <row r="22" ht="15" customHeight="1">
      <c r="A22" s="1"/>
      <c r="B22" s="16" t="s">
        <v>592</v>
      </c>
      <c r="C22" s="17"/>
      <c r="D22" s="17"/>
      <c r="E22" s="17"/>
      <c r="F22" s="17"/>
      <c r="G22" s="17"/>
      <c r="H22" s="17"/>
      <c r="I22" s="17"/>
      <c r="J22" s="18"/>
      <c r="K22" s="1"/>
    </row>
    <row r="23" ht="15" customHeight="1">
      <c r="A23" s="1"/>
      <c r="B23" s="19" t="s">
        <v>593</v>
      </c>
      <c r="C23" s="25">
        <f>-'Cash Flow Statement'!C34</f>
        <v>2012</v>
      </c>
      <c r="D23" s="25">
        <f>-'Cash Flow Statement'!D34</f>
        <v>0</v>
      </c>
      <c r="E23" s="25">
        <f>-'Cash Flow Statement'!E34</f>
        <v>1500</v>
      </c>
      <c r="F23" s="25">
        <f>-'Cash Flow Statement'!F34</f>
        <v>2500</v>
      </c>
      <c r="G23" s="25">
        <f>-'Cash Flow Statement'!G34</f>
        <v>800</v>
      </c>
      <c r="H23" s="25">
        <f>-'Cash Flow Statement'!H34</f>
        <v>2000</v>
      </c>
      <c r="I23" s="25">
        <f>-'Cash Flow Statement'!I34</f>
        <v>6012</v>
      </c>
      <c r="J23" s="49">
        <v>1500</v>
      </c>
      <c r="K23" s="1" t="s">
        <v>594</v>
      </c>
    </row>
    <row r="24" ht="15" customHeight="1">
      <c r="A24" s="1"/>
      <c r="B24" s="28" t="s">
        <v>80</v>
      </c>
      <c r="C24" s="29" t="s">
        <v>41</v>
      </c>
      <c r="D24" s="29" t="s">
        <v>41</v>
      </c>
      <c r="E24" s="29" t="s">
        <v>41</v>
      </c>
      <c r="F24" s="29" t="s">
        <v>41</v>
      </c>
      <c r="G24" s="29">
        <f t="shared" si="2"/>
        <v>-0.6023856858846919</v>
      </c>
      <c r="H24" s="29" t="str">
        <f t="shared" si="2"/>
        <v>n.a.</v>
      </c>
      <c r="I24" s="29" t="s">
        <v>41</v>
      </c>
      <c r="J24" s="30">
        <f t="shared" si="5"/>
        <v>0</v>
      </c>
      <c r="K24" s="1"/>
    </row>
    <row r="25" ht="15" customHeight="1">
      <c r="A25" s="1"/>
      <c r="B25" s="28" t="s">
        <v>93</v>
      </c>
      <c r="C25" s="50" t="s">
        <v>41</v>
      </c>
      <c r="D25" s="50">
        <f t="shared" si="3"/>
        <v>-2012</v>
      </c>
      <c r="E25" s="50">
        <f t="shared" si="3"/>
        <v>1500</v>
      </c>
      <c r="F25" s="50">
        <f t="shared" si="3"/>
        <v>1000</v>
      </c>
      <c r="G25" s="50">
        <f t="shared" si="3"/>
        <v>-1700</v>
      </c>
      <c r="H25" s="50">
        <f t="shared" si="3"/>
        <v>1200</v>
      </c>
      <c r="I25" s="50" t="s">
        <v>41</v>
      </c>
      <c r="J25" s="51">
        <f t="shared" si="6"/>
        <v>-500</v>
      </c>
      <c r="K25" s="1"/>
    </row>
    <row r="26" ht="15" customHeight="1">
      <c r="A26" s="1"/>
      <c r="B26" s="19" t="s">
        <v>595</v>
      </c>
      <c r="C26" s="26" t="s">
        <v>41</v>
      </c>
      <c r="D26" s="26" t="s">
        <v>41</v>
      </c>
      <c r="E26" s="26" t="s">
        <v>41</v>
      </c>
      <c r="F26" s="26" t="s">
        <v>41</v>
      </c>
      <c r="G26" s="47">
        <v>11</v>
      </c>
      <c r="H26" s="47">
        <v>24.99</v>
      </c>
      <c r="I26" s="26" t="s">
        <v>41</v>
      </c>
      <c r="J26" s="27">
        <f>J23/J29</f>
        <v>19.23076923076923</v>
      </c>
      <c r="K26" s="1" t="s">
        <v>596</v>
      </c>
    </row>
    <row r="27" ht="15" customHeight="1">
      <c r="A27" s="1"/>
      <c r="B27" s="28" t="s">
        <v>80</v>
      </c>
      <c r="C27" s="29" t="s">
        <v>41</v>
      </c>
      <c r="D27" s="29" t="s">
        <v>41</v>
      </c>
      <c r="E27" s="29" t="s">
        <v>41</v>
      </c>
      <c r="F27" s="29" t="s">
        <v>41</v>
      </c>
      <c r="G27" s="29" t="str">
        <f t="shared" si="2"/>
        <v>n.a.</v>
      </c>
      <c r="H27" s="29" t="str">
        <f t="shared" si="2"/>
        <v>n.a.</v>
      </c>
      <c r="I27" s="29" t="s">
        <v>41</v>
      </c>
      <c r="J27" s="30" t="str">
        <f t="shared" si="5"/>
        <v>n.a.</v>
      </c>
      <c r="K27" s="1"/>
    </row>
    <row r="28" ht="15" customHeight="1">
      <c r="A28" s="1"/>
      <c r="B28" s="28" t="s">
        <v>93</v>
      </c>
      <c r="C28" s="50" t="s">
        <v>41</v>
      </c>
      <c r="D28" s="50" t="str">
        <f t="shared" si="3"/>
        <v>n.a.</v>
      </c>
      <c r="E28" s="50" t="str">
        <f t="shared" si="3"/>
        <v>n.a.</v>
      </c>
      <c r="F28" s="50" t="str">
        <f t="shared" si="3"/>
        <v>n.a.</v>
      </c>
      <c r="G28" s="50" t="str">
        <f t="shared" si="3"/>
        <v>n.a.</v>
      </c>
      <c r="H28" s="50">
        <f t="shared" si="3"/>
        <v>13.989999999999998</v>
      </c>
      <c r="I28" s="50" t="s">
        <v>41</v>
      </c>
      <c r="J28" s="51">
        <f t="shared" si="6"/>
        <v>-5.7592307692307685</v>
      </c>
      <c r="K28" s="1"/>
    </row>
    <row r="29" ht="28.5" customHeight="1">
      <c r="A29" s="1"/>
      <c r="B29" s="24" t="s">
        <v>597</v>
      </c>
      <c r="C29" s="32" t="str">
        <f t="shared" si="7" ref="C29:I29">_xlfn.IFERROR(C23/C26,"n.a.")</f>
        <v>n.a.</v>
      </c>
      <c r="D29" s="32" t="str">
        <f t="shared" si="7"/>
        <v>n.a.</v>
      </c>
      <c r="E29" s="32" t="str">
        <f t="shared" si="7"/>
        <v>n.a.</v>
      </c>
      <c r="F29" s="32" t="str">
        <f t="shared" si="7"/>
        <v>n.a.</v>
      </c>
      <c r="G29" s="32">
        <f t="shared" si="7"/>
        <v>72.72727272727273</v>
      </c>
      <c r="H29" s="32">
        <f t="shared" si="7"/>
        <v>80.03201280512205</v>
      </c>
      <c r="I29" s="32" t="str">
        <f t="shared" si="7"/>
        <v>n.a.</v>
      </c>
      <c r="J29" s="80">
        <v>78</v>
      </c>
      <c r="K29" s="1" t="s">
        <v>598</v>
      </c>
    </row>
    <row r="30" ht="15" customHeight="1">
      <c r="A30" s="1"/>
      <c r="B30" s="28" t="s">
        <v>80</v>
      </c>
      <c r="C30" s="29" t="s">
        <v>41</v>
      </c>
      <c r="D30" s="29" t="s">
        <v>41</v>
      </c>
      <c r="E30" s="29" t="s">
        <v>41</v>
      </c>
      <c r="F30" s="29" t="s">
        <v>41</v>
      </c>
      <c r="G30" s="29" t="str">
        <f t="shared" si="2"/>
        <v>n.a.</v>
      </c>
      <c r="H30" s="29" t="str">
        <f t="shared" si="2"/>
        <v>n.a.</v>
      </c>
      <c r="I30" s="29" t="s">
        <v>41</v>
      </c>
      <c r="J30" s="30" t="str">
        <f t="shared" si="5"/>
        <v>n.a.</v>
      </c>
      <c r="K30" s="1"/>
    </row>
    <row r="31" ht="15" customHeight="1">
      <c r="A31" s="1"/>
      <c r="B31" s="28" t="s">
        <v>93</v>
      </c>
      <c r="C31" s="81" t="s">
        <v>41</v>
      </c>
      <c r="D31" s="81" t="str">
        <f t="shared" si="3"/>
        <v>n.a.</v>
      </c>
      <c r="E31" s="81" t="str">
        <f t="shared" si="3"/>
        <v>n.a.</v>
      </c>
      <c r="F31" s="81" t="str">
        <f t="shared" si="3"/>
        <v>n.a.</v>
      </c>
      <c r="G31" s="81" t="str">
        <f t="shared" si="3"/>
        <v>n.a.</v>
      </c>
      <c r="H31" s="81">
        <f t="shared" si="3"/>
        <v>7.304740077849317</v>
      </c>
      <c r="I31" s="81" t="s">
        <v>41</v>
      </c>
      <c r="J31" s="82">
        <f t="shared" si="6"/>
        <v>-2.0320128051220507</v>
      </c>
      <c r="K31" s="1"/>
    </row>
    <row r="32" ht="28.5" customHeight="1">
      <c r="A32" s="1"/>
      <c r="B32" s="24" t="s">
        <v>599</v>
      </c>
      <c r="C32" s="26" t="s">
        <v>41</v>
      </c>
      <c r="D32" s="26" t="s">
        <v>41</v>
      </c>
      <c r="E32" s="26" t="s">
        <v>41</v>
      </c>
      <c r="F32" s="47">
        <v>903.967853</v>
      </c>
      <c r="G32" s="47">
        <v>901.665195</v>
      </c>
      <c r="H32" s="47">
        <v>877.451541</v>
      </c>
      <c r="I32" s="26">
        <f>F32</f>
        <v>903.967853</v>
      </c>
      <c r="J32" s="27" t="s">
        <v>41</v>
      </c>
      <c r="K32" s="1" t="s">
        <v>600</v>
      </c>
    </row>
    <row r="33" ht="15" customHeight="1">
      <c r="A33" s="1"/>
      <c r="B33" s="16" t="s">
        <v>601</v>
      </c>
      <c r="C33" s="17"/>
      <c r="D33" s="17"/>
      <c r="E33" s="17"/>
      <c r="F33" s="17"/>
      <c r="G33" s="17"/>
      <c r="H33" s="17"/>
      <c r="I33" s="17"/>
      <c r="J33" s="18"/>
      <c r="K33" s="1"/>
    </row>
    <row r="34" ht="28.5" customHeight="1">
      <c r="A34" s="1"/>
      <c r="B34" s="24" t="s">
        <v>602</v>
      </c>
      <c r="C34" s="26"/>
      <c r="D34" s="26"/>
      <c r="E34" s="26"/>
      <c r="F34" s="26"/>
      <c r="G34" s="26"/>
      <c r="H34" s="26"/>
      <c r="I34" s="26"/>
      <c r="J34" s="27">
        <f>H32</f>
        <v>877.451541</v>
      </c>
      <c r="K34" s="1" t="s">
        <v>603</v>
      </c>
    </row>
    <row r="35" ht="28.5" customHeight="1">
      <c r="A35" s="1"/>
      <c r="B35" s="24" t="s">
        <v>604</v>
      </c>
      <c r="C35" s="83"/>
      <c r="D35" s="83"/>
      <c r="E35" s="83"/>
      <c r="F35" s="83"/>
      <c r="G35" s="83"/>
      <c r="H35" s="83"/>
      <c r="I35" s="83"/>
      <c r="J35" s="84">
        <v>0.5</v>
      </c>
      <c r="K35" s="1" t="s">
        <v>605</v>
      </c>
    </row>
    <row r="36" ht="28.5" customHeight="1">
      <c r="A36" s="1"/>
      <c r="B36" s="24" t="s">
        <v>606</v>
      </c>
      <c r="C36" s="26"/>
      <c r="D36" s="26"/>
      <c r="E36" s="26"/>
      <c r="F36" s="26"/>
      <c r="G36" s="26"/>
      <c r="H36" s="26"/>
      <c r="I36" s="26"/>
      <c r="J36" s="49">
        <v>1</v>
      </c>
      <c r="K36" s="1" t="s">
        <v>607</v>
      </c>
    </row>
    <row r="37" ht="28.5" customHeight="1">
      <c r="A37" s="1"/>
      <c r="B37" s="55" t="s">
        <v>608</v>
      </c>
      <c r="C37" s="52"/>
      <c r="D37" s="52"/>
      <c r="E37" s="52"/>
      <c r="F37" s="52"/>
      <c r="G37" s="52"/>
      <c r="H37" s="52"/>
      <c r="I37" s="52"/>
      <c r="J37" s="53">
        <f>J19</f>
        <v>882.8361563846154</v>
      </c>
      <c r="K37" s="1"/>
    </row>
    <row r="38" ht="15" customHeight="1">
      <c r="A38" s="1"/>
      <c r="B38" s="16" t="s">
        <v>609</v>
      </c>
      <c r="C38" s="17"/>
      <c r="D38" s="17"/>
      <c r="E38" s="17"/>
      <c r="F38" s="17"/>
      <c r="G38" s="17"/>
      <c r="H38" s="17"/>
      <c r="I38" s="17"/>
      <c r="J38" s="18"/>
      <c r="K38" s="1"/>
    </row>
    <row r="39" ht="28.5" customHeight="1">
      <c r="A39" s="1"/>
      <c r="B39" s="24" t="s">
        <v>610</v>
      </c>
      <c r="C39" s="45">
        <v>0.15</v>
      </c>
      <c r="D39" s="45">
        <v>0.15</v>
      </c>
      <c r="E39" s="45">
        <v>0.15</v>
      </c>
      <c r="F39" s="45">
        <v>0.15</v>
      </c>
      <c r="G39" s="45">
        <v>0.18</v>
      </c>
      <c r="H39" s="45">
        <v>0.18</v>
      </c>
      <c r="I39" s="45">
        <v>0.6</v>
      </c>
      <c r="J39" s="80">
        <v>0.18</v>
      </c>
      <c r="K39" s="1"/>
    </row>
    <row r="40" ht="15" customHeight="1">
      <c r="A40" s="1"/>
      <c r="B40" s="28" t="s">
        <v>80</v>
      </c>
      <c r="C40" s="29" t="s">
        <v>41</v>
      </c>
      <c r="D40" s="29" t="s">
        <v>41</v>
      </c>
      <c r="E40" s="29" t="s">
        <v>41</v>
      </c>
      <c r="F40" s="29" t="s">
        <v>41</v>
      </c>
      <c r="G40" s="29">
        <f t="shared" si="2"/>
        <v>0.19999999999999996</v>
      </c>
      <c r="H40" s="29">
        <f t="shared" si="2"/>
        <v>0.19999999999999996</v>
      </c>
      <c r="I40" s="29" t="s">
        <v>41</v>
      </c>
      <c r="J40" s="30">
        <f t="shared" si="5"/>
        <v>0.19999999999999996</v>
      </c>
      <c r="K40" s="1"/>
    </row>
    <row r="41" ht="15" customHeight="1">
      <c r="A41" s="1"/>
      <c r="B41" s="28" t="s">
        <v>93</v>
      </c>
      <c r="C41" s="81" t="s">
        <v>41</v>
      </c>
      <c r="D41" s="81">
        <f t="shared" si="3"/>
        <v>0</v>
      </c>
      <c r="E41" s="81">
        <f t="shared" si="3"/>
        <v>0</v>
      </c>
      <c r="F41" s="81">
        <f t="shared" si="3"/>
        <v>0</v>
      </c>
      <c r="G41" s="81">
        <f t="shared" si="3"/>
        <v>0.03</v>
      </c>
      <c r="H41" s="81">
        <f t="shared" si="3"/>
        <v>0</v>
      </c>
      <c r="I41" s="81" t="s">
        <v>41</v>
      </c>
      <c r="J41" s="82">
        <f t="shared" si="6"/>
        <v>0</v>
      </c>
      <c r="K41" s="1"/>
    </row>
    <row r="43" ht="15" customHeight="1">
      <c r="B43" s="16" t="s">
        <v>611</v>
      </c>
    </row>
    <row r="44" ht="28.5" customHeight="1">
      <c r="B44" s="24" t="s">
        <v>612</v>
      </c>
      <c r="C44" s="26"/>
      <c r="D44" s="26"/>
      <c r="E44" s="26"/>
      <c r="F44" s="26"/>
      <c r="G44" s="26"/>
      <c r="H44" s="26"/>
      <c r="I44" s="26"/>
      <c r="J44" s="27">
        <f>(F32-G26*J35+J36)-G10</f>
        <v>-11.532147000000009</v>
      </c>
      <c r="K44" s="1" t="s">
        <v>613</v>
      </c>
    </row>
    <row r="45" ht="28.5" customHeight="1">
      <c r="B45" s="24" t="s">
        <v>614</v>
      </c>
      <c r="C45" s="26"/>
      <c r="D45" s="26"/>
      <c r="E45" s="26"/>
      <c r="F45" s="26"/>
      <c r="G45" s="26"/>
      <c r="H45" s="26"/>
      <c r="I45" s="26"/>
      <c r="J45" s="27">
        <f>(G32-H26*J35+J36)-H10</f>
        <v>-5.829804999999965</v>
      </c>
      <c r="K45" s="1" t="s">
        <v>615</v>
      </c>
    </row>
    <row r="46" ht="28.5" customHeight="1">
      <c r="B46" s="24" t="s">
        <v>616</v>
      </c>
      <c r="C46" s="26"/>
      <c r="D46" s="26"/>
      <c r="E46" s="26"/>
      <c r="F46" s="26"/>
      <c r="G46" s="26"/>
      <c r="H46" s="26"/>
      <c r="I46" s="26"/>
      <c r="J46" s="49">
        <v>893</v>
      </c>
      <c r="K46" s="1" t="s">
        <v>617</v>
      </c>
    </row>
    <row r="47" ht="28.5" customHeight="1">
      <c r="B47" s="24" t="s">
        <v>618</v>
      </c>
      <c r="C47" s="26"/>
      <c r="D47" s="26"/>
      <c r="E47" s="26"/>
      <c r="F47" s="26"/>
      <c r="G47" s="26"/>
      <c r="H47" s="26"/>
      <c r="I47" s="26"/>
      <c r="J47" s="27">
        <f>J46-J26*J35+J36</f>
        <v>884.3846153846154</v>
      </c>
      <c r="K47" s="1"/>
    </row>
    <row r="48" ht="28.5" customHeight="1">
      <c r="B48" s="24" t="s">
        <v>619</v>
      </c>
      <c r="C48" s="26"/>
      <c r="D48" s="26"/>
      <c r="E48" s="26"/>
      <c r="F48" s="26"/>
      <c r="G48" s="26"/>
      <c r="H48" s="26"/>
      <c r="I48" s="26"/>
      <c r="J48" s="85">
        <f>_xlfn.IFERROR('Income Statement'!J115/(J19-J45),"n.a.")</f>
        <v>3.6733073061161656</v>
      </c>
      <c r="K48" s="1" t="s">
        <v>620</v>
      </c>
    </row>
    <row r="49" ht="28.5" customHeight="1">
      <c r="B49" s="24" t="s">
        <v>621</v>
      </c>
      <c r="C49" s="26"/>
      <c r="D49" s="26"/>
      <c r="E49" s="26"/>
      <c r="F49" s="26"/>
      <c r="G49" s="26"/>
      <c r="H49" s="26"/>
      <c r="I49" s="26"/>
      <c r="J49" s="85">
        <f>_xlfn.IFERROR('Income Statement'!J115/(J19-J44),"n.a.")</f>
        <v>3.649886916047215</v>
      </c>
      <c r="K49" s="1"/>
    </row>
    <row r="50" ht="28.5" customHeight="1">
      <c r="B50" s="24" t="s">
        <v>622</v>
      </c>
      <c r="C50" s="26"/>
      <c r="D50" s="26"/>
      <c r="E50" s="26"/>
      <c r="F50" s="26"/>
      <c r="G50" s="26"/>
      <c r="H50" s="26"/>
      <c r="I50" s="26"/>
      <c r="J50" s="85">
        <f>_xlfn.IFERROR('Income Statement'!J115/J47,"n.a.")</f>
        <v>3.69108995324529</v>
      </c>
      <c r="K50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E2E6BE8-2EDC-777B-8A98-E24A6F4EF8C1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</row>
    <row r="3" ht="15" customHeight="1">
      <c r="A3" s="1"/>
      <c r="B3" s="4" t="s">
        <v>623</v>
      </c>
      <c r="C3" s="1"/>
      <c r="D3" s="1"/>
      <c r="E3" s="1"/>
      <c r="F3" s="1"/>
      <c r="G3" s="1"/>
      <c r="H3" s="1"/>
      <c r="I3" s="1"/>
      <c r="J3" s="1"/>
      <c r="K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</row>
    <row r="5" ht="15" customHeight="1" hidden="1">
      <c r="A5" s="1"/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8" t="s">
        <v>12</v>
      </c>
      <c r="K5" s="6" t="s">
        <v>13</v>
      </c>
    </row>
    <row r="6" ht="15" customHeight="1" hidden="1">
      <c r="A6" s="1"/>
      <c r="B6" s="9" t="s">
        <v>14</v>
      </c>
      <c r="C6" s="10">
        <f>DATE(2025,3,31)</f>
        <v>45747</v>
      </c>
      <c r="D6" s="10">
        <f>DATE(2025,6,30)</f>
        <v>45838</v>
      </c>
      <c r="E6" s="10">
        <f>DATE(2025,9,30)</f>
        <v>45930</v>
      </c>
      <c r="F6" s="10">
        <f t="shared" si="0" ref="F6:I6">DATE(2025,12,31)</f>
        <v>46022</v>
      </c>
      <c r="G6" s="10">
        <f>DATE(2026,3,31)</f>
        <v>46112</v>
      </c>
      <c r="H6" s="10">
        <f>DATE(2026,6,30)</f>
        <v>46203</v>
      </c>
      <c r="I6" s="10">
        <f t="shared" si="0"/>
        <v>46022</v>
      </c>
      <c r="J6" s="11">
        <f>DATE(2026,9,30)</f>
        <v>46295</v>
      </c>
      <c r="K6" s="9"/>
    </row>
    <row r="7" ht="15" customHeight="1" hidden="1">
      <c r="A7" s="1"/>
      <c r="B7" s="12" t="s">
        <v>15</v>
      </c>
      <c r="C7" s="13">
        <f t="shared" si="1" ref="C7:J7">C6-EOMONTH(C6,-3)</f>
        <v>90</v>
      </c>
      <c r="D7" s="13">
        <f t="shared" si="1"/>
        <v>91</v>
      </c>
      <c r="E7" s="13">
        <f t="shared" si="1"/>
        <v>92</v>
      </c>
      <c r="F7" s="13">
        <f t="shared" si="1"/>
        <v>92</v>
      </c>
      <c r="G7" s="13">
        <f t="shared" si="1"/>
        <v>90</v>
      </c>
      <c r="H7" s="13">
        <f t="shared" si="1"/>
        <v>91</v>
      </c>
      <c r="I7" s="13">
        <f>I6-EOMONTH(I6,-12)</f>
        <v>365</v>
      </c>
      <c r="J7" s="14">
        <f t="shared" si="1"/>
        <v>92</v>
      </c>
      <c r="K7" s="12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5"/>
      <c r="K8" s="1"/>
    </row>
    <row r="9" ht="15" customHeight="1">
      <c r="A9" s="1"/>
      <c r="B9" s="16" t="s">
        <v>624</v>
      </c>
      <c r="C9" s="20"/>
      <c r="D9" s="20"/>
      <c r="E9" s="17"/>
      <c r="F9" s="17"/>
      <c r="G9" s="17"/>
      <c r="H9" s="17"/>
      <c r="I9" s="20"/>
      <c r="J9" s="18"/>
      <c r="K9" s="1" t="s">
        <v>625</v>
      </c>
    </row>
    <row r="10" ht="15" customHeight="1">
      <c r="A10" s="1"/>
      <c r="B10" s="21" t="s">
        <v>34</v>
      </c>
      <c r="C10" s="22" t="s">
        <v>626</v>
      </c>
      <c r="D10" s="86" t="s">
        <v>4</v>
      </c>
      <c r="E10" s="22" t="s">
        <v>627</v>
      </c>
      <c r="F10" s="22" t="s">
        <v>628</v>
      </c>
      <c r="G10" s="22" t="s">
        <v>629</v>
      </c>
      <c r="H10" s="22" t="s">
        <v>630</v>
      </c>
      <c r="I10" s="86" t="s">
        <v>631</v>
      </c>
      <c r="J10" s="23"/>
      <c r="K10" s="21"/>
    </row>
    <row r="11" ht="28.5" customHeight="1">
      <c r="A11" s="1"/>
      <c r="B11" s="24" t="s">
        <v>632</v>
      </c>
      <c r="C11" s="87">
        <v>45860</v>
      </c>
      <c r="D11" s="20" t="s">
        <v>633</v>
      </c>
      <c r="E11" s="88">
        <v>7.7</v>
      </c>
      <c r="F11" s="88">
        <v>9.5</v>
      </c>
      <c r="G11" s="63">
        <f t="shared" si="2" ref="G11:G45">AVERAGE(E11,F11)</f>
        <v>8.6</v>
      </c>
      <c r="H11" s="89">
        <f>'Income Statement'!I147/1000</f>
        <v>2.697</v>
      </c>
      <c r="I11" s="90" t="str">
        <f t="shared" si="3" ref="I11:I45">IF(ISNUMBER(H11),IF(H11&gt;F11,"Beat (above range)",IF(H11&lt;E11,"Miss (below range)",IF(H11&gt;=G11,"In range, at/above mid","In range, below mid"))),"Pending (FY26 not reported)")</f>
        <v>Miss (below range)</v>
      </c>
      <c r="J11" s="18"/>
      <c r="K11" s="1" t="s">
        <v>635</v>
      </c>
    </row>
    <row r="12" ht="15" customHeight="1">
      <c r="A12" s="1"/>
      <c r="B12" s="19" t="s">
        <v>636</v>
      </c>
      <c r="C12" s="87">
        <v>45860</v>
      </c>
      <c r="D12" s="20" t="s">
        <v>633</v>
      </c>
      <c r="E12" s="88">
        <v>10</v>
      </c>
      <c r="F12" s="88">
        <v>12.5</v>
      </c>
      <c r="G12" s="63">
        <f t="shared" si="2"/>
        <v>11.25</v>
      </c>
      <c r="H12" s="89">
        <f>'Income Statement'!I89/1000</f>
        <v>12.746</v>
      </c>
      <c r="I12" s="90" t="str">
        <f t="shared" si="3"/>
        <v>Beat (above range)</v>
      </c>
      <c r="J12" s="18"/>
      <c r="K12" s="1"/>
    </row>
    <row r="13" ht="28.5" customHeight="1">
      <c r="A13" s="1"/>
      <c r="B13" s="24" t="s">
        <v>638</v>
      </c>
      <c r="C13" s="87">
        <v>45860</v>
      </c>
      <c r="D13" s="20" t="s">
        <v>633</v>
      </c>
      <c r="E13" s="88">
        <v>17</v>
      </c>
      <c r="F13" s="88">
        <v>20.5</v>
      </c>
      <c r="G13" s="63">
        <f t="shared" si="2"/>
        <v>18.75</v>
      </c>
      <c r="H13" s="89">
        <f>'Cash Flow Statement'!I48/1000</f>
        <v>18.733</v>
      </c>
      <c r="I13" s="20" t="str">
        <f t="shared" si="3"/>
        <v>In range, below mid</v>
      </c>
      <c r="J13" s="18"/>
      <c r="K13" s="1"/>
    </row>
    <row r="14" ht="28.5" customHeight="1">
      <c r="A14" s="1"/>
      <c r="B14" s="24" t="s">
        <v>640</v>
      </c>
      <c r="C14" s="87">
        <v>45860</v>
      </c>
      <c r="D14" s="20" t="s">
        <v>633</v>
      </c>
      <c r="E14" s="88">
        <v>7.5</v>
      </c>
      <c r="F14" s="88">
        <v>10</v>
      </c>
      <c r="G14" s="63">
        <f t="shared" si="2"/>
        <v>8.75</v>
      </c>
      <c r="H14" s="89">
        <f>'Cash Flow Statement'!I59/1000</f>
        <v>10.595</v>
      </c>
      <c r="I14" s="20" t="str">
        <f t="shared" si="3"/>
        <v>Beat (above range)</v>
      </c>
      <c r="J14" s="18"/>
      <c r="K14" s="1"/>
    </row>
    <row r="15" ht="15" customHeight="1">
      <c r="A15" s="1"/>
      <c r="B15" s="19" t="s">
        <v>641</v>
      </c>
      <c r="C15" s="87">
        <v>45860</v>
      </c>
      <c r="D15" s="20" t="s">
        <v>633</v>
      </c>
      <c r="E15" s="88">
        <v>8.22</v>
      </c>
      <c r="F15" s="88">
        <v>9.97</v>
      </c>
      <c r="G15" s="63">
        <f t="shared" si="2"/>
        <v>9.095</v>
      </c>
      <c r="H15" s="89">
        <f>'Income Statement'!I151</f>
        <v>3.27</v>
      </c>
      <c r="I15" s="90" t="str">
        <f t="shared" si="3"/>
        <v>Miss (below range)</v>
      </c>
      <c r="J15" s="18"/>
      <c r="K15" s="1"/>
    </row>
    <row r="16" ht="15" customHeight="1">
      <c r="A16" s="1"/>
      <c r="B16" s="19" t="s">
        <v>642</v>
      </c>
      <c r="C16" s="87">
        <v>45860</v>
      </c>
      <c r="D16" s="20" t="s">
        <v>633</v>
      </c>
      <c r="E16" s="88">
        <v>8.25</v>
      </c>
      <c r="F16" s="88">
        <v>10</v>
      </c>
      <c r="G16" s="63">
        <f t="shared" si="2"/>
        <v>9.125</v>
      </c>
      <c r="H16" s="89">
        <f>'Income Statement'!I153</f>
        <v>10.6</v>
      </c>
      <c r="I16" s="90" t="str">
        <f t="shared" si="3"/>
        <v>Beat (above range)</v>
      </c>
      <c r="J16" s="18"/>
      <c r="K16" s="1"/>
    </row>
    <row r="17" ht="28.5" customHeight="1">
      <c r="A17" s="1"/>
      <c r="B17" s="24" t="s">
        <v>632</v>
      </c>
      <c r="C17" s="87">
        <v>45951</v>
      </c>
      <c r="D17" s="20" t="s">
        <v>633</v>
      </c>
      <c r="E17" s="88">
        <v>7.7</v>
      </c>
      <c r="F17" s="88">
        <v>8.3</v>
      </c>
      <c r="G17" s="63">
        <f t="shared" si="2"/>
        <v>8</v>
      </c>
      <c r="H17" s="89">
        <f>'Income Statement'!I147/1000</f>
        <v>2.697</v>
      </c>
      <c r="I17" s="90" t="str">
        <f t="shared" si="3"/>
        <v>Miss (below range)</v>
      </c>
      <c r="J17" s="18"/>
      <c r="K17" s="1"/>
    </row>
    <row r="18" ht="15" customHeight="1">
      <c r="A18" s="1"/>
      <c r="B18" s="19" t="s">
        <v>636</v>
      </c>
      <c r="C18" s="87">
        <v>45951</v>
      </c>
      <c r="D18" s="20" t="s">
        <v>633</v>
      </c>
      <c r="E18" s="88">
        <v>12</v>
      </c>
      <c r="F18" s="88">
        <v>13</v>
      </c>
      <c r="G18" s="63">
        <f t="shared" si="2"/>
        <v>12.5</v>
      </c>
      <c r="H18" s="89">
        <f>'Income Statement'!I89/1000</f>
        <v>12.746</v>
      </c>
      <c r="I18" s="90" t="str">
        <f t="shared" si="3"/>
        <v>In range, at/above mid</v>
      </c>
      <c r="J18" s="18"/>
      <c r="K18" s="1"/>
    </row>
    <row r="19" ht="28.5" customHeight="1">
      <c r="A19" s="1"/>
      <c r="B19" s="24" t="s">
        <v>638</v>
      </c>
      <c r="C19" s="87">
        <v>45951</v>
      </c>
      <c r="D19" s="20" t="s">
        <v>633</v>
      </c>
      <c r="E19" s="88">
        <v>19.2</v>
      </c>
      <c r="F19" s="88">
        <v>21.2</v>
      </c>
      <c r="G19" s="63">
        <f t="shared" si="2"/>
        <v>20.2</v>
      </c>
      <c r="H19" s="89">
        <f>'Cash Flow Statement'!I48/1000</f>
        <v>18.733</v>
      </c>
      <c r="I19" s="20" t="str">
        <f t="shared" si="3"/>
        <v>Miss (below range)</v>
      </c>
      <c r="J19" s="18"/>
      <c r="K19" s="1"/>
    </row>
    <row r="20" ht="28.5" customHeight="1">
      <c r="A20" s="1"/>
      <c r="B20" s="24" t="s">
        <v>640</v>
      </c>
      <c r="C20" s="87">
        <v>45951</v>
      </c>
      <c r="D20" s="20" t="s">
        <v>633</v>
      </c>
      <c r="E20" s="88">
        <v>10</v>
      </c>
      <c r="F20" s="88">
        <v>11</v>
      </c>
      <c r="G20" s="63">
        <f t="shared" si="2"/>
        <v>10.5</v>
      </c>
      <c r="H20" s="89">
        <f>'Cash Flow Statement'!I59/1000</f>
        <v>10.595</v>
      </c>
      <c r="I20" s="20" t="str">
        <f t="shared" si="3"/>
        <v>In range, at/above mid</v>
      </c>
      <c r="J20" s="18"/>
      <c r="K20" s="1"/>
    </row>
    <row r="21" ht="15" customHeight="1">
      <c r="A21" s="1"/>
      <c r="B21" s="19" t="s">
        <v>641</v>
      </c>
      <c r="C21" s="87">
        <v>45951</v>
      </c>
      <c r="D21" s="20" t="s">
        <v>633</v>
      </c>
      <c r="E21" s="88">
        <v>8.3</v>
      </c>
      <c r="F21" s="88">
        <v>9.05</v>
      </c>
      <c r="G21" s="63">
        <f t="shared" si="2"/>
        <v>8.675</v>
      </c>
      <c r="H21" s="89">
        <f>'Income Statement'!I151</f>
        <v>3.27</v>
      </c>
      <c r="I21" s="90" t="str">
        <f t="shared" si="3"/>
        <v>Miss (below range)</v>
      </c>
      <c r="J21" s="18"/>
      <c r="K21" s="1"/>
    </row>
    <row r="22" ht="15" customHeight="1">
      <c r="A22" s="1"/>
      <c r="B22" s="19" t="s">
        <v>642</v>
      </c>
      <c r="C22" s="87">
        <v>45951</v>
      </c>
      <c r="D22" s="20" t="s">
        <v>633</v>
      </c>
      <c r="E22" s="88">
        <v>9.75</v>
      </c>
      <c r="F22" s="88">
        <v>10.5</v>
      </c>
      <c r="G22" s="63">
        <f t="shared" si="2"/>
        <v>10.125</v>
      </c>
      <c r="H22" s="89">
        <f>'Income Statement'!I153</f>
        <v>10.6</v>
      </c>
      <c r="I22" s="90" t="str">
        <f t="shared" si="3"/>
        <v>Beat (above range)</v>
      </c>
      <c r="J22" s="18"/>
      <c r="K22" s="1"/>
    </row>
    <row r="23" ht="28.5" customHeight="1">
      <c r="A23" s="1"/>
      <c r="B23" s="24" t="s">
        <v>632</v>
      </c>
      <c r="C23" s="87">
        <v>46049</v>
      </c>
      <c r="D23" s="20" t="s">
        <v>644</v>
      </c>
      <c r="E23" s="88">
        <v>10.3</v>
      </c>
      <c r="F23" s="88">
        <v>11.7</v>
      </c>
      <c r="G23" s="63">
        <f t="shared" si="2"/>
        <v>11</v>
      </c>
      <c r="H23" s="63" t="s">
        <v>645</v>
      </c>
      <c r="I23" s="20" t="str">
        <f t="shared" si="3"/>
        <v>Pending (FY26 not reported)</v>
      </c>
      <c r="J23" s="18"/>
      <c r="K23" s="1"/>
    </row>
    <row r="24" ht="15" customHeight="1">
      <c r="A24" s="1"/>
      <c r="B24" s="19" t="s">
        <v>636</v>
      </c>
      <c r="C24" s="87">
        <v>46049</v>
      </c>
      <c r="D24" s="20" t="s">
        <v>644</v>
      </c>
      <c r="E24" s="88">
        <v>13</v>
      </c>
      <c r="F24" s="88">
        <v>15</v>
      </c>
      <c r="G24" s="63">
        <f t="shared" si="2"/>
        <v>14</v>
      </c>
      <c r="H24" s="63" t="s">
        <v>645</v>
      </c>
      <c r="I24" s="20" t="str">
        <f t="shared" si="3"/>
        <v>Pending (FY26 not reported)</v>
      </c>
      <c r="J24" s="18"/>
      <c r="K24" s="1"/>
    </row>
    <row r="25" ht="28.5" customHeight="1">
      <c r="A25" s="1"/>
      <c r="B25" s="24" t="s">
        <v>638</v>
      </c>
      <c r="C25" s="87">
        <v>46049</v>
      </c>
      <c r="D25" s="20" t="s">
        <v>644</v>
      </c>
      <c r="E25" s="88">
        <v>19</v>
      </c>
      <c r="F25" s="88">
        <v>23</v>
      </c>
      <c r="G25" s="63">
        <f t="shared" si="2"/>
        <v>21</v>
      </c>
      <c r="H25" s="63" t="s">
        <v>645</v>
      </c>
      <c r="I25" s="20" t="str">
        <f t="shared" si="3"/>
        <v>Pending (FY26 not reported)</v>
      </c>
      <c r="J25" s="18"/>
      <c r="K25" s="1"/>
    </row>
    <row r="26" ht="28.5" customHeight="1">
      <c r="A26" s="1"/>
      <c r="B26" s="24" t="s">
        <v>640</v>
      </c>
      <c r="C26" s="87">
        <v>46049</v>
      </c>
      <c r="D26" s="20" t="s">
        <v>644</v>
      </c>
      <c r="E26" s="88">
        <v>9</v>
      </c>
      <c r="F26" s="88">
        <v>11</v>
      </c>
      <c r="G26" s="63">
        <f t="shared" si="2"/>
        <v>10</v>
      </c>
      <c r="H26" s="63" t="s">
        <v>645</v>
      </c>
      <c r="I26" s="20" t="str">
        <f t="shared" si="3"/>
        <v>Pending (FY26 not reported)</v>
      </c>
      <c r="J26" s="18"/>
      <c r="K26" s="1"/>
    </row>
    <row r="27" ht="15" customHeight="1">
      <c r="A27" s="1"/>
      <c r="B27" s="19" t="s">
        <v>641</v>
      </c>
      <c r="C27" s="87">
        <v>46049</v>
      </c>
      <c r="D27" s="20" t="s">
        <v>644</v>
      </c>
      <c r="E27" s="88">
        <v>11</v>
      </c>
      <c r="F27" s="88">
        <v>13</v>
      </c>
      <c r="G27" s="63">
        <f t="shared" si="2"/>
        <v>12</v>
      </c>
      <c r="H27" s="63" t="s">
        <v>645</v>
      </c>
      <c r="I27" s="20" t="str">
        <f t="shared" si="3"/>
        <v>Pending (FY26 not reported)</v>
      </c>
      <c r="J27" s="18"/>
      <c r="K27" s="1"/>
    </row>
    <row r="28" ht="15" customHeight="1">
      <c r="A28" s="1"/>
      <c r="B28" s="19" t="s">
        <v>642</v>
      </c>
      <c r="C28" s="87">
        <v>46049</v>
      </c>
      <c r="D28" s="20" t="s">
        <v>644</v>
      </c>
      <c r="E28" s="88">
        <v>11</v>
      </c>
      <c r="F28" s="88">
        <v>13</v>
      </c>
      <c r="G28" s="63">
        <f t="shared" si="2"/>
        <v>12</v>
      </c>
      <c r="H28" s="63" t="s">
        <v>645</v>
      </c>
      <c r="I28" s="20" t="str">
        <f t="shared" si="3"/>
        <v>Pending (FY26 not reported)</v>
      </c>
      <c r="J28" s="18"/>
      <c r="K28" s="1"/>
    </row>
    <row r="29" ht="28.5" customHeight="1">
      <c r="A29" s="1"/>
      <c r="B29" s="24" t="s">
        <v>647</v>
      </c>
      <c r="C29" s="87">
        <v>46049</v>
      </c>
      <c r="D29" s="20" t="s">
        <v>644</v>
      </c>
      <c r="E29" s="88">
        <v>10</v>
      </c>
      <c r="F29" s="88">
        <v>12</v>
      </c>
      <c r="G29" s="63">
        <f t="shared" si="2"/>
        <v>11</v>
      </c>
      <c r="H29" s="63" t="s">
        <v>645</v>
      </c>
      <c r="I29" s="20" t="str">
        <f t="shared" si="3"/>
        <v>Pending (FY26 not reported)</v>
      </c>
      <c r="J29" s="18"/>
      <c r="K29" s="1"/>
    </row>
    <row r="30" ht="28.5" customHeight="1">
      <c r="A30" s="1"/>
      <c r="B30" s="24" t="s">
        <v>632</v>
      </c>
      <c r="C30" s="87">
        <v>46140</v>
      </c>
      <c r="D30" s="20" t="s">
        <v>644</v>
      </c>
      <c r="E30" s="88">
        <v>9.9</v>
      </c>
      <c r="F30" s="88">
        <v>11.4</v>
      </c>
      <c r="G30" s="63">
        <f t="shared" si="2"/>
        <v>10.65</v>
      </c>
      <c r="H30" s="63" t="s">
        <v>645</v>
      </c>
      <c r="I30" s="20" t="str">
        <f t="shared" si="3"/>
        <v>Pending (FY26 not reported)</v>
      </c>
      <c r="J30" s="18"/>
      <c r="K30" s="1"/>
    </row>
    <row r="31" ht="15" customHeight="1">
      <c r="A31" s="1"/>
      <c r="B31" s="19" t="s">
        <v>636</v>
      </c>
      <c r="C31" s="87">
        <v>46140</v>
      </c>
      <c r="D31" s="20" t="s">
        <v>644</v>
      </c>
      <c r="E31" s="88">
        <v>13.5</v>
      </c>
      <c r="F31" s="88">
        <v>15.5</v>
      </c>
      <c r="G31" s="63">
        <f t="shared" si="2"/>
        <v>14.5</v>
      </c>
      <c r="H31" s="63" t="s">
        <v>645</v>
      </c>
      <c r="I31" s="20" t="str">
        <f t="shared" si="3"/>
        <v>Pending (FY26 not reported)</v>
      </c>
      <c r="J31" s="18"/>
      <c r="K31" s="1"/>
    </row>
    <row r="32" ht="28.5" customHeight="1">
      <c r="A32" s="1"/>
      <c r="B32" s="24" t="s">
        <v>638</v>
      </c>
      <c r="C32" s="87">
        <v>46140</v>
      </c>
      <c r="D32" s="20" t="s">
        <v>644</v>
      </c>
      <c r="E32" s="88">
        <v>16.8</v>
      </c>
      <c r="F32" s="88">
        <v>20.8</v>
      </c>
      <c r="G32" s="63">
        <f t="shared" si="2"/>
        <v>18.8</v>
      </c>
      <c r="H32" s="63" t="s">
        <v>645</v>
      </c>
      <c r="I32" s="20" t="str">
        <f t="shared" si="3"/>
        <v>Pending (FY26 not reported)</v>
      </c>
      <c r="J32" s="18"/>
      <c r="K32" s="1"/>
    </row>
    <row r="33" ht="28.5" customHeight="1">
      <c r="A33" s="1"/>
      <c r="B33" s="24" t="s">
        <v>640</v>
      </c>
      <c r="C33" s="87">
        <v>46140</v>
      </c>
      <c r="D33" s="20" t="s">
        <v>644</v>
      </c>
      <c r="E33" s="88">
        <v>9</v>
      </c>
      <c r="F33" s="88">
        <v>11</v>
      </c>
      <c r="G33" s="63">
        <f t="shared" si="2"/>
        <v>10</v>
      </c>
      <c r="H33" s="63" t="s">
        <v>645</v>
      </c>
      <c r="I33" s="20" t="str">
        <f t="shared" si="3"/>
        <v>Pending (FY26 not reported)</v>
      </c>
      <c r="J33" s="18"/>
      <c r="K33" s="1"/>
    </row>
    <row r="34" ht="15" customHeight="1">
      <c r="A34" s="1"/>
      <c r="B34" s="19" t="s">
        <v>641</v>
      </c>
      <c r="C34" s="87">
        <v>46140</v>
      </c>
      <c r="D34" s="20" t="s">
        <v>644</v>
      </c>
      <c r="E34" s="88">
        <v>10.62</v>
      </c>
      <c r="F34" s="88">
        <v>12.62</v>
      </c>
      <c r="G34" s="63">
        <f t="shared" si="2"/>
        <v>11.62</v>
      </c>
      <c r="H34" s="63" t="s">
        <v>645</v>
      </c>
      <c r="I34" s="20" t="str">
        <f t="shared" si="3"/>
        <v>Pending (FY26 not reported)</v>
      </c>
      <c r="J34" s="18"/>
      <c r="K34" s="1"/>
    </row>
    <row r="35" ht="15" customHeight="1">
      <c r="A35" s="1"/>
      <c r="B35" s="19" t="s">
        <v>642</v>
      </c>
      <c r="C35" s="87">
        <v>46140</v>
      </c>
      <c r="D35" s="20" t="s">
        <v>644</v>
      </c>
      <c r="E35" s="88">
        <v>11.5</v>
      </c>
      <c r="F35" s="88">
        <v>13.5</v>
      </c>
      <c r="G35" s="63">
        <f t="shared" si="2"/>
        <v>12.5</v>
      </c>
      <c r="H35" s="63" t="s">
        <v>645</v>
      </c>
      <c r="I35" s="20" t="str">
        <f t="shared" si="3"/>
        <v>Pending (FY26 not reported)</v>
      </c>
      <c r="J35" s="18"/>
      <c r="K35" s="1"/>
    </row>
    <row r="36" ht="15" customHeight="1">
      <c r="A36" s="1"/>
      <c r="B36" s="19" t="s">
        <v>648</v>
      </c>
      <c r="C36" s="87">
        <v>46140</v>
      </c>
      <c r="D36" s="20" t="s">
        <v>644</v>
      </c>
      <c r="E36" s="88">
        <v>2.5</v>
      </c>
      <c r="F36" s="88">
        <v>3.5</v>
      </c>
      <c r="G36" s="63">
        <f t="shared" si="2"/>
        <v>3</v>
      </c>
      <c r="H36" s="63" t="s">
        <v>645</v>
      </c>
      <c r="I36" s="20" t="str">
        <f t="shared" si="3"/>
        <v>Pending (FY26 not reported)</v>
      </c>
      <c r="J36" s="18"/>
      <c r="K36" s="1"/>
    </row>
    <row r="37" ht="28.5" customHeight="1">
      <c r="A37" s="1"/>
      <c r="B37" s="24" t="s">
        <v>632</v>
      </c>
      <c r="C37" s="87">
        <v>46224</v>
      </c>
      <c r="D37" s="20" t="s">
        <v>644</v>
      </c>
      <c r="E37" s="88">
        <v>8.4</v>
      </c>
      <c r="F37" s="88">
        <v>9.8</v>
      </c>
      <c r="G37" s="63">
        <f t="shared" si="2"/>
        <v>9.100000000000001</v>
      </c>
      <c r="H37" s="63" t="s">
        <v>645</v>
      </c>
      <c r="I37" s="20" t="str">
        <f t="shared" si="3"/>
        <v>Pending (FY26 not reported)</v>
      </c>
      <c r="J37" s="18"/>
      <c r="K37" s="1"/>
    </row>
    <row r="38" ht="15" customHeight="1">
      <c r="A38" s="1"/>
      <c r="B38" s="19" t="s">
        <v>636</v>
      </c>
      <c r="C38" s="87">
        <v>46224</v>
      </c>
      <c r="D38" s="20" t="s">
        <v>644</v>
      </c>
      <c r="E38" s="88">
        <v>14</v>
      </c>
      <c r="F38" s="88">
        <v>16</v>
      </c>
      <c r="G38" s="63">
        <f t="shared" si="2"/>
        <v>15</v>
      </c>
      <c r="H38" s="63" t="s">
        <v>645</v>
      </c>
      <c r="I38" s="20" t="str">
        <f t="shared" si="3"/>
        <v>Pending (FY26 not reported)</v>
      </c>
      <c r="J38" s="18"/>
      <c r="K38" s="1"/>
    </row>
    <row r="39" ht="28.5" customHeight="1">
      <c r="A39" s="1"/>
      <c r="B39" s="24" t="s">
        <v>638</v>
      </c>
      <c r="C39" s="87">
        <v>46224</v>
      </c>
      <c r="D39" s="20" t="s">
        <v>644</v>
      </c>
      <c r="E39" s="88">
        <v>15.4</v>
      </c>
      <c r="F39" s="88">
        <v>19.4</v>
      </c>
      <c r="G39" s="63">
        <f t="shared" si="2"/>
        <v>17.4</v>
      </c>
      <c r="H39" s="63" t="s">
        <v>645</v>
      </c>
      <c r="I39" s="20" t="str">
        <f t="shared" si="3"/>
        <v>Pending (FY26 not reported)</v>
      </c>
      <c r="J39" s="18"/>
      <c r="K39" s="1"/>
    </row>
    <row r="40" ht="28.5" customHeight="1">
      <c r="A40" s="1"/>
      <c r="B40" s="24" t="s">
        <v>640</v>
      </c>
      <c r="C40" s="87">
        <v>46224</v>
      </c>
      <c r="D40" s="20" t="s">
        <v>644</v>
      </c>
      <c r="E40" s="88">
        <v>9.5</v>
      </c>
      <c r="F40" s="88">
        <v>11.5</v>
      </c>
      <c r="G40" s="63">
        <f t="shared" si="2"/>
        <v>10.5</v>
      </c>
      <c r="H40" s="63" t="s">
        <v>645</v>
      </c>
      <c r="I40" s="20" t="str">
        <f t="shared" si="3"/>
        <v>Pending (FY26 not reported)</v>
      </c>
      <c r="J40" s="18"/>
      <c r="K40" s="1"/>
    </row>
    <row r="41" ht="15" customHeight="1">
      <c r="A41" s="1"/>
      <c r="B41" s="19" t="s">
        <v>641</v>
      </c>
      <c r="C41" s="87">
        <v>46224</v>
      </c>
      <c r="D41" s="20" t="s">
        <v>644</v>
      </c>
      <c r="E41" s="88">
        <v>8.98</v>
      </c>
      <c r="F41" s="88">
        <v>10.98</v>
      </c>
      <c r="G41" s="63">
        <f t="shared" si="2"/>
        <v>9.98</v>
      </c>
      <c r="H41" s="63" t="s">
        <v>645</v>
      </c>
      <c r="I41" s="20" t="str">
        <f t="shared" si="3"/>
        <v>Pending (FY26 not reported)</v>
      </c>
      <c r="J41" s="18"/>
      <c r="K41" s="1"/>
    </row>
    <row r="42" ht="15" customHeight="1">
      <c r="A42" s="1"/>
      <c r="B42" s="19" t="s">
        <v>642</v>
      </c>
      <c r="C42" s="87">
        <v>46224</v>
      </c>
      <c r="D42" s="20" t="s">
        <v>644</v>
      </c>
      <c r="E42" s="88">
        <v>12</v>
      </c>
      <c r="F42" s="88">
        <v>14</v>
      </c>
      <c r="G42" s="63">
        <f t="shared" si="2"/>
        <v>13</v>
      </c>
      <c r="H42" s="63" t="s">
        <v>645</v>
      </c>
      <c r="I42" s="20" t="str">
        <f t="shared" si="3"/>
        <v>Pending (FY26 not reported)</v>
      </c>
      <c r="J42" s="18"/>
      <c r="K42" s="1"/>
    </row>
    <row r="43" ht="15" customHeight="1">
      <c r="A43" s="1"/>
      <c r="B43" s="19" t="s">
        <v>649</v>
      </c>
      <c r="C43" s="87">
        <v>46224</v>
      </c>
      <c r="D43" s="20" t="s">
        <v>644</v>
      </c>
      <c r="E43" s="88">
        <v>10</v>
      </c>
      <c r="F43" s="88">
        <v>12</v>
      </c>
      <c r="G43" s="63">
        <f t="shared" si="2"/>
        <v>11</v>
      </c>
      <c r="H43" s="63" t="s">
        <v>645</v>
      </c>
      <c r="I43" s="20" t="str">
        <f t="shared" si="3"/>
        <v>Pending (FY26 not reported)</v>
      </c>
      <c r="J43" s="18"/>
      <c r="K43" s="1"/>
    </row>
    <row r="44" ht="28.5" customHeight="1">
      <c r="A44" s="1"/>
      <c r="B44" s="24" t="s">
        <v>650</v>
      </c>
      <c r="C44" s="87">
        <v>46224</v>
      </c>
      <c r="D44" s="20" t="s">
        <v>644</v>
      </c>
      <c r="E44" s="88">
        <v>2.5</v>
      </c>
      <c r="F44" s="88">
        <v>3</v>
      </c>
      <c r="G44" s="63">
        <f t="shared" si="2"/>
        <v>2.75</v>
      </c>
      <c r="H44" s="63" t="s">
        <v>645</v>
      </c>
      <c r="I44" s="20" t="str">
        <f t="shared" si="3"/>
        <v>Pending (FY26 not reported)</v>
      </c>
      <c r="J44" s="18"/>
      <c r="K44" s="1"/>
    </row>
    <row r="45" ht="28.5" customHeight="1">
      <c r="A45" s="1"/>
      <c r="B45" s="24" t="s">
        <v>651</v>
      </c>
      <c r="C45" s="87">
        <v>46224</v>
      </c>
      <c r="D45" s="20" t="s">
        <v>644</v>
      </c>
      <c r="E45" s="88">
        <v>2.5</v>
      </c>
      <c r="F45" s="88">
        <v>3.5</v>
      </c>
      <c r="G45" s="63">
        <f t="shared" si="2"/>
        <v>3</v>
      </c>
      <c r="H45" s="63" t="s">
        <v>645</v>
      </c>
      <c r="I45" s="20" t="str">
        <f t="shared" si="3"/>
        <v>Pending (FY26 not reported)</v>
      </c>
      <c r="J45" s="18"/>
      <c r="K45" s="1"/>
    </row>
    <row r="46" ht="15" customHeight="1">
      <c r="A46" s="1"/>
      <c r="B46" s="1"/>
      <c r="C46" s="20"/>
      <c r="D46" s="20"/>
      <c r="E46" s="17"/>
      <c r="F46" s="17"/>
      <c r="G46" s="17"/>
      <c r="H46" s="17"/>
      <c r="I46" s="20"/>
      <c r="J46" s="18"/>
      <c r="K46" s="1"/>
    </row>
    <row r="47" ht="15" customHeight="1">
      <c r="A47" s="1"/>
      <c r="B47" s="16" t="s">
        <v>652</v>
      </c>
      <c r="C47" s="20"/>
      <c r="D47" s="20"/>
      <c r="E47" s="17"/>
      <c r="F47" s="17"/>
      <c r="G47" s="17"/>
      <c r="H47" s="17"/>
      <c r="I47" s="20"/>
      <c r="J47" s="18"/>
      <c r="K47" s="1"/>
    </row>
    <row r="48" ht="28.5" customHeight="1">
      <c r="A48" s="1"/>
      <c r="B48" s="24" t="s">
        <v>653</v>
      </c>
      <c r="C48" s="91"/>
      <c r="D48" s="91"/>
      <c r="E48" s="63"/>
      <c r="F48" s="63"/>
      <c r="G48" s="63"/>
      <c r="H48" s="63"/>
      <c r="I48" s="91"/>
      <c r="J48" s="92">
        <f>G38-('Income Statement'!G89+'Income Statement'!H89)/1000</f>
        <v>6.802</v>
      </c>
      <c r="K48" s="1"/>
    </row>
    <row r="49" ht="28.5" customHeight="1">
      <c r="A49" s="1"/>
      <c r="B49" s="24" t="s">
        <v>654</v>
      </c>
      <c r="C49" s="93"/>
      <c r="D49" s="93"/>
      <c r="E49" s="32"/>
      <c r="F49" s="32"/>
      <c r="G49" s="32"/>
      <c r="H49" s="32"/>
      <c r="I49" s="93"/>
      <c r="J49" s="85">
        <f>G42-('Income Statement'!G118+'Income Statement'!H118)</f>
        <v>5.725604632948045</v>
      </c>
      <c r="K49" s="1" t="s">
        <v>655</v>
      </c>
    </row>
    <row r="50" ht="28.5" customHeight="1">
      <c r="A50" s="1"/>
      <c r="B50" s="60" t="s">
        <v>656</v>
      </c>
      <c r="C50" s="94"/>
      <c r="D50" s="94"/>
      <c r="E50" s="29"/>
      <c r="F50" s="29"/>
      <c r="G50" s="29"/>
      <c r="H50" s="29"/>
      <c r="I50" s="94"/>
      <c r="J50" s="68">
        <f>_xlfn.IFERROR('Income Statement'!J89/1000/J48,"n.a.")</f>
        <v>0.5902798651156109</v>
      </c>
      <c r="K50" s="1"/>
    </row>
    <row r="51" ht="54" customHeight="1">
      <c r="A51" s="1"/>
      <c r="B51" s="24" t="s">
        <v>657</v>
      </c>
      <c r="C51" s="93"/>
      <c r="D51" s="93"/>
      <c r="E51" s="32"/>
      <c r="F51" s="32"/>
      <c r="G51" s="32"/>
      <c r="H51" s="32"/>
      <c r="I51" s="93"/>
      <c r="J51" s="85">
        <f>'Income Statement'!G118+'Income Statement'!H118+J49</f>
        <v>13</v>
      </c>
      <c r="K51" s="1" t="s">
        <v>658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C8AC2FFC-0987-61E8-C4B8-9472C00393E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</row>
    <row r="3" ht="15" customHeight="1">
      <c r="A3" s="1"/>
      <c r="B3" s="4" t="s">
        <v>659</v>
      </c>
      <c r="C3" s="1"/>
      <c r="D3" s="1"/>
      <c r="E3" s="1"/>
      <c r="F3" s="1"/>
      <c r="G3" s="1"/>
      <c r="H3" s="1"/>
      <c r="I3" s="1"/>
      <c r="J3" s="1"/>
      <c r="K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</row>
    <row r="5" ht="15" customHeight="1" hidden="1">
      <c r="A5" s="1"/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8" t="s">
        <v>12</v>
      </c>
      <c r="K5" s="6" t="s">
        <v>660</v>
      </c>
    </row>
    <row r="6" ht="15" customHeight="1" hidden="1">
      <c r="A6" s="1"/>
      <c r="B6" s="9" t="s">
        <v>14</v>
      </c>
      <c r="C6" s="10">
        <f>DATE(2025,3,31)</f>
        <v>45747</v>
      </c>
      <c r="D6" s="10">
        <f>DATE(2025,6,30)</f>
        <v>45838</v>
      </c>
      <c r="E6" s="10">
        <f>DATE(2025,9,30)</f>
        <v>45930</v>
      </c>
      <c r="F6" s="10">
        <f t="shared" si="0" ref="F6:I6">DATE(2025,12,31)</f>
        <v>46022</v>
      </c>
      <c r="G6" s="10">
        <f>DATE(2026,3,31)</f>
        <v>46112</v>
      </c>
      <c r="H6" s="10">
        <f>DATE(2026,6,30)</f>
        <v>46203</v>
      </c>
      <c r="I6" s="10">
        <f t="shared" si="0"/>
        <v>46022</v>
      </c>
      <c r="J6" s="11">
        <f>DATE(2026,9,30)</f>
        <v>46295</v>
      </c>
      <c r="K6" s="9"/>
    </row>
    <row r="7" ht="15" customHeight="1" hidden="1">
      <c r="A7" s="1"/>
      <c r="B7" s="12" t="s">
        <v>15</v>
      </c>
      <c r="C7" s="13">
        <f t="shared" si="1" ref="C7:J7">C6-EOMONTH(C6,-3)</f>
        <v>90</v>
      </c>
      <c r="D7" s="13">
        <f t="shared" si="1"/>
        <v>91</v>
      </c>
      <c r="E7" s="13">
        <f t="shared" si="1"/>
        <v>92</v>
      </c>
      <c r="F7" s="13">
        <f t="shared" si="1"/>
        <v>92</v>
      </c>
      <c r="G7" s="13">
        <f t="shared" si="1"/>
        <v>90</v>
      </c>
      <c r="H7" s="13">
        <f t="shared" si="1"/>
        <v>91</v>
      </c>
      <c r="I7" s="13">
        <f>I6-EOMONTH(I6,-12)</f>
        <v>365</v>
      </c>
      <c r="J7" s="14">
        <f t="shared" si="1"/>
        <v>92</v>
      </c>
      <c r="K7" s="12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5"/>
      <c r="K8" s="1"/>
    </row>
    <row r="9" ht="15" customHeight="1">
      <c r="A9" s="1"/>
      <c r="B9" s="16" t="s">
        <v>661</v>
      </c>
      <c r="C9" s="20"/>
      <c r="D9" s="20"/>
      <c r="E9" s="20"/>
      <c r="F9" s="20"/>
      <c r="G9" s="20"/>
      <c r="H9" s="20"/>
      <c r="I9" s="20"/>
      <c r="J9" s="95"/>
      <c r="K9" s="1"/>
    </row>
    <row r="10" ht="15" customHeight="1">
      <c r="A10" s="1"/>
      <c r="B10" s="21" t="s">
        <v>662</v>
      </c>
      <c r="C10" s="22" t="s">
        <v>663</v>
      </c>
      <c r="D10" s="86" t="s">
        <v>664</v>
      </c>
      <c r="E10" s="86" t="s">
        <v>665</v>
      </c>
      <c r="F10" s="86"/>
      <c r="G10" s="86"/>
      <c r="H10" s="86"/>
      <c r="I10" s="86"/>
      <c r="J10" s="96"/>
      <c r="K10" s="21" t="s">
        <v>660</v>
      </c>
    </row>
    <row r="11" ht="15" customHeight="1">
      <c r="A11" s="1"/>
      <c r="B11" s="1" t="s">
        <v>666</v>
      </c>
      <c r="C11" s="87">
        <v>46313</v>
      </c>
      <c r="D11" s="20" t="s">
        <v>667</v>
      </c>
      <c r="E11" s="20" t="s">
        <v>668</v>
      </c>
      <c r="F11" s="20"/>
      <c r="G11" s="20"/>
      <c r="H11" s="20"/>
      <c r="I11" s="20"/>
      <c r="J11" s="95"/>
      <c r="K11" s="1" t="s">
        <v>669</v>
      </c>
    </row>
    <row r="12" ht="15" customHeight="1">
      <c r="A12" s="1"/>
      <c r="B12" s="1" t="s">
        <v>670</v>
      </c>
      <c r="C12" s="87">
        <v>46313</v>
      </c>
      <c r="D12" s="20" t="s">
        <v>667</v>
      </c>
      <c r="E12" s="20" t="s">
        <v>671</v>
      </c>
      <c r="F12" s="20"/>
      <c r="G12" s="20"/>
      <c r="H12" s="20"/>
      <c r="I12" s="20"/>
      <c r="J12" s="95"/>
      <c r="K12" s="1" t="s">
        <v>672</v>
      </c>
    </row>
    <row r="13" ht="15" customHeight="1">
      <c r="A13" s="1"/>
      <c r="B13" s="1" t="s">
        <v>673</v>
      </c>
      <c r="C13" s="87">
        <v>45951</v>
      </c>
      <c r="D13" s="20" t="s">
        <v>674</v>
      </c>
      <c r="E13" s="20" t="s">
        <v>675</v>
      </c>
      <c r="F13" s="20"/>
      <c r="G13" s="20"/>
      <c r="H13" s="20"/>
      <c r="I13" s="20"/>
      <c r="J13" s="95"/>
      <c r="K13" s="1" t="s">
        <v>676</v>
      </c>
    </row>
    <row r="14" ht="15" customHeight="1">
      <c r="A14" s="1"/>
      <c r="B14" s="1" t="s">
        <v>677</v>
      </c>
      <c r="C14" s="87">
        <v>46049</v>
      </c>
      <c r="D14" s="20" t="s">
        <v>674</v>
      </c>
      <c r="E14" s="20" t="s">
        <v>678</v>
      </c>
      <c r="F14" s="20"/>
      <c r="G14" s="20"/>
      <c r="H14" s="20"/>
      <c r="I14" s="20"/>
      <c r="J14" s="95"/>
      <c r="K14" s="1" t="s">
        <v>679</v>
      </c>
    </row>
    <row r="15" ht="15" customHeight="1">
      <c r="A15" s="1"/>
      <c r="B15" s="1" t="s">
        <v>680</v>
      </c>
      <c r="C15" s="87">
        <v>46140</v>
      </c>
      <c r="D15" s="20" t="s">
        <v>674</v>
      </c>
      <c r="E15" s="20" t="s">
        <v>681</v>
      </c>
      <c r="F15" s="20"/>
      <c r="G15" s="20"/>
      <c r="H15" s="20"/>
      <c r="I15" s="20"/>
      <c r="J15" s="95"/>
      <c r="K15" s="1" t="s">
        <v>682</v>
      </c>
    </row>
    <row r="16" ht="15" customHeight="1">
      <c r="A16" s="1"/>
      <c r="B16" s="1" t="s">
        <v>683</v>
      </c>
      <c r="C16" s="87">
        <v>46224</v>
      </c>
      <c r="D16" s="20" t="s">
        <v>674</v>
      </c>
      <c r="E16" s="20" t="s">
        <v>684</v>
      </c>
      <c r="F16" s="20"/>
      <c r="G16" s="20"/>
      <c r="H16" s="20"/>
      <c r="I16" s="20"/>
      <c r="J16" s="95"/>
      <c r="K16" s="1" t="s">
        <v>685</v>
      </c>
    </row>
    <row r="17" ht="15" customHeight="1">
      <c r="A17" s="1"/>
      <c r="B17" s="1" t="s">
        <v>686</v>
      </c>
      <c r="C17" s="87">
        <v>45951</v>
      </c>
      <c r="D17" s="20" t="s">
        <v>687</v>
      </c>
      <c r="E17" s="20" t="s">
        <v>688</v>
      </c>
      <c r="F17" s="20"/>
      <c r="G17" s="20"/>
      <c r="H17" s="20"/>
      <c r="I17" s="20"/>
      <c r="J17" s="95"/>
      <c r="K17" s="1" t="s">
        <v>689</v>
      </c>
    </row>
    <row r="18" ht="15" customHeight="1">
      <c r="A18" s="1"/>
      <c r="B18" s="1" t="s">
        <v>690</v>
      </c>
      <c r="C18" s="87">
        <v>46049</v>
      </c>
      <c r="D18" s="20" t="s">
        <v>691</v>
      </c>
      <c r="E18" s="20" t="s">
        <v>692</v>
      </c>
      <c r="F18" s="20"/>
      <c r="G18" s="20"/>
      <c r="H18" s="20"/>
      <c r="I18" s="20"/>
      <c r="J18" s="95"/>
      <c r="K18" s="1" t="s">
        <v>693</v>
      </c>
    </row>
    <row r="19" ht="15" customHeight="1">
      <c r="A19" s="1"/>
      <c r="B19" s="1" t="s">
        <v>694</v>
      </c>
      <c r="C19" s="87">
        <v>46140</v>
      </c>
      <c r="D19" s="20" t="s">
        <v>687</v>
      </c>
      <c r="E19" s="20" t="s">
        <v>695</v>
      </c>
      <c r="F19" s="20"/>
      <c r="G19" s="20"/>
      <c r="H19" s="20"/>
      <c r="I19" s="20"/>
      <c r="J19" s="95"/>
      <c r="K19" s="1" t="s">
        <v>696</v>
      </c>
    </row>
    <row r="20" ht="15" customHeight="1">
      <c r="A20" s="1"/>
      <c r="B20" s="1" t="s">
        <v>697</v>
      </c>
      <c r="C20" s="87">
        <v>46224</v>
      </c>
      <c r="D20" s="20" t="s">
        <v>687</v>
      </c>
      <c r="E20" s="20" t="s">
        <v>698</v>
      </c>
      <c r="F20" s="20"/>
      <c r="G20" s="20"/>
      <c r="H20" s="20"/>
      <c r="I20" s="20"/>
      <c r="J20" s="95"/>
      <c r="K20" s="1" t="s">
        <v>699</v>
      </c>
    </row>
    <row r="21" ht="15" customHeight="1">
      <c r="A21" s="1"/>
      <c r="B21" s="1" t="s">
        <v>700</v>
      </c>
      <c r="C21" s="87">
        <v>45776</v>
      </c>
      <c r="D21" s="20" t="s">
        <v>701</v>
      </c>
      <c r="E21" s="20" t="s">
        <v>702</v>
      </c>
      <c r="F21" s="20"/>
      <c r="G21" s="20"/>
      <c r="H21" s="20"/>
      <c r="I21" s="20"/>
      <c r="J21" s="95"/>
      <c r="K21" s="1" t="s">
        <v>703</v>
      </c>
    </row>
    <row r="22" ht="15" customHeight="1">
      <c r="A22" s="1"/>
      <c r="B22" s="1" t="s">
        <v>704</v>
      </c>
      <c r="C22" s="87">
        <v>45860</v>
      </c>
      <c r="D22" s="20" t="s">
        <v>701</v>
      </c>
      <c r="E22" s="20" t="s">
        <v>705</v>
      </c>
      <c r="F22" s="20"/>
      <c r="G22" s="20"/>
      <c r="H22" s="20"/>
      <c r="I22" s="20"/>
      <c r="J22" s="95"/>
      <c r="K22" s="1" t="s">
        <v>706</v>
      </c>
    </row>
    <row r="23" ht="15" customHeight="1">
      <c r="A23" s="1"/>
      <c r="B23" s="1" t="s">
        <v>707</v>
      </c>
      <c r="C23" s="87">
        <v>45951</v>
      </c>
      <c r="D23" s="20" t="s">
        <v>708</v>
      </c>
      <c r="E23" s="20" t="s">
        <v>709</v>
      </c>
      <c r="F23" s="20"/>
      <c r="G23" s="20"/>
      <c r="H23" s="20"/>
      <c r="I23" s="20"/>
      <c r="J23" s="95"/>
      <c r="K23" s="1" t="s">
        <v>710</v>
      </c>
    </row>
    <row r="24" ht="15" customHeight="1">
      <c r="A24" s="1"/>
      <c r="B24" s="1" t="s">
        <v>711</v>
      </c>
      <c r="C24" s="87">
        <v>46049</v>
      </c>
      <c r="D24" s="20" t="s">
        <v>708</v>
      </c>
      <c r="E24" s="20" t="s">
        <v>712</v>
      </c>
      <c r="F24" s="20"/>
      <c r="G24" s="20"/>
      <c r="H24" s="20"/>
      <c r="I24" s="20"/>
      <c r="J24" s="95"/>
      <c r="K24" s="1" t="s">
        <v>713</v>
      </c>
    </row>
    <row r="25" ht="15" customHeight="1">
      <c r="A25" s="1"/>
      <c r="B25" s="1" t="s">
        <v>714</v>
      </c>
      <c r="C25" s="87">
        <v>46140</v>
      </c>
      <c r="D25" s="20" t="s">
        <v>708</v>
      </c>
      <c r="E25" s="20" t="s">
        <v>715</v>
      </c>
      <c r="F25" s="20"/>
      <c r="G25" s="20"/>
      <c r="H25" s="20"/>
      <c r="I25" s="20"/>
      <c r="J25" s="95"/>
      <c r="K25" s="1" t="s">
        <v>716</v>
      </c>
    </row>
    <row r="26" ht="15" customHeight="1">
      <c r="A26" s="1"/>
      <c r="B26" s="1" t="s">
        <v>717</v>
      </c>
      <c r="C26" s="87">
        <v>46224</v>
      </c>
      <c r="D26" s="20" t="s">
        <v>708</v>
      </c>
      <c r="E26" s="20" t="s">
        <v>718</v>
      </c>
      <c r="F26" s="20"/>
      <c r="G26" s="20"/>
      <c r="H26" s="20"/>
      <c r="I26" s="20"/>
      <c r="J26" s="95"/>
      <c r="K26" s="1" t="s">
        <v>719</v>
      </c>
    </row>
    <row r="27" ht="15" customHeight="1">
      <c r="A27" s="1"/>
      <c r="B27" s="1" t="s">
        <v>720</v>
      </c>
      <c r="C27" s="87">
        <v>46224</v>
      </c>
      <c r="D27" s="20" t="s">
        <v>721</v>
      </c>
      <c r="E27" s="20" t="s">
        <v>722</v>
      </c>
      <c r="F27" s="20"/>
      <c r="G27" s="20"/>
      <c r="H27" s="20"/>
      <c r="I27" s="20"/>
      <c r="J27" s="95"/>
      <c r="K27" s="1" t="s">
        <v>723</v>
      </c>
    </row>
    <row r="28" ht="15" customHeight="1">
      <c r="A28" s="1"/>
      <c r="B28" s="1" t="s">
        <v>724</v>
      </c>
      <c r="C28" s="87">
        <v>46296</v>
      </c>
      <c r="D28" s="20" t="s">
        <v>674</v>
      </c>
      <c r="E28" s="20" t="s">
        <v>725</v>
      </c>
      <c r="F28" s="20"/>
      <c r="G28" s="20"/>
      <c r="H28" s="20"/>
      <c r="I28" s="20"/>
      <c r="J28" s="95"/>
      <c r="K28" s="1" t="s">
        <v>726</v>
      </c>
    </row>
    <row r="29" ht="15" customHeight="1">
      <c r="A29" s="1"/>
      <c r="B29" s="1" t="s">
        <v>727</v>
      </c>
      <c r="C29" s="87">
        <v>46296</v>
      </c>
      <c r="D29" s="20" t="s">
        <v>674</v>
      </c>
      <c r="E29" s="20" t="s">
        <v>728</v>
      </c>
      <c r="F29" s="20"/>
      <c r="G29" s="20"/>
      <c r="H29" s="20"/>
      <c r="I29" s="20"/>
      <c r="J29" s="95"/>
      <c r="K29" s="1" t="s">
        <v>729</v>
      </c>
    </row>
    <row r="30" ht="15" customHeight="1">
      <c r="A30" s="1"/>
      <c r="B30" s="1" t="s">
        <v>730</v>
      </c>
      <c r="C30" s="87">
        <v>46297</v>
      </c>
      <c r="D30" s="20" t="s">
        <v>731</v>
      </c>
      <c r="E30" s="20" t="s">
        <v>732</v>
      </c>
      <c r="F30" s="20"/>
      <c r="G30" s="20"/>
      <c r="H30" s="20"/>
      <c r="I30" s="20"/>
      <c r="J30" s="95"/>
      <c r="K30" s="1" t="s">
        <v>733</v>
      </c>
    </row>
    <row r="31" ht="15" customHeight="1">
      <c r="A31" s="1"/>
      <c r="B31" s="1" t="s">
        <v>734</v>
      </c>
      <c r="C31" s="87">
        <v>46307</v>
      </c>
      <c r="D31" s="20" t="s">
        <v>674</v>
      </c>
      <c r="E31" s="20" t="s">
        <v>735</v>
      </c>
      <c r="F31" s="20"/>
      <c r="G31" s="20"/>
      <c r="H31" s="20"/>
      <c r="I31" s="20"/>
      <c r="J31" s="95"/>
      <c r="K31" s="1" t="s">
        <v>736</v>
      </c>
    </row>
    <row r="32" ht="15" customHeight="1">
      <c r="A32" s="1"/>
      <c r="B32" s="1" t="s">
        <v>737</v>
      </c>
      <c r="C32" s="87">
        <v>46280</v>
      </c>
      <c r="D32" s="20" t="s">
        <v>674</v>
      </c>
      <c r="E32" s="20" t="s">
        <v>738</v>
      </c>
      <c r="F32" s="20"/>
      <c r="G32" s="20"/>
      <c r="H32" s="20"/>
      <c r="I32" s="20"/>
      <c r="J32" s="95"/>
      <c r="K32" s="1" t="s">
        <v>739</v>
      </c>
    </row>
    <row r="33" ht="15" customHeight="1">
      <c r="A33" s="1"/>
      <c r="B33" s="1" t="s">
        <v>740</v>
      </c>
      <c r="C33" s="87">
        <v>46288</v>
      </c>
      <c r="D33" s="20" t="s">
        <v>741</v>
      </c>
      <c r="E33" s="20" t="s">
        <v>742</v>
      </c>
      <c r="F33" s="20"/>
      <c r="G33" s="20"/>
      <c r="H33" s="20"/>
      <c r="I33" s="20"/>
      <c r="J33" s="95"/>
      <c r="K33" s="1" t="s">
        <v>743</v>
      </c>
    </row>
    <row r="34" ht="15" customHeight="1">
      <c r="A34" s="1"/>
      <c r="B34" s="1" t="s">
        <v>744</v>
      </c>
      <c r="C34" s="87">
        <v>46281</v>
      </c>
      <c r="D34" s="20" t="s">
        <v>745</v>
      </c>
      <c r="E34" s="20" t="s">
        <v>746</v>
      </c>
      <c r="F34" s="20"/>
      <c r="G34" s="20"/>
      <c r="H34" s="20"/>
      <c r="I34" s="20"/>
      <c r="J34" s="95"/>
      <c r="K34" s="1" t="s">
        <v>747</v>
      </c>
    </row>
    <row r="35" ht="15" customHeight="1">
      <c r="A35" s="1"/>
      <c r="B35" s="1" t="s">
        <v>748</v>
      </c>
      <c r="C35" s="87">
        <v>46289</v>
      </c>
      <c r="D35" s="20" t="s">
        <v>749</v>
      </c>
      <c r="E35" s="20" t="s">
        <v>750</v>
      </c>
      <c r="F35" s="20"/>
      <c r="G35" s="20"/>
      <c r="H35" s="20"/>
      <c r="I35" s="20"/>
      <c r="J35" s="95"/>
      <c r="K35" s="1" t="s">
        <v>751</v>
      </c>
    </row>
    <row r="36" ht="15" customHeight="1">
      <c r="A36" s="1"/>
      <c r="B36" s="1" t="s">
        <v>752</v>
      </c>
      <c r="C36" s="87">
        <v>46308</v>
      </c>
      <c r="D36" s="20" t="s">
        <v>753</v>
      </c>
      <c r="E36" s="20" t="s">
        <v>754</v>
      </c>
      <c r="F36" s="20"/>
      <c r="G36" s="20"/>
      <c r="H36" s="20"/>
      <c r="I36" s="20"/>
      <c r="J36" s="95"/>
      <c r="K36" s="1" t="s">
        <v>755</v>
      </c>
    </row>
    <row r="37" ht="15" customHeight="1">
      <c r="A37" s="1"/>
      <c r="B37" s="1" t="s">
        <v>756</v>
      </c>
      <c r="C37" s="87">
        <v>46311</v>
      </c>
      <c r="D37" s="20" t="s">
        <v>721</v>
      </c>
      <c r="E37" s="20" t="s">
        <v>757</v>
      </c>
      <c r="F37" s="20"/>
      <c r="G37" s="20"/>
      <c r="H37" s="20"/>
      <c r="I37" s="20"/>
      <c r="J37" s="95"/>
      <c r="K37" s="1" t="s">
        <v>758</v>
      </c>
    </row>
    <row r="38" ht="15" customHeight="1">
      <c r="A38" s="1"/>
      <c r="B38" s="1" t="s">
        <v>759</v>
      </c>
      <c r="C38" s="87">
        <v>46311</v>
      </c>
      <c r="D38" s="20" t="s">
        <v>760</v>
      </c>
      <c r="E38" s="20" t="s">
        <v>754</v>
      </c>
      <c r="F38" s="20"/>
      <c r="G38" s="20"/>
      <c r="H38" s="20"/>
      <c r="I38" s="20"/>
      <c r="J38" s="95"/>
      <c r="K38" s="1" t="s">
        <v>761</v>
      </c>
    </row>
    <row r="39" ht="15" customHeight="1">
      <c r="A39" s="1"/>
      <c r="B39" s="1" t="s">
        <v>762</v>
      </c>
      <c r="C39" s="87">
        <v>46287</v>
      </c>
      <c r="D39" s="20" t="s">
        <v>763</v>
      </c>
      <c r="E39" s="20" t="s">
        <v>764</v>
      </c>
      <c r="F39" s="20"/>
      <c r="G39" s="20"/>
      <c r="H39" s="20"/>
      <c r="I39" s="20"/>
      <c r="J39" s="95"/>
      <c r="K39" s="1" t="s">
        <v>765</v>
      </c>
    </row>
    <row r="40" ht="15" customHeight="1">
      <c r="A40" s="1"/>
      <c r="B40" s="1" t="s">
        <v>766</v>
      </c>
      <c r="C40" s="87">
        <v>46311</v>
      </c>
      <c r="D40" s="20" t="s">
        <v>767</v>
      </c>
      <c r="E40" s="20" t="s">
        <v>768</v>
      </c>
      <c r="F40" s="20"/>
      <c r="G40" s="20"/>
      <c r="H40" s="20"/>
      <c r="I40" s="20"/>
      <c r="J40" s="95"/>
      <c r="K40" s="1" t="s">
        <v>769</v>
      </c>
    </row>
    <row r="41" ht="15" customHeight="1">
      <c r="A41" s="1"/>
      <c r="B41" s="1" t="s">
        <v>770</v>
      </c>
      <c r="C41" s="87">
        <v>46311</v>
      </c>
      <c r="D41" s="20" t="s">
        <v>771</v>
      </c>
      <c r="E41" s="20" t="s">
        <v>772</v>
      </c>
      <c r="F41" s="20"/>
      <c r="G41" s="20"/>
      <c r="H41" s="20"/>
      <c r="I41" s="20"/>
      <c r="J41" s="95"/>
      <c r="K41" s="1" t="s">
        <v>773</v>
      </c>
    </row>
    <row r="42" ht="15" customHeight="1">
      <c r="A42" s="1"/>
      <c r="B42" s="1" t="s">
        <v>774</v>
      </c>
      <c r="C42" s="87">
        <v>46296</v>
      </c>
      <c r="D42" s="20" t="s">
        <v>775</v>
      </c>
      <c r="E42" s="20" t="s">
        <v>776</v>
      </c>
      <c r="F42" s="20"/>
      <c r="G42" s="20"/>
      <c r="H42" s="20"/>
      <c r="I42" s="20"/>
      <c r="J42" s="95"/>
      <c r="K42" s="1" t="s">
        <v>777</v>
      </c>
    </row>
    <row r="43" ht="15" customHeight="1">
      <c r="A43" s="1"/>
      <c r="B43" s="1" t="s">
        <v>778</v>
      </c>
      <c r="C43" s="87">
        <v>46308</v>
      </c>
      <c r="D43" s="20" t="s">
        <v>779</v>
      </c>
      <c r="E43" s="20" t="s">
        <v>780</v>
      </c>
      <c r="F43" s="20"/>
      <c r="G43" s="20"/>
      <c r="H43" s="20"/>
      <c r="I43" s="20"/>
      <c r="J43" s="95"/>
      <c r="K43" s="1" t="s">
        <v>781</v>
      </c>
    </row>
    <row r="44" ht="15" customHeight="1">
      <c r="A44" s="1"/>
      <c r="B44" s="1" t="s">
        <v>782</v>
      </c>
      <c r="C44" s="87">
        <v>46310</v>
      </c>
      <c r="D44" s="20" t="s">
        <v>783</v>
      </c>
      <c r="E44" s="20" t="s">
        <v>784</v>
      </c>
      <c r="F44" s="20"/>
      <c r="G44" s="20"/>
      <c r="H44" s="20"/>
      <c r="I44" s="20"/>
      <c r="J44" s="95"/>
      <c r="K44" s="1" t="s">
        <v>785</v>
      </c>
    </row>
    <row r="45" ht="15" customHeight="1">
      <c r="A45" s="1"/>
      <c r="B45" s="1" t="s">
        <v>786</v>
      </c>
      <c r="C45" s="87">
        <v>46027</v>
      </c>
      <c r="D45" s="20" t="s">
        <v>674</v>
      </c>
      <c r="E45" s="20" t="s">
        <v>787</v>
      </c>
      <c r="F45" s="20"/>
      <c r="G45" s="20"/>
      <c r="H45" s="20"/>
      <c r="I45" s="20"/>
      <c r="J45" s="95"/>
      <c r="K45" s="1" t="s">
        <v>788</v>
      </c>
    </row>
    <row r="46" ht="15" customHeight="1">
      <c r="A46" s="1"/>
      <c r="B46" s="1" t="s">
        <v>789</v>
      </c>
      <c r="C46" s="87">
        <v>46306</v>
      </c>
      <c r="D46" s="20" t="s">
        <v>32</v>
      </c>
      <c r="E46" s="20" t="s">
        <v>790</v>
      </c>
      <c r="F46" s="20"/>
      <c r="G46" s="20"/>
      <c r="H46" s="20"/>
      <c r="I46" s="20"/>
      <c r="J46" s="95"/>
      <c r="K46" s="1" t="s">
        <v>791</v>
      </c>
    </row>
    <row r="47" ht="15" customHeight="1">
      <c r="A47" s="1"/>
      <c r="B47" s="1"/>
      <c r="C47" s="20"/>
      <c r="D47" s="20"/>
      <c r="E47" s="20"/>
      <c r="F47" s="20"/>
      <c r="G47" s="20"/>
      <c r="H47" s="20"/>
      <c r="I47" s="20"/>
      <c r="J47" s="95"/>
      <c r="K47" s="1"/>
    </row>
    <row r="48" ht="15" customHeight="1">
      <c r="A48" s="1"/>
      <c r="B48" s="16" t="s">
        <v>792</v>
      </c>
      <c r="C48" s="20"/>
      <c r="D48" s="20"/>
      <c r="E48" s="20"/>
      <c r="F48" s="20"/>
      <c r="G48" s="20"/>
      <c r="H48" s="20"/>
      <c r="I48" s="20"/>
      <c r="J48" s="95"/>
      <c r="K48" s="1"/>
    </row>
    <row r="49" ht="15" customHeight="1">
      <c r="A49" s="1"/>
      <c r="B49" s="5" t="s">
        <v>793</v>
      </c>
      <c r="C49" s="20"/>
      <c r="D49" s="20"/>
      <c r="E49" s="20"/>
      <c r="F49" s="20"/>
      <c r="G49" s="20"/>
      <c r="H49" s="20"/>
      <c r="I49" s="20"/>
      <c r="J49" s="95"/>
      <c r="K49" s="1"/>
    </row>
    <row r="50" ht="15" customHeight="1">
      <c r="A50" s="1"/>
      <c r="B50" s="5" t="s">
        <v>794</v>
      </c>
      <c r="C50" s="20"/>
      <c r="D50" s="20"/>
      <c r="E50" s="20"/>
      <c r="F50" s="20"/>
      <c r="G50" s="20"/>
      <c r="H50" s="20"/>
      <c r="I50" s="20"/>
      <c r="J50" s="95"/>
      <c r="K50" s="1"/>
    </row>
    <row r="51" ht="15" customHeight="1">
      <c r="A51" s="1"/>
      <c r="B51" s="5" t="s">
        <v>795</v>
      </c>
      <c r="C51" s="20"/>
      <c r="D51" s="20"/>
      <c r="E51" s="20"/>
      <c r="F51" s="20"/>
      <c r="G51" s="20"/>
      <c r="H51" s="20"/>
      <c r="I51" s="20"/>
      <c r="J51" s="95"/>
      <c r="K51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12B67F8-4848-C558-DDD8-1275A2F37A9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</row>
    <row r="3" ht="15" customHeight="1">
      <c r="A3" s="1"/>
      <c r="B3" s="4" t="s">
        <v>796</v>
      </c>
      <c r="C3" s="1"/>
      <c r="D3" s="1"/>
      <c r="E3" s="1"/>
      <c r="F3" s="1"/>
      <c r="G3" s="1"/>
      <c r="H3" s="1"/>
      <c r="I3" s="1"/>
      <c r="J3" s="1"/>
      <c r="K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</row>
    <row r="5" ht="15" customHeight="1">
      <c r="A5" s="1"/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8" t="s">
        <v>12</v>
      </c>
      <c r="K5" s="6" t="s">
        <v>13</v>
      </c>
    </row>
    <row r="6" ht="15" customHeight="1">
      <c r="A6" s="1"/>
      <c r="B6" s="9" t="s">
        <v>14</v>
      </c>
      <c r="C6" s="10">
        <f>DATE(2025,3,31)</f>
        <v>45747</v>
      </c>
      <c r="D6" s="10">
        <f>DATE(2025,6,30)</f>
        <v>45838</v>
      </c>
      <c r="E6" s="10">
        <f>DATE(2025,9,30)</f>
        <v>45930</v>
      </c>
      <c r="F6" s="10">
        <f t="shared" si="0" ref="F6:I6">DATE(2025,12,31)</f>
        <v>46022</v>
      </c>
      <c r="G6" s="10">
        <f>DATE(2026,3,31)</f>
        <v>46112</v>
      </c>
      <c r="H6" s="10">
        <f>DATE(2026,6,30)</f>
        <v>46203</v>
      </c>
      <c r="I6" s="10">
        <f t="shared" si="0"/>
        <v>46022</v>
      </c>
      <c r="J6" s="11">
        <f>DATE(2026,9,30)</f>
        <v>46295</v>
      </c>
      <c r="K6" s="9"/>
    </row>
    <row r="7" ht="15" customHeight="1">
      <c r="A7" s="1"/>
      <c r="B7" s="12" t="s">
        <v>15</v>
      </c>
      <c r="C7" s="13">
        <f t="shared" si="1" ref="C7:J7">C6-EOMONTH(C6,-3)</f>
        <v>90</v>
      </c>
      <c r="D7" s="13">
        <f t="shared" si="1"/>
        <v>91</v>
      </c>
      <c r="E7" s="13">
        <f t="shared" si="1"/>
        <v>92</v>
      </c>
      <c r="F7" s="13">
        <f t="shared" si="1"/>
        <v>92</v>
      </c>
      <c r="G7" s="13">
        <f t="shared" si="1"/>
        <v>90</v>
      </c>
      <c r="H7" s="13">
        <f t="shared" si="1"/>
        <v>91</v>
      </c>
      <c r="I7" s="13">
        <f>I6-EOMONTH(I6,-12)</f>
        <v>365</v>
      </c>
      <c r="J7" s="14">
        <f t="shared" si="1"/>
        <v>92</v>
      </c>
      <c r="K7" s="12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5"/>
      <c r="K8" s="1"/>
    </row>
    <row r="9" ht="15" customHeight="1">
      <c r="A9" s="1"/>
      <c r="B9" s="16" t="s">
        <v>797</v>
      </c>
      <c r="C9" s="20"/>
      <c r="D9" s="20"/>
      <c r="E9" s="20"/>
      <c r="F9" s="20"/>
      <c r="G9" s="20"/>
      <c r="H9" s="20"/>
      <c r="I9" s="20"/>
      <c r="J9" s="95"/>
      <c r="K9" s="1"/>
    </row>
    <row r="10" ht="15" customHeight="1">
      <c r="A10" s="1"/>
      <c r="B10" s="19" t="s">
        <v>798</v>
      </c>
      <c r="C10" s="20" t="s">
        <v>799</v>
      </c>
      <c r="D10" s="20"/>
      <c r="E10" s="20"/>
      <c r="F10" s="20"/>
      <c r="G10" s="20"/>
      <c r="H10" s="20"/>
      <c r="I10" s="20"/>
      <c r="J10" s="95"/>
      <c r="K10" s="1"/>
    </row>
    <row r="11" ht="15" customHeight="1">
      <c r="A11" s="1"/>
      <c r="B11" s="19" t="s">
        <v>800</v>
      </c>
      <c r="C11" s="20" t="s">
        <v>18</v>
      </c>
      <c r="D11" s="20"/>
      <c r="E11" s="20"/>
      <c r="F11" s="20"/>
      <c r="G11" s="20"/>
      <c r="H11" s="20"/>
      <c r="I11" s="20"/>
      <c r="J11" s="95"/>
      <c r="K11" s="1"/>
    </row>
    <row r="12" ht="15" customHeight="1">
      <c r="A12" s="1"/>
      <c r="B12" s="19" t="s">
        <v>801</v>
      </c>
      <c r="C12" s="20" t="s">
        <v>802</v>
      </c>
      <c r="D12" s="20"/>
      <c r="E12" s="20"/>
      <c r="F12" s="20"/>
      <c r="G12" s="20"/>
      <c r="H12" s="20"/>
      <c r="I12" s="20"/>
      <c r="J12" s="95"/>
      <c r="K12" s="1"/>
    </row>
    <row r="13" ht="15" customHeight="1">
      <c r="A13" s="1"/>
      <c r="B13" s="19" t="s">
        <v>803</v>
      </c>
      <c r="C13" s="97">
        <v>61206100</v>
      </c>
      <c r="D13" s="20"/>
      <c r="E13" s="20"/>
      <c r="F13" s="20"/>
      <c r="G13" s="20"/>
      <c r="H13" s="20"/>
      <c r="I13" s="20"/>
      <c r="J13" s="95"/>
      <c r="K13" s="1"/>
    </row>
    <row r="14" ht="15" customHeight="1">
      <c r="A14" s="1"/>
      <c r="B14" s="19" t="s">
        <v>804</v>
      </c>
      <c r="C14" s="20" t="s">
        <v>805</v>
      </c>
      <c r="D14" s="20"/>
      <c r="E14" s="20"/>
      <c r="F14" s="20"/>
      <c r="G14" s="20"/>
      <c r="H14" s="20"/>
      <c r="I14" s="20"/>
      <c r="J14" s="95"/>
      <c r="K14" s="1"/>
    </row>
    <row r="15" ht="15" customHeight="1">
      <c r="A15" s="1"/>
      <c r="B15" s="19" t="s">
        <v>806</v>
      </c>
      <c r="C15" s="20" t="s">
        <v>807</v>
      </c>
      <c r="D15" s="20"/>
      <c r="E15" s="20"/>
      <c r="F15" s="20"/>
      <c r="G15" s="20"/>
      <c r="H15" s="20"/>
      <c r="I15" s="20"/>
      <c r="J15" s="95"/>
      <c r="K15" s="1"/>
    </row>
    <row r="16" ht="15" customHeight="1">
      <c r="A16" s="1"/>
      <c r="B16" s="19" t="s">
        <v>808</v>
      </c>
      <c r="C16" s="20" t="s">
        <v>809</v>
      </c>
      <c r="D16" s="20"/>
      <c r="E16" s="20"/>
      <c r="F16" s="20"/>
      <c r="G16" s="20"/>
      <c r="H16" s="20"/>
      <c r="I16" s="20"/>
      <c r="J16" s="95"/>
      <c r="K16" s="1"/>
    </row>
    <row r="17" ht="15" customHeight="1">
      <c r="A17" s="1"/>
      <c r="B17" s="19" t="s">
        <v>810</v>
      </c>
      <c r="C17" s="98">
        <v>46295</v>
      </c>
      <c r="D17" s="20"/>
      <c r="E17" s="20"/>
      <c r="F17" s="20"/>
      <c r="G17" s="20"/>
      <c r="H17" s="20"/>
      <c r="I17" s="20"/>
      <c r="J17" s="95"/>
      <c r="K17" s="1"/>
    </row>
    <row r="18" ht="15" customHeight="1">
      <c r="A18" s="1"/>
      <c r="B18" s="19" t="s">
        <v>811</v>
      </c>
      <c r="C18" s="98">
        <v>46315</v>
      </c>
      <c r="D18" s="20"/>
      <c r="E18" s="20"/>
      <c r="F18" s="20"/>
      <c r="G18" s="20"/>
      <c r="H18" s="20"/>
      <c r="I18" s="20"/>
      <c r="J18" s="95"/>
      <c r="K18" s="1"/>
    </row>
    <row r="19" ht="15" customHeight="1">
      <c r="A19" s="1"/>
      <c r="B19" s="19" t="s">
        <v>812</v>
      </c>
      <c r="C19" s="20" t="s">
        <v>813</v>
      </c>
      <c r="D19" s="20"/>
      <c r="E19" s="20"/>
      <c r="F19" s="20"/>
      <c r="G19" s="20"/>
      <c r="H19" s="20"/>
      <c r="I19" s="20"/>
      <c r="J19" s="95"/>
      <c r="K19" s="1"/>
    </row>
    <row r="20" ht="15" customHeight="1">
      <c r="A20" s="1"/>
      <c r="B20" s="19" t="s">
        <v>814</v>
      </c>
      <c r="C20" s="47">
        <v>15</v>
      </c>
      <c r="D20" s="26"/>
      <c r="E20" s="26"/>
      <c r="F20" s="26"/>
      <c r="G20" s="26"/>
      <c r="H20" s="26"/>
      <c r="I20" s="26"/>
      <c r="J20" s="27"/>
      <c r="K20" s="1"/>
    </row>
    <row r="21" ht="15" customHeight="1">
      <c r="A21" s="1"/>
      <c r="B21" s="19" t="s">
        <v>815</v>
      </c>
      <c r="C21" s="47">
        <v>16</v>
      </c>
      <c r="D21" s="26"/>
      <c r="E21" s="26"/>
      <c r="F21" s="26"/>
      <c r="G21" s="26"/>
      <c r="H21" s="26"/>
      <c r="I21" s="26"/>
      <c r="J21" s="27"/>
      <c r="K21" s="1"/>
    </row>
    <row r="22" ht="15" customHeight="1">
      <c r="A22" s="1"/>
      <c r="B22" s="19" t="s">
        <v>816</v>
      </c>
      <c r="C22" s="20"/>
      <c r="D22" s="20"/>
      <c r="E22" s="20"/>
      <c r="F22" s="20"/>
      <c r="G22" s="20"/>
      <c r="H22" s="20"/>
      <c r="I22" s="20"/>
      <c r="J22" s="95"/>
      <c r="K22" s="1"/>
    </row>
    <row r="23" ht="15" customHeight="1">
      <c r="A23" s="1"/>
      <c r="B23" s="19" t="s">
        <v>817</v>
      </c>
      <c r="C23" s="45">
        <v>3.63</v>
      </c>
      <c r="D23" s="32"/>
      <c r="E23" s="32"/>
      <c r="F23" s="32"/>
      <c r="G23" s="32"/>
      <c r="H23" s="32"/>
      <c r="I23" s="32"/>
      <c r="J23" s="33"/>
      <c r="K23" s="1"/>
    </row>
    <row r="24" ht="15" customHeight="1">
      <c r="A24" s="1"/>
      <c r="B24" s="19" t="s">
        <v>818</v>
      </c>
      <c r="C24" s="45">
        <v>3.62</v>
      </c>
      <c r="D24" s="32"/>
      <c r="E24" s="32"/>
      <c r="F24" s="32"/>
      <c r="G24" s="32"/>
      <c r="H24" s="32"/>
      <c r="I24" s="32"/>
      <c r="J24" s="33"/>
      <c r="K24" s="1"/>
    </row>
    <row r="25" ht="15" customHeight="1">
      <c r="A25" s="1"/>
      <c r="B25" s="19" t="s">
        <v>819</v>
      </c>
      <c r="C25" s="45">
        <v>3.85</v>
      </c>
      <c r="D25" s="32"/>
      <c r="E25" s="32"/>
      <c r="F25" s="32"/>
      <c r="G25" s="32"/>
      <c r="H25" s="32"/>
      <c r="I25" s="32"/>
      <c r="J25" s="33"/>
      <c r="K25" s="1"/>
    </row>
    <row r="26" ht="15" customHeight="1">
      <c r="A26" s="1"/>
      <c r="B26" s="19" t="s">
        <v>820</v>
      </c>
      <c r="C26" s="45">
        <v>3.44</v>
      </c>
      <c r="D26" s="32"/>
      <c r="E26" s="32"/>
      <c r="F26" s="32"/>
      <c r="G26" s="32"/>
      <c r="H26" s="32"/>
      <c r="I26" s="32"/>
      <c r="J26" s="33"/>
      <c r="K26" s="1"/>
    </row>
    <row r="27" ht="15" customHeight="1">
      <c r="A27" s="1"/>
      <c r="B27" s="19" t="s">
        <v>821</v>
      </c>
      <c r="C27" s="45">
        <v>0.14</v>
      </c>
      <c r="D27" s="32"/>
      <c r="E27" s="32"/>
      <c r="F27" s="32"/>
      <c r="G27" s="32"/>
      <c r="H27" s="32"/>
      <c r="I27" s="32"/>
      <c r="J27" s="33"/>
      <c r="K27" s="1"/>
    </row>
    <row r="28" ht="15" customHeight="1">
      <c r="A28" s="1"/>
      <c r="B28" s="19" t="s">
        <v>822</v>
      </c>
      <c r="C28" s="47">
        <v>15</v>
      </c>
      <c r="D28" s="26"/>
      <c r="E28" s="26"/>
      <c r="F28" s="26"/>
      <c r="G28" s="26"/>
      <c r="H28" s="26"/>
      <c r="I28" s="26"/>
      <c r="J28" s="27"/>
      <c r="K28" s="1"/>
    </row>
    <row r="29" ht="15" customHeight="1">
      <c r="A29" s="1"/>
      <c r="B29" s="19" t="s">
        <v>823</v>
      </c>
      <c r="C29" s="20"/>
      <c r="D29" s="20"/>
      <c r="E29" s="20"/>
      <c r="F29" s="20"/>
      <c r="G29" s="20"/>
      <c r="H29" s="20"/>
      <c r="I29" s="20"/>
      <c r="J29" s="95"/>
      <c r="K29" s="1"/>
    </row>
    <row r="30" ht="15" customHeight="1">
      <c r="A30" s="1"/>
      <c r="B30" s="19" t="s">
        <v>824</v>
      </c>
      <c r="C30" s="20"/>
      <c r="D30" s="20"/>
      <c r="E30" s="20"/>
      <c r="F30" s="20"/>
      <c r="G30" s="20"/>
      <c r="H30" s="20"/>
      <c r="I30" s="20"/>
      <c r="J30" s="95"/>
      <c r="K30" s="1"/>
    </row>
    <row r="31" ht="15" customHeight="1">
      <c r="A31" s="1"/>
      <c r="B31" s="19" t="s">
        <v>825</v>
      </c>
      <c r="C31" s="20"/>
      <c r="D31" s="20"/>
      <c r="E31" s="20"/>
      <c r="F31" s="20"/>
      <c r="G31" s="20"/>
      <c r="H31" s="20"/>
      <c r="I31" s="20"/>
      <c r="J31" s="95"/>
      <c r="K31" s="1"/>
    </row>
    <row r="32" ht="15" customHeight="1">
      <c r="A32" s="1"/>
      <c r="B32" s="19" t="s">
        <v>826</v>
      </c>
      <c r="C32" s="45">
        <v>3.68</v>
      </c>
      <c r="D32" s="32"/>
      <c r="E32" s="32"/>
      <c r="F32" s="32"/>
      <c r="G32" s="32"/>
      <c r="H32" s="32"/>
      <c r="I32" s="32"/>
      <c r="J32" s="33"/>
      <c r="K32" s="1"/>
    </row>
    <row r="33" ht="15" customHeight="1">
      <c r="A33" s="1"/>
      <c r="B33" s="19" t="s">
        <v>827</v>
      </c>
      <c r="C33" s="45">
        <v>3.54</v>
      </c>
      <c r="D33" s="32"/>
      <c r="E33" s="32"/>
      <c r="F33" s="32"/>
      <c r="G33" s="32"/>
      <c r="H33" s="32"/>
      <c r="I33" s="32"/>
      <c r="J33" s="33"/>
      <c r="K33" s="1"/>
    </row>
    <row r="34" ht="15" customHeight="1">
      <c r="A34" s="1"/>
      <c r="B34" s="19" t="s">
        <v>828</v>
      </c>
      <c r="C34" s="45">
        <v>4.27</v>
      </c>
      <c r="D34" s="32"/>
      <c r="E34" s="32"/>
      <c r="F34" s="32"/>
      <c r="G34" s="32"/>
      <c r="H34" s="32"/>
      <c r="I34" s="32"/>
      <c r="J34" s="33"/>
      <c r="K34" s="1"/>
    </row>
    <row r="35" ht="15" customHeight="1">
      <c r="A35" s="1"/>
      <c r="B35" s="19" t="s">
        <v>829</v>
      </c>
      <c r="C35" s="45">
        <v>3.29</v>
      </c>
      <c r="D35" s="32"/>
      <c r="E35" s="32"/>
      <c r="F35" s="32"/>
      <c r="G35" s="32"/>
      <c r="H35" s="32"/>
      <c r="I35" s="32"/>
      <c r="J35" s="33"/>
      <c r="K35" s="1"/>
    </row>
    <row r="36" ht="15" customHeight="1">
      <c r="A36" s="1"/>
      <c r="B36" s="19" t="s">
        <v>830</v>
      </c>
      <c r="C36" s="45">
        <v>0.35</v>
      </c>
      <c r="D36" s="32"/>
      <c r="E36" s="32"/>
      <c r="F36" s="32"/>
      <c r="G36" s="32"/>
      <c r="H36" s="32"/>
      <c r="I36" s="32"/>
      <c r="J36" s="33"/>
      <c r="K36" s="1"/>
    </row>
    <row r="37" ht="15" customHeight="1">
      <c r="A37" s="1"/>
      <c r="B37" s="19" t="s">
        <v>831</v>
      </c>
      <c r="C37" s="47">
        <v>6</v>
      </c>
      <c r="D37" s="26"/>
      <c r="E37" s="26"/>
      <c r="F37" s="26"/>
      <c r="G37" s="26"/>
      <c r="H37" s="26"/>
      <c r="I37" s="26"/>
      <c r="J37" s="27"/>
      <c r="K37" s="1"/>
    </row>
    <row r="38" ht="15" customHeight="1">
      <c r="A38" s="1"/>
      <c r="B38" s="19" t="s">
        <v>832</v>
      </c>
      <c r="C38" s="20"/>
      <c r="D38" s="20"/>
      <c r="E38" s="20"/>
      <c r="F38" s="20"/>
      <c r="G38" s="20"/>
      <c r="H38" s="20"/>
      <c r="I38" s="20"/>
      <c r="J38" s="95"/>
      <c r="K38" s="1"/>
    </row>
    <row r="39" ht="15" customHeight="1">
      <c r="A39" s="1"/>
      <c r="B39" s="19" t="s">
        <v>833</v>
      </c>
      <c r="C39" s="20"/>
      <c r="D39" s="20"/>
      <c r="E39" s="20"/>
      <c r="F39" s="20"/>
      <c r="G39" s="20"/>
      <c r="H39" s="20"/>
      <c r="I39" s="20"/>
      <c r="J39" s="95"/>
      <c r="K39" s="1"/>
    </row>
    <row r="40" ht="15" customHeight="1">
      <c r="A40" s="1"/>
      <c r="B40" s="19" t="s">
        <v>834</v>
      </c>
      <c r="C40" s="20"/>
      <c r="D40" s="20"/>
      <c r="E40" s="20"/>
      <c r="F40" s="20"/>
      <c r="G40" s="20"/>
      <c r="H40" s="20"/>
      <c r="I40" s="20"/>
      <c r="J40" s="95"/>
      <c r="K40" s="1"/>
    </row>
    <row r="41" ht="15" customHeight="1">
      <c r="A41" s="1"/>
      <c r="B41" s="19" t="s">
        <v>835</v>
      </c>
      <c r="C41" s="47">
        <v>48762.9</v>
      </c>
      <c r="D41" s="26"/>
      <c r="E41" s="26"/>
      <c r="F41" s="26"/>
      <c r="G41" s="26"/>
      <c r="H41" s="26"/>
      <c r="I41" s="26"/>
      <c r="J41" s="27"/>
      <c r="K41" s="1"/>
    </row>
    <row r="42" ht="15" customHeight="1">
      <c r="A42" s="1"/>
      <c r="B42" s="19" t="s">
        <v>836</v>
      </c>
      <c r="C42" s="47">
        <v>49050.49</v>
      </c>
      <c r="D42" s="26"/>
      <c r="E42" s="26"/>
      <c r="F42" s="26"/>
      <c r="G42" s="26"/>
      <c r="H42" s="26"/>
      <c r="I42" s="26"/>
      <c r="J42" s="27"/>
      <c r="K42" s="1"/>
    </row>
    <row r="43" ht="15" customHeight="1">
      <c r="A43" s="1"/>
      <c r="B43" s="19" t="s">
        <v>837</v>
      </c>
      <c r="C43" s="47">
        <v>51110</v>
      </c>
      <c r="D43" s="26"/>
      <c r="E43" s="26"/>
      <c r="F43" s="26"/>
      <c r="G43" s="26"/>
      <c r="H43" s="26"/>
      <c r="I43" s="26"/>
      <c r="J43" s="27"/>
      <c r="K43" s="1"/>
    </row>
    <row r="44" ht="15" customHeight="1">
      <c r="A44" s="1"/>
      <c r="B44" s="19" t="s">
        <v>838</v>
      </c>
      <c r="C44" s="47">
        <v>46000</v>
      </c>
      <c r="D44" s="26"/>
      <c r="E44" s="26"/>
      <c r="F44" s="26"/>
      <c r="G44" s="26"/>
      <c r="H44" s="26"/>
      <c r="I44" s="26"/>
      <c r="J44" s="27"/>
      <c r="K44" s="1"/>
    </row>
    <row r="45" ht="15" customHeight="1">
      <c r="A45" s="1"/>
      <c r="B45" s="19" t="s">
        <v>839</v>
      </c>
      <c r="C45" s="47">
        <v>1303.19</v>
      </c>
      <c r="D45" s="26"/>
      <c r="E45" s="26"/>
      <c r="F45" s="26"/>
      <c r="G45" s="26"/>
      <c r="H45" s="26"/>
      <c r="I45" s="26"/>
      <c r="J45" s="27"/>
      <c r="K45" s="1"/>
    </row>
    <row r="46" ht="15" customHeight="1">
      <c r="A46" s="1"/>
      <c r="B46" s="19" t="s">
        <v>840</v>
      </c>
      <c r="C46" s="47">
        <v>13</v>
      </c>
      <c r="D46" s="26"/>
      <c r="E46" s="26"/>
      <c r="F46" s="26"/>
      <c r="G46" s="26"/>
      <c r="H46" s="26"/>
      <c r="I46" s="26"/>
      <c r="J46" s="27"/>
      <c r="K46" s="1"/>
    </row>
    <row r="47" ht="15" customHeight="1">
      <c r="A47" s="1"/>
      <c r="B47" s="19" t="s">
        <v>841</v>
      </c>
      <c r="C47" s="20"/>
      <c r="D47" s="20"/>
      <c r="E47" s="20"/>
      <c r="F47" s="20"/>
      <c r="G47" s="20"/>
      <c r="H47" s="20"/>
      <c r="I47" s="20"/>
      <c r="J47" s="95"/>
      <c r="K47" s="1"/>
    </row>
    <row r="48" ht="15" customHeight="1">
      <c r="A48" s="1"/>
      <c r="B48" s="19" t="s">
        <v>842</v>
      </c>
      <c r="C48" s="20"/>
      <c r="D48" s="20"/>
      <c r="E48" s="20"/>
      <c r="F48" s="20"/>
      <c r="G48" s="20"/>
      <c r="H48" s="20"/>
      <c r="I48" s="20"/>
      <c r="J48" s="95"/>
      <c r="K48" s="1"/>
    </row>
    <row r="49" ht="15" customHeight="1">
      <c r="A49" s="1"/>
      <c r="B49" s="19" t="s">
        <v>843</v>
      </c>
      <c r="C49" s="20"/>
      <c r="D49" s="20"/>
      <c r="E49" s="20"/>
      <c r="F49" s="20"/>
      <c r="G49" s="20"/>
      <c r="H49" s="20"/>
      <c r="I49" s="20"/>
      <c r="J49" s="95"/>
      <c r="K49" s="1"/>
    </row>
    <row r="50" ht="15" customHeight="1">
      <c r="A50" s="1"/>
      <c r="B50" s="19" t="s">
        <v>844</v>
      </c>
      <c r="C50" s="47">
        <v>6419.98</v>
      </c>
      <c r="D50" s="26"/>
      <c r="E50" s="26"/>
      <c r="F50" s="26"/>
      <c r="G50" s="26"/>
      <c r="H50" s="26"/>
      <c r="I50" s="26"/>
      <c r="J50" s="27"/>
      <c r="K50" s="1" t="s">
        <v>845</v>
      </c>
    </row>
    <row r="51" ht="15" customHeight="1">
      <c r="A51" s="1"/>
      <c r="B51" s="19" t="s">
        <v>846</v>
      </c>
      <c r="C51" s="47">
        <v>4098.44</v>
      </c>
      <c r="D51" s="26"/>
      <c r="E51" s="26"/>
      <c r="F51" s="26"/>
      <c r="G51" s="26"/>
      <c r="H51" s="26"/>
      <c r="I51" s="26"/>
      <c r="J51" s="27"/>
      <c r="K51" s="1"/>
    </row>
    <row r="52" ht="15" customHeight="1">
      <c r="A52" s="1"/>
      <c r="B52" s="19" t="s">
        <v>847</v>
      </c>
      <c r="C52" s="47">
        <v>4066.81</v>
      </c>
      <c r="D52" s="26"/>
      <c r="E52" s="26"/>
      <c r="F52" s="26"/>
      <c r="G52" s="26"/>
      <c r="H52" s="26"/>
      <c r="I52" s="26"/>
      <c r="J52" s="27"/>
      <c r="K52" s="1"/>
    </row>
    <row r="53" ht="15" customHeight="1">
      <c r="A53" s="1"/>
      <c r="B53" s="19" t="s">
        <v>848</v>
      </c>
      <c r="C53" s="47">
        <v>4242.51</v>
      </c>
      <c r="D53" s="26"/>
      <c r="E53" s="26"/>
      <c r="F53" s="26"/>
      <c r="G53" s="26"/>
      <c r="H53" s="26"/>
      <c r="I53" s="26"/>
      <c r="J53" s="27"/>
      <c r="K53" s="1"/>
    </row>
    <row r="54" ht="15" customHeight="1">
      <c r="A54" s="1"/>
      <c r="B54" s="19" t="s">
        <v>849</v>
      </c>
      <c r="C54" s="47">
        <v>3246.71</v>
      </c>
      <c r="D54" s="26"/>
      <c r="E54" s="26"/>
      <c r="F54" s="26"/>
      <c r="G54" s="26"/>
      <c r="H54" s="26"/>
      <c r="I54" s="26"/>
      <c r="J54" s="27"/>
      <c r="K54" s="1"/>
    </row>
    <row r="55" ht="15" customHeight="1">
      <c r="A55" s="1"/>
      <c r="B55" s="19" t="s">
        <v>850</v>
      </c>
      <c r="C55" s="47">
        <v>2775.25</v>
      </c>
      <c r="D55" s="26"/>
      <c r="E55" s="26"/>
      <c r="F55" s="26"/>
      <c r="G55" s="26"/>
      <c r="H55" s="26"/>
      <c r="I55" s="26"/>
      <c r="J55" s="27"/>
      <c r="K55" s="1"/>
    </row>
    <row r="56" ht="15" customHeight="1">
      <c r="A56" s="1"/>
      <c r="B56" s="19" t="s">
        <v>851</v>
      </c>
      <c r="C56" s="20"/>
      <c r="D56" s="20"/>
      <c r="E56" s="20"/>
      <c r="F56" s="20"/>
      <c r="G56" s="20"/>
      <c r="H56" s="20"/>
      <c r="I56" s="20"/>
      <c r="J56" s="95"/>
      <c r="K56" s="1"/>
    </row>
    <row r="57" ht="15" customHeight="1">
      <c r="A57" s="1"/>
      <c r="B57" s="19" t="s">
        <v>852</v>
      </c>
      <c r="C57" s="20"/>
      <c r="D57" s="20"/>
      <c r="E57" s="20"/>
      <c r="F57" s="20"/>
      <c r="G57" s="20"/>
      <c r="H57" s="20"/>
      <c r="I57" s="20"/>
      <c r="J57" s="95"/>
      <c r="K57" s="1"/>
    </row>
    <row r="58" ht="15" customHeight="1">
      <c r="A58" s="1"/>
      <c r="B58" s="19" t="s">
        <v>853</v>
      </c>
      <c r="C58" s="47">
        <v>1799</v>
      </c>
      <c r="D58" s="26"/>
      <c r="E58" s="26"/>
      <c r="F58" s="26"/>
      <c r="G58" s="26"/>
      <c r="H58" s="26"/>
      <c r="I58" s="26"/>
      <c r="J58" s="27"/>
      <c r="K58" s="1"/>
    </row>
    <row r="59" ht="15" customHeight="1">
      <c r="A59" s="1"/>
      <c r="B59" s="19" t="s">
        <v>854</v>
      </c>
      <c r="C59" s="20"/>
      <c r="D59" s="20"/>
      <c r="E59" s="20"/>
      <c r="F59" s="20"/>
      <c r="G59" s="20"/>
      <c r="H59" s="20"/>
      <c r="I59" s="20"/>
      <c r="J59" s="95"/>
      <c r="K59" s="1"/>
    </row>
    <row r="60" ht="15" customHeight="1">
      <c r="A60" s="1"/>
      <c r="B60" s="19" t="s">
        <v>855</v>
      </c>
      <c r="C60" s="47">
        <v>6200</v>
      </c>
      <c r="D60" s="26"/>
      <c r="E60" s="26"/>
      <c r="F60" s="26"/>
      <c r="G60" s="26"/>
      <c r="H60" s="26"/>
      <c r="I60" s="26"/>
      <c r="J60" s="27"/>
      <c r="K60" s="1"/>
    </row>
    <row r="61" ht="15" customHeight="1">
      <c r="A61" s="1"/>
      <c r="B61" s="19" t="s">
        <v>856</v>
      </c>
      <c r="C61" s="20"/>
      <c r="D61" s="20"/>
      <c r="E61" s="20"/>
      <c r="F61" s="20"/>
      <c r="G61" s="20"/>
      <c r="H61" s="20"/>
      <c r="I61" s="20"/>
      <c r="J61" s="95"/>
      <c r="K61" s="1"/>
    </row>
    <row r="62" ht="15" customHeight="1">
      <c r="A62" s="1"/>
      <c r="B62" s="19" t="s">
        <v>857</v>
      </c>
      <c r="C62" s="47">
        <v>-202.67</v>
      </c>
      <c r="D62" s="26"/>
      <c r="E62" s="26"/>
      <c r="F62" s="26"/>
      <c r="G62" s="26"/>
      <c r="H62" s="26"/>
      <c r="I62" s="26"/>
      <c r="J62" s="27"/>
      <c r="K62" s="1"/>
    </row>
    <row r="63" ht="15" customHeight="1">
      <c r="A63" s="1"/>
      <c r="B63" s="19" t="s">
        <v>858</v>
      </c>
      <c r="C63" s="20"/>
      <c r="D63" s="20"/>
      <c r="E63" s="20"/>
      <c r="F63" s="20"/>
      <c r="G63" s="20"/>
      <c r="H63" s="20"/>
      <c r="I63" s="20"/>
      <c r="J63" s="95"/>
      <c r="K63" s="1"/>
    </row>
    <row r="64" ht="15" customHeight="1">
      <c r="A64" s="1"/>
      <c r="B64" s="19" t="s">
        <v>859</v>
      </c>
      <c r="C64" s="20"/>
      <c r="D64" s="20"/>
      <c r="E64" s="20"/>
      <c r="F64" s="20"/>
      <c r="G64" s="20"/>
      <c r="H64" s="20"/>
      <c r="I64" s="20"/>
      <c r="J64" s="95"/>
      <c r="K64" s="1"/>
    </row>
    <row r="65" ht="15" customHeight="1">
      <c r="A65" s="1"/>
      <c r="B65" s="19" t="s">
        <v>860</v>
      </c>
      <c r="C65" s="20"/>
      <c r="D65" s="20"/>
      <c r="E65" s="20"/>
      <c r="F65" s="20"/>
      <c r="G65" s="20"/>
      <c r="H65" s="20"/>
      <c r="I65" s="20"/>
      <c r="J65" s="95"/>
      <c r="K65" s="1"/>
    </row>
    <row r="66" ht="15" customHeight="1">
      <c r="A66" s="1"/>
      <c r="B66" s="19" t="s">
        <v>861</v>
      </c>
      <c r="C66" s="47">
        <v>104.17</v>
      </c>
      <c r="D66" s="26"/>
      <c r="E66" s="26"/>
      <c r="F66" s="26"/>
      <c r="G66" s="26"/>
      <c r="H66" s="26"/>
      <c r="I66" s="26"/>
      <c r="J66" s="27"/>
      <c r="K66" s="1"/>
    </row>
    <row r="67" ht="15" customHeight="1">
      <c r="A67" s="1"/>
      <c r="B67" s="19" t="s">
        <v>862</v>
      </c>
      <c r="C67" s="47">
        <v>105</v>
      </c>
      <c r="D67" s="26"/>
      <c r="E67" s="26"/>
      <c r="F67" s="26"/>
      <c r="G67" s="26"/>
      <c r="H67" s="26"/>
      <c r="I67" s="26"/>
      <c r="J67" s="27"/>
      <c r="K67" s="1"/>
    </row>
    <row r="68" ht="15" customHeight="1">
      <c r="A68" s="1"/>
      <c r="B68" s="19" t="s">
        <v>863</v>
      </c>
      <c r="C68" s="47">
        <v>132</v>
      </c>
      <c r="D68" s="26"/>
      <c r="E68" s="26"/>
      <c r="F68" s="26"/>
      <c r="G68" s="26"/>
      <c r="H68" s="26"/>
      <c r="I68" s="26"/>
      <c r="J68" s="27"/>
      <c r="K68" s="1"/>
    </row>
    <row r="69" ht="15" customHeight="1">
      <c r="A69" s="1"/>
      <c r="B69" s="19" t="s">
        <v>864</v>
      </c>
      <c r="C69" s="47">
        <v>75</v>
      </c>
      <c r="D69" s="26"/>
      <c r="E69" s="26"/>
      <c r="F69" s="26"/>
      <c r="G69" s="26"/>
      <c r="H69" s="26"/>
      <c r="I69" s="26"/>
      <c r="J69" s="27"/>
      <c r="K69" s="1"/>
    </row>
    <row r="70" ht="15" customHeight="1">
      <c r="A70" s="1"/>
      <c r="B70" s="19" t="s">
        <v>865</v>
      </c>
      <c r="C70" s="47">
        <v>14.53</v>
      </c>
      <c r="D70" s="26"/>
      <c r="E70" s="26"/>
      <c r="F70" s="26"/>
      <c r="G70" s="26"/>
      <c r="H70" s="26"/>
      <c r="I70" s="26"/>
      <c r="J70" s="27"/>
      <c r="K70" s="1"/>
    </row>
    <row r="71" ht="15" customHeight="1">
      <c r="A71" s="1"/>
      <c r="B71" s="19" t="s">
        <v>866</v>
      </c>
      <c r="C71" s="47">
        <v>23</v>
      </c>
      <c r="D71" s="26"/>
      <c r="E71" s="26"/>
      <c r="F71" s="26"/>
      <c r="G71" s="26"/>
      <c r="H71" s="26"/>
      <c r="I71" s="26"/>
      <c r="J71" s="27"/>
      <c r="K71" s="1"/>
    </row>
    <row r="72" ht="15" customHeight="1">
      <c r="A72" s="1"/>
      <c r="B72" s="19" t="s">
        <v>867</v>
      </c>
      <c r="C72" s="20" t="s">
        <v>868</v>
      </c>
      <c r="D72" s="20"/>
      <c r="E72" s="20"/>
      <c r="F72" s="20"/>
      <c r="G72" s="20"/>
      <c r="H72" s="20"/>
      <c r="I72" s="20"/>
      <c r="J72" s="95"/>
      <c r="K72" s="1"/>
    </row>
    <row r="73" ht="15" customHeight="1">
      <c r="A73" s="1"/>
      <c r="B73" s="19" t="s">
        <v>869</v>
      </c>
      <c r="C73" s="47">
        <v>1.63</v>
      </c>
      <c r="D73" s="26"/>
      <c r="E73" s="26"/>
      <c r="F73" s="26"/>
      <c r="G73" s="26"/>
      <c r="H73" s="26"/>
      <c r="I73" s="26"/>
      <c r="J73" s="27"/>
      <c r="K73" s="1"/>
    </row>
    <row r="74" ht="15" customHeight="1">
      <c r="A74" s="1"/>
      <c r="B74" s="19" t="s">
        <v>870</v>
      </c>
      <c r="C74" s="47">
        <v>83.96</v>
      </c>
      <c r="D74" s="26"/>
      <c r="E74" s="26"/>
      <c r="F74" s="26"/>
      <c r="G74" s="26"/>
      <c r="H74" s="26"/>
      <c r="I74" s="26"/>
      <c r="J74" s="27"/>
      <c r="K74" s="1"/>
    </row>
    <row r="75" ht="15" customHeight="1">
      <c r="A75" s="1"/>
      <c r="B75" s="19" t="s">
        <v>871</v>
      </c>
      <c r="C75" s="20" t="s">
        <v>872</v>
      </c>
      <c r="D75" s="20"/>
      <c r="E75" s="20"/>
      <c r="F75" s="20"/>
      <c r="G75" s="20"/>
      <c r="H75" s="20"/>
      <c r="I75" s="20"/>
      <c r="J75" s="95"/>
      <c r="K75" s="1"/>
    </row>
    <row r="76" ht="15" customHeight="1">
      <c r="A76" s="1"/>
      <c r="B76" s="19" t="s">
        <v>873</v>
      </c>
      <c r="C76" s="98">
        <v>46313</v>
      </c>
      <c r="D76" s="20"/>
      <c r="E76" s="20"/>
      <c r="F76" s="20"/>
      <c r="G76" s="20"/>
      <c r="H76" s="20"/>
      <c r="I76" s="20"/>
      <c r="J76" s="95"/>
      <c r="K76" s="1"/>
    </row>
    <row r="77" ht="15" customHeight="1">
      <c r="A77" s="1"/>
      <c r="B77" s="19" t="s">
        <v>874</v>
      </c>
      <c r="C77" s="20" t="s">
        <v>875</v>
      </c>
      <c r="D77" s="20"/>
      <c r="E77" s="20"/>
      <c r="F77" s="20"/>
      <c r="G77" s="20"/>
      <c r="H77" s="20"/>
      <c r="I77" s="20"/>
      <c r="J77" s="95"/>
      <c r="K77" s="1"/>
    </row>
    <row r="78" ht="15" customHeight="1">
      <c r="A78" s="1"/>
      <c r="B78" s="5" t="s">
        <v>876</v>
      </c>
      <c r="C78" s="20"/>
      <c r="D78" s="20"/>
      <c r="E78" s="20"/>
      <c r="F78" s="20"/>
      <c r="G78" s="20"/>
      <c r="H78" s="20"/>
      <c r="I78" s="20"/>
      <c r="J78" s="95"/>
      <c r="K78" s="1"/>
    </row>
    <row r="79" ht="15" customHeight="1">
      <c r="A79" s="1"/>
      <c r="B79" s="1"/>
      <c r="C79" s="20"/>
      <c r="D79" s="20"/>
      <c r="E79" s="20"/>
      <c r="F79" s="20"/>
      <c r="G79" s="20"/>
      <c r="H79" s="20"/>
      <c r="I79" s="20"/>
      <c r="J79" s="95"/>
      <c r="K79" s="1"/>
    </row>
    <row r="80" ht="15" customHeight="1">
      <c r="A80" s="1"/>
      <c r="B80" s="16" t="s">
        <v>877</v>
      </c>
      <c r="C80" s="20"/>
      <c r="D80" s="20"/>
      <c r="E80" s="20"/>
      <c r="F80" s="20"/>
      <c r="G80" s="20"/>
      <c r="H80" s="20"/>
      <c r="I80" s="20"/>
      <c r="J80" s="95"/>
      <c r="K80" s="1"/>
    </row>
    <row r="81" ht="15" customHeight="1">
      <c r="A81" s="1"/>
      <c r="B81" s="19" t="s">
        <v>878</v>
      </c>
      <c r="C81" s="87">
        <v>45747</v>
      </c>
      <c r="D81" s="87">
        <v>45838</v>
      </c>
      <c r="E81" s="87">
        <v>45930</v>
      </c>
      <c r="F81" s="87">
        <v>46022</v>
      </c>
      <c r="G81" s="87">
        <v>46112</v>
      </c>
      <c r="H81" s="87">
        <v>46203</v>
      </c>
      <c r="I81" s="20"/>
      <c r="J81" s="95"/>
      <c r="K81" s="1"/>
    </row>
    <row r="82" ht="15" customHeight="1">
      <c r="A82" s="1"/>
      <c r="B82" s="19" t="s">
        <v>879</v>
      </c>
      <c r="C82" s="87">
        <v>45776</v>
      </c>
      <c r="D82" s="87">
        <v>45860</v>
      </c>
      <c r="E82" s="87">
        <v>45951</v>
      </c>
      <c r="F82" s="87">
        <v>46049</v>
      </c>
      <c r="G82" s="87">
        <v>46140</v>
      </c>
      <c r="H82" s="87">
        <v>46224</v>
      </c>
      <c r="I82" s="20"/>
      <c r="J82" s="95"/>
      <c r="K82" s="1"/>
    </row>
    <row r="83" ht="15" customHeight="1">
      <c r="A83" s="1"/>
      <c r="B83" s="19" t="s">
        <v>880</v>
      </c>
      <c r="C83" s="45">
        <v>2.67</v>
      </c>
      <c r="D83" s="45">
        <v>2.48</v>
      </c>
      <c r="E83" s="45">
        <v>2.32</v>
      </c>
      <c r="F83" s="45">
        <v>2.27</v>
      </c>
      <c r="G83" s="45">
        <v>2.64</v>
      </c>
      <c r="H83" s="45">
        <v>3.19</v>
      </c>
      <c r="I83" s="32"/>
      <c r="J83" s="33"/>
      <c r="K83" s="1"/>
    </row>
    <row r="84" ht="15" customHeight="1">
      <c r="A84" s="1"/>
      <c r="B84" s="19" t="s">
        <v>881</v>
      </c>
      <c r="C84" s="45">
        <v>2.78</v>
      </c>
      <c r="D84" s="45">
        <v>2.53</v>
      </c>
      <c r="E84" s="45">
        <v>2.8</v>
      </c>
      <c r="F84" s="45">
        <v>2.51</v>
      </c>
      <c r="G84" s="45">
        <v>3.7</v>
      </c>
      <c r="H84" s="45">
        <v>3.57</v>
      </c>
      <c r="I84" s="32"/>
      <c r="J84" s="33"/>
      <c r="K84" s="1"/>
    </row>
    <row r="85" ht="15" customHeight="1">
      <c r="A85" s="1"/>
      <c r="B85" s="19" t="s">
        <v>882</v>
      </c>
      <c r="C85" s="45">
        <v>2.54</v>
      </c>
      <c r="D85" s="45">
        <v>2.58</v>
      </c>
      <c r="E85" s="45">
        <v>2.03</v>
      </c>
      <c r="F85" s="45">
        <v>1.75</v>
      </c>
      <c r="G85" s="45">
        <v>2.56</v>
      </c>
      <c r="H85" s="45">
        <v>2.73</v>
      </c>
      <c r="I85" s="32"/>
      <c r="J85" s="33"/>
      <c r="K85" s="1"/>
    </row>
    <row r="86" ht="15" customHeight="1">
      <c r="A86" s="1"/>
      <c r="B86" s="19" t="s">
        <v>883</v>
      </c>
      <c r="C86" s="45">
        <v>3.35</v>
      </c>
      <c r="D86" s="45">
        <v>1.91</v>
      </c>
      <c r="E86" s="45">
        <v>1.35</v>
      </c>
      <c r="F86" s="45">
        <v>-3.6</v>
      </c>
      <c r="G86" s="45">
        <v>2.82</v>
      </c>
      <c r="H86" s="45">
        <v>1.41</v>
      </c>
      <c r="I86" s="32"/>
      <c r="J86" s="33"/>
      <c r="K86" s="1"/>
    </row>
    <row r="87" ht="15" customHeight="1">
      <c r="A87" s="1"/>
      <c r="B87" s="19" t="s">
        <v>884</v>
      </c>
      <c r="C87" s="47">
        <v>43411.48</v>
      </c>
      <c r="D87" s="47">
        <v>46283.39</v>
      </c>
      <c r="E87" s="47">
        <v>45328.08</v>
      </c>
      <c r="F87" s="47">
        <v>46026.97</v>
      </c>
      <c r="G87" s="47">
        <v>43546.11</v>
      </c>
      <c r="H87" s="47">
        <v>47083.18</v>
      </c>
      <c r="I87" s="26"/>
      <c r="J87" s="27"/>
      <c r="K87" s="1"/>
    </row>
    <row r="88" ht="15" customHeight="1">
      <c r="A88" s="1"/>
      <c r="B88" s="19" t="s">
        <v>885</v>
      </c>
      <c r="C88" s="47">
        <v>44020</v>
      </c>
      <c r="D88" s="47">
        <v>47122</v>
      </c>
      <c r="E88" s="47">
        <v>48591</v>
      </c>
      <c r="F88" s="47">
        <v>45287</v>
      </c>
      <c r="G88" s="47">
        <v>43624</v>
      </c>
      <c r="H88" s="47">
        <v>48026</v>
      </c>
      <c r="I88" s="26"/>
      <c r="J88" s="27"/>
      <c r="K88" s="1"/>
    </row>
    <row r="89" ht="15" customHeight="1">
      <c r="A89" s="1"/>
      <c r="B89" s="16" t="s">
        <v>886</v>
      </c>
      <c r="C89" s="20"/>
      <c r="D89" s="20"/>
      <c r="E89" s="20"/>
      <c r="F89" s="20"/>
      <c r="G89" s="20"/>
      <c r="H89" s="20"/>
      <c r="I89" s="20"/>
      <c r="J89" s="95"/>
      <c r="K89" s="1"/>
    </row>
    <row r="90" ht="28.5" customHeight="1">
      <c r="A90" s="1"/>
      <c r="B90" s="24" t="s">
        <v>887</v>
      </c>
      <c r="C90" s="32">
        <f t="shared" si="2" ref="C90:H90">C84-C83</f>
        <v>0.10999999999999988</v>
      </c>
      <c r="D90" s="32">
        <f t="shared" si="2"/>
        <v>0.04999999999999982</v>
      </c>
      <c r="E90" s="32">
        <f t="shared" si="2"/>
        <v>0.48</v>
      </c>
      <c r="F90" s="32">
        <f t="shared" si="2"/>
        <v>0.23999999999999977</v>
      </c>
      <c r="G90" s="32">
        <f t="shared" si="2"/>
        <v>1.06</v>
      </c>
      <c r="H90" s="32">
        <f t="shared" si="2"/>
        <v>0.3799999999999999</v>
      </c>
      <c r="I90" s="32"/>
      <c r="J90" s="33"/>
      <c r="K90" s="1"/>
    </row>
    <row r="91" ht="15" customHeight="1">
      <c r="A91" s="1"/>
      <c r="B91" s="57" t="s">
        <v>888</v>
      </c>
      <c r="C91" s="29">
        <f t="shared" si="3" ref="C91:H91">_xlfn.IFERROR(C90/C83,"n.a.")</f>
        <v>0.04119850187265913</v>
      </c>
      <c r="D91" s="29">
        <f t="shared" si="3"/>
        <v>0.020161290322580575</v>
      </c>
      <c r="E91" s="29">
        <f t="shared" si="3"/>
        <v>0.20689655172413793</v>
      </c>
      <c r="F91" s="29">
        <f t="shared" si="3"/>
        <v>0.10572687224669593</v>
      </c>
      <c r="G91" s="29">
        <f t="shared" si="3"/>
        <v>0.4015151515151515</v>
      </c>
      <c r="H91" s="29">
        <f t="shared" si="3"/>
        <v>0.1191222570532915</v>
      </c>
      <c r="I91" s="29"/>
      <c r="J91" s="30"/>
      <c r="K91" s="1"/>
    </row>
    <row r="92" ht="28.5" customHeight="1">
      <c r="A92" s="1"/>
      <c r="B92" s="24" t="s">
        <v>889</v>
      </c>
      <c r="C92" s="42">
        <f t="shared" si="4" ref="C92:H92">IF(C84&gt;C83,1,0)</f>
        <v>1</v>
      </c>
      <c r="D92" s="42">
        <f t="shared" si="4"/>
        <v>1</v>
      </c>
      <c r="E92" s="42">
        <f t="shared" si="4"/>
        <v>1</v>
      </c>
      <c r="F92" s="42">
        <f t="shared" si="4"/>
        <v>1</v>
      </c>
      <c r="G92" s="42">
        <f t="shared" si="4"/>
        <v>1</v>
      </c>
      <c r="H92" s="42">
        <f t="shared" si="4"/>
        <v>1</v>
      </c>
      <c r="I92" s="42"/>
      <c r="J92" s="43"/>
      <c r="K92" s="1"/>
    </row>
    <row r="93" ht="15" customHeight="1">
      <c r="A93" s="1"/>
      <c r="B93" s="19" t="s">
        <v>890</v>
      </c>
      <c r="C93" s="26">
        <f t="shared" si="5" ref="C93:H93">C88-C87</f>
        <v>608.5199999999968</v>
      </c>
      <c r="D93" s="26">
        <f t="shared" si="5"/>
        <v>838.6100000000006</v>
      </c>
      <c r="E93" s="26">
        <f t="shared" si="5"/>
        <v>3262.9199999999983</v>
      </c>
      <c r="F93" s="26">
        <f t="shared" si="5"/>
        <v>-739.9700000000012</v>
      </c>
      <c r="G93" s="26">
        <f t="shared" si="5"/>
        <v>77.88999999999942</v>
      </c>
      <c r="H93" s="26">
        <f t="shared" si="5"/>
        <v>942.8199999999997</v>
      </c>
      <c r="I93" s="26"/>
      <c r="J93" s="27"/>
      <c r="K93" s="1"/>
    </row>
    <row r="94" ht="15" customHeight="1">
      <c r="A94" s="1"/>
      <c r="B94" s="1"/>
      <c r="C94" s="20"/>
      <c r="D94" s="20"/>
      <c r="E94" s="20"/>
      <c r="F94" s="20"/>
      <c r="G94" s="20"/>
      <c r="H94" s="20"/>
      <c r="I94" s="20"/>
      <c r="J94" s="95"/>
      <c r="K94" s="1"/>
    </row>
    <row r="95" ht="15" customHeight="1">
      <c r="A95" s="1"/>
      <c r="B95" s="16" t="s">
        <v>891</v>
      </c>
      <c r="C95" s="20"/>
      <c r="D95" s="20"/>
      <c r="E95" s="20"/>
      <c r="F95" s="20"/>
      <c r="G95" s="20"/>
      <c r="H95" s="20"/>
      <c r="I95" s="20"/>
      <c r="J95" s="95"/>
      <c r="K95" s="1"/>
    </row>
    <row r="96" ht="28.5" customHeight="1">
      <c r="A96" s="1"/>
      <c r="B96" s="24" t="s">
        <v>892</v>
      </c>
      <c r="C96" s="47">
        <v>73.67</v>
      </c>
      <c r="D96" s="26"/>
      <c r="E96" s="26"/>
      <c r="F96" s="26"/>
      <c r="G96" s="26"/>
      <c r="H96" s="26"/>
      <c r="I96" s="26"/>
      <c r="J96" s="27"/>
      <c r="K96" s="1" t="s">
        <v>893</v>
      </c>
    </row>
    <row r="97" ht="15" customHeight="1">
      <c r="A97" s="1"/>
      <c r="B97" s="19" t="s">
        <v>894</v>
      </c>
      <c r="C97" s="20" t="s">
        <v>895</v>
      </c>
      <c r="D97" s="20"/>
      <c r="E97" s="20"/>
      <c r="F97" s="20"/>
      <c r="G97" s="20"/>
      <c r="H97" s="20"/>
      <c r="I97" s="20"/>
      <c r="J97" s="95"/>
      <c r="K97" s="1"/>
    </row>
    <row r="98" ht="15" customHeight="1">
      <c r="A98" s="1"/>
      <c r="B98" s="19" t="s">
        <v>896</v>
      </c>
      <c r="C98" s="20" t="s">
        <v>897</v>
      </c>
      <c r="D98" s="20"/>
      <c r="E98" s="20"/>
      <c r="F98" s="20"/>
      <c r="G98" s="20"/>
      <c r="H98" s="20"/>
      <c r="I98" s="20"/>
      <c r="J98" s="95"/>
      <c r="K98" s="1" t="s">
        <v>898</v>
      </c>
    </row>
    <row r="99" ht="28.5" customHeight="1">
      <c r="A99" s="1"/>
      <c r="B99" s="60" t="s">
        <v>899</v>
      </c>
      <c r="C99" s="79">
        <v>0.78</v>
      </c>
      <c r="D99" s="29"/>
      <c r="E99" s="29"/>
      <c r="F99" s="29"/>
      <c r="G99" s="29"/>
      <c r="H99" s="29"/>
      <c r="I99" s="29"/>
      <c r="J99" s="30"/>
      <c r="K99" s="1" t="s">
        <v>900</v>
      </c>
    </row>
    <row r="100" ht="15" customHeight="1">
      <c r="A100" s="1"/>
      <c r="B100" s="19" t="s">
        <v>901</v>
      </c>
      <c r="C100" s="99">
        <v>8</v>
      </c>
      <c r="D100" s="42"/>
      <c r="E100" s="42"/>
      <c r="F100" s="42"/>
      <c r="G100" s="42"/>
      <c r="H100" s="42"/>
      <c r="I100" s="42"/>
      <c r="J100" s="43"/>
      <c r="K100" s="1"/>
    </row>
    <row r="101" ht="28.5" customHeight="1">
      <c r="A101" s="1"/>
      <c r="B101" s="24" t="s">
        <v>902</v>
      </c>
      <c r="C101" s="42">
        <f>SUM(C92:H92)</f>
        <v>6</v>
      </c>
      <c r="D101" s="42"/>
      <c r="E101" s="42"/>
      <c r="F101" s="42"/>
      <c r="G101" s="42"/>
      <c r="H101" s="42"/>
      <c r="I101" s="42"/>
      <c r="J101" s="43"/>
      <c r="K101" s="1"/>
    </row>
    <row r="102" ht="15" customHeight="1">
      <c r="A102" s="1"/>
      <c r="B102" s="19" t="s">
        <v>903</v>
      </c>
      <c r="C102" s="42">
        <f>COUNT(C84:H84)</f>
        <v>6</v>
      </c>
      <c r="D102" s="42"/>
      <c r="E102" s="42"/>
      <c r="F102" s="42"/>
      <c r="G102" s="42"/>
      <c r="H102" s="42"/>
      <c r="I102" s="42"/>
      <c r="J102" s="43"/>
      <c r="K102" s="1"/>
    </row>
    <row r="103" ht="28.5" customHeight="1">
      <c r="A103" s="1"/>
      <c r="B103" s="60" t="s">
        <v>904</v>
      </c>
      <c r="C103" s="29">
        <f>(C100*C99+C101)/(C100+C102)</f>
        <v>0.8742857142857143</v>
      </c>
      <c r="D103" s="29"/>
      <c r="E103" s="29"/>
      <c r="F103" s="29"/>
      <c r="G103" s="29"/>
      <c r="H103" s="29"/>
      <c r="I103" s="29"/>
      <c r="J103" s="30"/>
      <c r="K103" s="1" t="s">
        <v>905</v>
      </c>
    </row>
    <row r="104" ht="41.25" customHeight="1">
      <c r="A104" s="1"/>
      <c r="B104" s="55" t="s">
        <v>906</v>
      </c>
      <c r="C104" s="100">
        <v>0.8</v>
      </c>
      <c r="D104" s="36"/>
      <c r="E104" s="36"/>
      <c r="F104" s="36"/>
      <c r="G104" s="36"/>
      <c r="H104" s="36"/>
      <c r="I104" s="36"/>
      <c r="J104" s="37"/>
      <c r="K104" s="1" t="s">
        <v>907</v>
      </c>
    </row>
    <row r="105" ht="28.5" customHeight="1">
      <c r="A105" s="1"/>
      <c r="B105" s="60" t="s">
        <v>908</v>
      </c>
      <c r="C105" s="29">
        <f>C104-C103</f>
        <v>-0.07428571428571429</v>
      </c>
      <c r="D105" s="29"/>
      <c r="E105" s="29"/>
      <c r="F105" s="29"/>
      <c r="G105" s="29"/>
      <c r="H105" s="29"/>
      <c r="I105" s="29"/>
      <c r="J105" s="30"/>
      <c r="K105" s="1"/>
    </row>
    <row r="106" ht="15" customHeight="1">
      <c r="A106" s="1"/>
      <c r="B106" s="19" t="s">
        <v>53</v>
      </c>
      <c r="C106" s="20" t="s">
        <v>54</v>
      </c>
      <c r="D106" s="20"/>
      <c r="E106" s="20"/>
      <c r="F106" s="20"/>
      <c r="G106" s="20"/>
      <c r="H106" s="20"/>
      <c r="I106" s="20"/>
      <c r="J106" s="95"/>
      <c r="K106" s="1"/>
    </row>
    <row r="107" ht="15" customHeight="1">
      <c r="A107" s="1"/>
      <c r="B107" s="1"/>
      <c r="C107" s="20"/>
      <c r="D107" s="20"/>
      <c r="E107" s="20"/>
      <c r="F107" s="20"/>
      <c r="G107" s="20"/>
      <c r="H107" s="20"/>
      <c r="I107" s="20"/>
      <c r="J107" s="95"/>
      <c r="K107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2026-10-19T18:47:52Z</dcterms:created>
</cp:coreProperties>
</file>